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workbookProtection workbookPassword="D5BA" lockStructure="1"/>
  <bookViews>
    <workbookView xWindow="-15" yWindow="465" windowWidth="15480" windowHeight="11160"/>
  </bookViews>
  <sheets>
    <sheet name="Berech. Lagerraum flüssig+fest" sheetId="7" r:id="rId1"/>
    <sheet name="Betriebe mit Separation" sheetId="28" state="hidden" r:id="rId2"/>
    <sheet name="Abweichende Werte" sheetId="14" r:id="rId3"/>
    <sheet name="Zu- und Abgang" sheetId="15" state="hidden" r:id="rId4"/>
    <sheet name="Separierung" sheetId="18" state="hidden" r:id="rId5"/>
    <sheet name="Tiere" sheetId="12" state="hidden" r:id="rId6"/>
    <sheet name="Tiere orginal" sheetId="13" state="hidden" r:id="rId7"/>
    <sheet name="org Dünger" sheetId="11" state="hidden" r:id="rId8"/>
    <sheet name="Stroh" sheetId="8" state="hidden" r:id="rId9"/>
    <sheet name="Erläuterungen" sheetId="10" state="hidden" r:id="rId10"/>
    <sheet name="alt Tiere" sheetId="9" state="hidden" r:id="rId11"/>
    <sheet name="Tabelle1" sheetId="16" state="hidden" r:id="rId12"/>
    <sheet name="Tabelle2" sheetId="17" state="hidden" r:id="rId13"/>
    <sheet name="Hinweise zum Programm" sheetId="19" state="hidden" r:id="rId14"/>
    <sheet name="Tiere2" sheetId="29" state="hidden" r:id="rId15"/>
    <sheet name="Lagerr. GL. rote Gebiete" sheetId="21" state="hidden" r:id="rId16"/>
    <sheet name="Tabelle3" sheetId="30" state="hidden" r:id="rId17"/>
  </sheets>
  <definedNames>
    <definedName name="_xlnm._FilterDatabase" localSheetId="10" hidden="1">'alt Tiere'!$A$21:$H$112</definedName>
    <definedName name="_xlnm.Print_Area" localSheetId="0">'Berech. Lagerraum flüssig+fest'!$A$1:$K$153</definedName>
    <definedName name="_xlnm.Print_Area" localSheetId="1">'Betriebe mit Separation'!$A$1:$K$154</definedName>
    <definedName name="_xlnm.Print_Area" localSheetId="4">Separierung!$A$1:$K$38</definedName>
    <definedName name="Z_DDA6E6AA_9473_49A0_A3A2_76E4959B79AF_.wvu.Cols" localSheetId="2" hidden="1">'Abweichende Werte'!$T:$X</definedName>
    <definedName name="Z_DDA6E6AA_9473_49A0_A3A2_76E4959B79AF_.wvu.Cols" localSheetId="0" hidden="1">'Berech. Lagerraum flüssig+fest'!$M:$CC</definedName>
    <definedName name="Z_DDA6E6AA_9473_49A0_A3A2_76E4959B79AF_.wvu.Cols" localSheetId="1" hidden="1">'Betriebe mit Separation'!$M:$CC</definedName>
    <definedName name="Z_DDA6E6AA_9473_49A0_A3A2_76E4959B79AF_.wvu.FilterData" localSheetId="10" hidden="1">'alt Tiere'!$A$21:$H$112</definedName>
    <definedName name="Z_DDA6E6AA_9473_49A0_A3A2_76E4959B79AF_.wvu.PrintArea" localSheetId="0" hidden="1">'Berech. Lagerraum flüssig+fest'!$A$1:$K$152</definedName>
    <definedName name="Z_DDA6E6AA_9473_49A0_A3A2_76E4959B79AF_.wvu.PrintArea" localSheetId="1" hidden="1">'Betriebe mit Separation'!$A$1:$K$154</definedName>
  </definedNames>
  <calcPr calcId="145621"/>
  <customWorkbookViews>
    <customWorkbookView name="msbo - Persönliche Ansicht" guid="{BBF2F1EA-E8F4-4EE9-83EA-DB847D7BDAAF}" mergeInterval="0" personalView="1" xWindow="5" yWindow="30" windowWidth="1266" windowHeight="787" activeSheetId="1"/>
    <customWorkbookView name="Hierlmeier, Michael (LfL) - Persönliche Ansicht" guid="{DDA6E6AA-9473-49A0-A3A2-76E4959B79AF}" mergeInterval="0" personalView="1" maximized="1" windowWidth="1680" windowHeight="825" activeSheetId="7"/>
  </customWorkbookViews>
</workbook>
</file>

<file path=xl/calcChain.xml><?xml version="1.0" encoding="utf-8"?>
<calcChain xmlns="http://schemas.openxmlformats.org/spreadsheetml/2006/main">
  <c r="L44" i="7" l="1"/>
  <c r="M44" i="7" s="1"/>
  <c r="L43" i="7"/>
  <c r="N43" i="7"/>
  <c r="I47" i="7"/>
  <c r="N47" i="7" s="1"/>
  <c r="I46" i="7"/>
  <c r="N46" i="7"/>
  <c r="M39" i="7"/>
  <c r="M40" i="7"/>
  <c r="M38" i="7"/>
  <c r="X127" i="7"/>
  <c r="Z127" i="7"/>
  <c r="Z128" i="7"/>
  <c r="Z129" i="7"/>
  <c r="Z130" i="7"/>
  <c r="Y127" i="7"/>
  <c r="Y130" i="7"/>
  <c r="Y129" i="7"/>
  <c r="Y128" i="7"/>
  <c r="Y131" i="7" s="1"/>
  <c r="F150" i="7"/>
  <c r="R144" i="7"/>
  <c r="F149" i="7"/>
  <c r="AX38" i="7"/>
  <c r="Q38" i="7" s="1"/>
  <c r="AG38" i="7" s="1"/>
  <c r="J27" i="28"/>
  <c r="N27" i="28" s="1"/>
  <c r="BO27" i="28" s="1"/>
  <c r="J37" i="28"/>
  <c r="R144" i="28"/>
  <c r="V36" i="28"/>
  <c r="BM26" i="28"/>
  <c r="BM27" i="28"/>
  <c r="BM28" i="28"/>
  <c r="BM29" i="28"/>
  <c r="BM30" i="28"/>
  <c r="BM31" i="28"/>
  <c r="BM32" i="28"/>
  <c r="BM33" i="28"/>
  <c r="BM34" i="28"/>
  <c r="BM35" i="28"/>
  <c r="BM36" i="28"/>
  <c r="BL26" i="28"/>
  <c r="BL27" i="28"/>
  <c r="BL28" i="28"/>
  <c r="BL29" i="28"/>
  <c r="BL30" i="28"/>
  <c r="BL31" i="28"/>
  <c r="BL32" i="28"/>
  <c r="BL33" i="28"/>
  <c r="BL34" i="28"/>
  <c r="BL35" i="28"/>
  <c r="BL36" i="28"/>
  <c r="BH26" i="28"/>
  <c r="BH27" i="28"/>
  <c r="BH28" i="28"/>
  <c r="BH29" i="28"/>
  <c r="BH30" i="28"/>
  <c r="BH31" i="28"/>
  <c r="BH32" i="28"/>
  <c r="BH33" i="28"/>
  <c r="BH34" i="28"/>
  <c r="BH35" i="28"/>
  <c r="BH36" i="28"/>
  <c r="BG26" i="28"/>
  <c r="BG27" i="28"/>
  <c r="BG28" i="28"/>
  <c r="BG29" i="28"/>
  <c r="BG30" i="28"/>
  <c r="BG31" i="28"/>
  <c r="BG32" i="28"/>
  <c r="BG33" i="28"/>
  <c r="BG34" i="28"/>
  <c r="BG35" i="28"/>
  <c r="BG36" i="28"/>
  <c r="BF26" i="28"/>
  <c r="BF27" i="28"/>
  <c r="BF28" i="28"/>
  <c r="BF29" i="28"/>
  <c r="BF30" i="28"/>
  <c r="BF31" i="28"/>
  <c r="BF32" i="28"/>
  <c r="BF33" i="28"/>
  <c r="BF34" i="28"/>
  <c r="BF35" i="28"/>
  <c r="BF36" i="28"/>
  <c r="BE26" i="28"/>
  <c r="BE27" i="28"/>
  <c r="BE28" i="28"/>
  <c r="BE29" i="28"/>
  <c r="BE30" i="28"/>
  <c r="BE31" i="28"/>
  <c r="BE32" i="28"/>
  <c r="BE33" i="28"/>
  <c r="BE34" i="28"/>
  <c r="BE35" i="28"/>
  <c r="BE36" i="28"/>
  <c r="BD36" i="28"/>
  <c r="BD35" i="28"/>
  <c r="BD34" i="28"/>
  <c r="BD33" i="28"/>
  <c r="BD32" i="28"/>
  <c r="BD31" i="28"/>
  <c r="BD30" i="28"/>
  <c r="BD29" i="28"/>
  <c r="BD28" i="28"/>
  <c r="BD27" i="28"/>
  <c r="BD26" i="28"/>
  <c r="BC26" i="28"/>
  <c r="BC27" i="28"/>
  <c r="BC28" i="28"/>
  <c r="BC29" i="28"/>
  <c r="BC30" i="28"/>
  <c r="BC31" i="28"/>
  <c r="BC32" i="28"/>
  <c r="BC33" i="28"/>
  <c r="BC34" i="28"/>
  <c r="BC35" i="28"/>
  <c r="BC36" i="28"/>
  <c r="BB26" i="28"/>
  <c r="BB27" i="28"/>
  <c r="BB28" i="28"/>
  <c r="BB29" i="28"/>
  <c r="BB30" i="28"/>
  <c r="BB31" i="28"/>
  <c r="BB32" i="28"/>
  <c r="BB33" i="28"/>
  <c r="BB34" i="28"/>
  <c r="BB35" i="28"/>
  <c r="BB36" i="28"/>
  <c r="BA26" i="28"/>
  <c r="BA27" i="28"/>
  <c r="BA28" i="28"/>
  <c r="BA29" i="28"/>
  <c r="BA30" i="28"/>
  <c r="BA31" i="28"/>
  <c r="BA32" i="28"/>
  <c r="BA33" i="28"/>
  <c r="BA34" i="28"/>
  <c r="BA35" i="28"/>
  <c r="BA36" i="28"/>
  <c r="AZ26" i="28"/>
  <c r="AK26" i="28"/>
  <c r="AZ27" i="28"/>
  <c r="AK27" i="28"/>
  <c r="AZ28" i="28"/>
  <c r="AK28" i="28"/>
  <c r="AZ29" i="28"/>
  <c r="AK29" i="28"/>
  <c r="AZ30" i="28"/>
  <c r="AK30" i="28"/>
  <c r="AZ31" i="28"/>
  <c r="AK31" i="28"/>
  <c r="AZ32" i="28"/>
  <c r="AK32" i="28"/>
  <c r="AZ33" i="28"/>
  <c r="AK33" i="28"/>
  <c r="AZ34" i="28"/>
  <c r="AK34" i="28"/>
  <c r="AZ35" i="28"/>
  <c r="AK35" i="28"/>
  <c r="AZ36" i="28"/>
  <c r="AK36" i="28"/>
  <c r="AY26" i="28"/>
  <c r="AJ26" i="28"/>
  <c r="AY27" i="28"/>
  <c r="AJ27" i="28"/>
  <c r="AY28" i="28"/>
  <c r="AJ28" i="28"/>
  <c r="AY29" i="28"/>
  <c r="AJ29" i="28"/>
  <c r="AY30" i="28"/>
  <c r="AJ30" i="28"/>
  <c r="AY31" i="28"/>
  <c r="AJ31" i="28"/>
  <c r="AY32" i="28"/>
  <c r="AJ32" i="28"/>
  <c r="AY33" i="28"/>
  <c r="AJ33" i="28"/>
  <c r="AY34" i="28"/>
  <c r="AJ34" i="28"/>
  <c r="AY35" i="28"/>
  <c r="AJ35" i="28"/>
  <c r="AY36" i="28"/>
  <c r="AJ36" i="28"/>
  <c r="AX36" i="28"/>
  <c r="AX35" i="28"/>
  <c r="P35" i="28" s="1"/>
  <c r="AF35" i="28" s="1"/>
  <c r="AX34" i="28"/>
  <c r="P34" i="28"/>
  <c r="AH34" i="28" s="1"/>
  <c r="AX33" i="28"/>
  <c r="AX32" i="28"/>
  <c r="Q32" i="28" s="1"/>
  <c r="AG32" i="28"/>
  <c r="AX31" i="28"/>
  <c r="P31" i="28"/>
  <c r="AX30" i="28"/>
  <c r="Q30" i="28"/>
  <c r="AG30" i="28" s="1"/>
  <c r="AX29" i="28"/>
  <c r="P29" i="28" s="1"/>
  <c r="AX28" i="28"/>
  <c r="AX27" i="28"/>
  <c r="AX26" i="28"/>
  <c r="AW26" i="28"/>
  <c r="AW27" i="28"/>
  <c r="AW28" i="28"/>
  <c r="AW29" i="28"/>
  <c r="AW30" i="28"/>
  <c r="AW31" i="28"/>
  <c r="AW32" i="28"/>
  <c r="AW33" i="28"/>
  <c r="AW34" i="28"/>
  <c r="AW35" i="28"/>
  <c r="AW36" i="28"/>
  <c r="AV26" i="28"/>
  <c r="AV27" i="28"/>
  <c r="AV28" i="28"/>
  <c r="AV29" i="28"/>
  <c r="AV30" i="28"/>
  <c r="AV31" i="28"/>
  <c r="AV32" i="28"/>
  <c r="AV33" i="28"/>
  <c r="AV34" i="28"/>
  <c r="AV35" i="28"/>
  <c r="AV36" i="28"/>
  <c r="AU26" i="28"/>
  <c r="AU27" i="28"/>
  <c r="AU28" i="28"/>
  <c r="AU29" i="28"/>
  <c r="AU30" i="28"/>
  <c r="AU31" i="28"/>
  <c r="AU32" i="28"/>
  <c r="AU33" i="28"/>
  <c r="AU34" i="28"/>
  <c r="AU35" i="28"/>
  <c r="AU36" i="28"/>
  <c r="AR26" i="28"/>
  <c r="AR27" i="28"/>
  <c r="AS27" i="28"/>
  <c r="AR28" i="28"/>
  <c r="AS28" i="28" s="1"/>
  <c r="AT28" i="28"/>
  <c r="AR29" i="28"/>
  <c r="AT29" i="28" s="1"/>
  <c r="AR30" i="28"/>
  <c r="AR31" i="28"/>
  <c r="AS31" i="28"/>
  <c r="AR32" i="28"/>
  <c r="AS32" i="28"/>
  <c r="AR33" i="28"/>
  <c r="AT33" i="28"/>
  <c r="AR34" i="28"/>
  <c r="AS34" i="28"/>
  <c r="AR35" i="28"/>
  <c r="AS35" i="28"/>
  <c r="AR36" i="28"/>
  <c r="AT36" i="28"/>
  <c r="AA36" i="28"/>
  <c r="AA35" i="28"/>
  <c r="AA34" i="28"/>
  <c r="AA33" i="28"/>
  <c r="AA32" i="28"/>
  <c r="AA31" i="28"/>
  <c r="AA30" i="28"/>
  <c r="AA29" i="28"/>
  <c r="AA28" i="28"/>
  <c r="AA27" i="28"/>
  <c r="AA26" i="28"/>
  <c r="W26" i="28"/>
  <c r="W27" i="28"/>
  <c r="W28" i="28"/>
  <c r="W29" i="28"/>
  <c r="W30" i="28"/>
  <c r="W31" i="28"/>
  <c r="W32" i="28"/>
  <c r="W33" i="28"/>
  <c r="W34" i="28"/>
  <c r="W35" i="28"/>
  <c r="W36" i="28"/>
  <c r="V26" i="28"/>
  <c r="V27" i="28"/>
  <c r="V28" i="28"/>
  <c r="V29" i="28"/>
  <c r="V30" i="28"/>
  <c r="V31" i="28"/>
  <c r="V32" i="28"/>
  <c r="V33" i="28"/>
  <c r="V34" i="28"/>
  <c r="V35" i="28"/>
  <c r="BM25" i="28"/>
  <c r="BL25" i="28"/>
  <c r="BH25" i="28"/>
  <c r="BG25" i="28"/>
  <c r="BF25" i="28"/>
  <c r="BE25" i="28"/>
  <c r="W25" i="28"/>
  <c r="C27" i="29"/>
  <c r="C29" i="29" s="1"/>
  <c r="O68" i="29"/>
  <c r="N68" i="29"/>
  <c r="M68" i="29"/>
  <c r="O67" i="29"/>
  <c r="N67" i="29"/>
  <c r="M67" i="29"/>
  <c r="O66" i="29"/>
  <c r="N66" i="29"/>
  <c r="M66" i="29"/>
  <c r="O65" i="29"/>
  <c r="N65" i="29"/>
  <c r="M65" i="29"/>
  <c r="O64" i="29"/>
  <c r="N64" i="29"/>
  <c r="M64" i="29"/>
  <c r="O63" i="29"/>
  <c r="N63" i="29"/>
  <c r="M63" i="29"/>
  <c r="O62" i="29"/>
  <c r="N62" i="29"/>
  <c r="M62" i="29"/>
  <c r="O61" i="29"/>
  <c r="N61" i="29"/>
  <c r="M61" i="29"/>
  <c r="O60" i="29"/>
  <c r="N60" i="29"/>
  <c r="M60" i="29"/>
  <c r="O59" i="29"/>
  <c r="N59" i="29"/>
  <c r="M59" i="29"/>
  <c r="O58" i="29"/>
  <c r="N58" i="29"/>
  <c r="M58" i="29"/>
  <c r="O57" i="29"/>
  <c r="N57" i="29"/>
  <c r="M57" i="29"/>
  <c r="O56" i="29"/>
  <c r="N56" i="29"/>
  <c r="M56" i="29"/>
  <c r="O55" i="29"/>
  <c r="N55" i="29"/>
  <c r="M55" i="29"/>
  <c r="S35" i="29"/>
  <c r="S34" i="29"/>
  <c r="S33" i="29"/>
  <c r="S29" i="29"/>
  <c r="S28" i="29"/>
  <c r="S31" i="29" s="1"/>
  <c r="C27" i="12"/>
  <c r="AF144" i="28"/>
  <c r="N133" i="28"/>
  <c r="J133" i="28" s="1"/>
  <c r="M133" i="28"/>
  <c r="I133" i="28"/>
  <c r="X130" i="28"/>
  <c r="X129" i="28"/>
  <c r="X128" i="28"/>
  <c r="X127" i="28"/>
  <c r="M119" i="28"/>
  <c r="M118" i="28"/>
  <c r="J118" i="28" s="1"/>
  <c r="I118" i="28"/>
  <c r="M117" i="28"/>
  <c r="I117" i="28" s="1"/>
  <c r="M116" i="28"/>
  <c r="J116" i="28" s="1"/>
  <c r="M113" i="28"/>
  <c r="I113" i="28" s="1"/>
  <c r="M112" i="28"/>
  <c r="I112" i="28" s="1"/>
  <c r="M111" i="28"/>
  <c r="I111" i="28" s="1"/>
  <c r="M110" i="28"/>
  <c r="I110" i="28" s="1"/>
  <c r="P77" i="28"/>
  <c r="J77" i="28" s="1"/>
  <c r="C64" i="28"/>
  <c r="M46" i="28"/>
  <c r="I45" i="28"/>
  <c r="AQ44" i="28"/>
  <c r="I44" i="28"/>
  <c r="M44" i="28" s="1"/>
  <c r="I43" i="28"/>
  <c r="M43" i="28" s="1"/>
  <c r="I42" i="28"/>
  <c r="AP41" i="28"/>
  <c r="BH40" i="28"/>
  <c r="BG40" i="28"/>
  <c r="BF40" i="28"/>
  <c r="BE40" i="28"/>
  <c r="BB40" i="28"/>
  <c r="BA40" i="28"/>
  <c r="AZ40" i="28"/>
  <c r="AK40" i="28" s="1"/>
  <c r="AY40" i="28"/>
  <c r="AJ40" i="28" s="1"/>
  <c r="AX40" i="28"/>
  <c r="P40" i="28" s="1"/>
  <c r="AF40" i="28"/>
  <c r="AW40" i="28"/>
  <c r="AV40" i="28"/>
  <c r="AU40" i="28"/>
  <c r="AR40" i="28"/>
  <c r="AT40" i="28" s="1"/>
  <c r="AO40" i="28"/>
  <c r="AM40" i="28" s="1"/>
  <c r="AL40" i="28"/>
  <c r="AH40" i="28"/>
  <c r="AI40" i="28"/>
  <c r="AA40" i="28"/>
  <c r="W40" i="28"/>
  <c r="V40" i="28"/>
  <c r="M40" i="28"/>
  <c r="BH39" i="28"/>
  <c r="BG39" i="28"/>
  <c r="BF39" i="28"/>
  <c r="BE39" i="28"/>
  <c r="BB39" i="28"/>
  <c r="BA39" i="28"/>
  <c r="AZ39" i="28"/>
  <c r="AK39" i="28"/>
  <c r="AY39" i="28"/>
  <c r="AJ39" i="28"/>
  <c r="AX39" i="28"/>
  <c r="Q39" i="28"/>
  <c r="AG39" i="28" s="1"/>
  <c r="AW39" i="28"/>
  <c r="AV39" i="28"/>
  <c r="AU39" i="28"/>
  <c r="AR39" i="28"/>
  <c r="AT39" i="28"/>
  <c r="AO39" i="28"/>
  <c r="S39" i="28"/>
  <c r="AH39" i="28"/>
  <c r="AI39" i="28"/>
  <c r="AA39" i="28"/>
  <c r="W39" i="28"/>
  <c r="V39" i="28"/>
  <c r="M39" i="28"/>
  <c r="BH38" i="28"/>
  <c r="BG38" i="28"/>
  <c r="BF38" i="28"/>
  <c r="BE38" i="28"/>
  <c r="BB38" i="28"/>
  <c r="BA38" i="28"/>
  <c r="AZ38" i="28"/>
  <c r="AK38" i="28"/>
  <c r="AY38" i="28"/>
  <c r="AJ38" i="28"/>
  <c r="AX38" i="28"/>
  <c r="Q38" i="28"/>
  <c r="AG38" i="28" s="1"/>
  <c r="AW38" i="28"/>
  <c r="AV38" i="28"/>
  <c r="AU38" i="28"/>
  <c r="AR38" i="28"/>
  <c r="AT38" i="28"/>
  <c r="AO38" i="28"/>
  <c r="BL38" i="28"/>
  <c r="AH38" i="28"/>
  <c r="AI38" i="28"/>
  <c r="AA38" i="28"/>
  <c r="W38" i="28"/>
  <c r="V38" i="28"/>
  <c r="M38" i="28"/>
  <c r="A37" i="28" s="1"/>
  <c r="BS36" i="28"/>
  <c r="J36" i="28" s="1"/>
  <c r="N36" i="28" s="1"/>
  <c r="AO36" i="28"/>
  <c r="BS35" i="28"/>
  <c r="AO35" i="28"/>
  <c r="AN35" i="28"/>
  <c r="AL35" i="28"/>
  <c r="BS34" i="28"/>
  <c r="AO34" i="28"/>
  <c r="BS33" i="28"/>
  <c r="AO33" i="28"/>
  <c r="AL33" i="28"/>
  <c r="BS32" i="28"/>
  <c r="AO32" i="28"/>
  <c r="BS31" i="28"/>
  <c r="J31" i="28" s="1"/>
  <c r="N31" i="28" s="1"/>
  <c r="I31" i="28"/>
  <c r="AO31" i="28"/>
  <c r="BS30" i="28"/>
  <c r="AO30" i="28"/>
  <c r="BS29" i="28"/>
  <c r="I29" i="28" s="1"/>
  <c r="AO29" i="28"/>
  <c r="BS28" i="28"/>
  <c r="J28" i="28"/>
  <c r="N28" i="28" s="1"/>
  <c r="BN28" i="28" s="1"/>
  <c r="AO28" i="28"/>
  <c r="AL28" i="28"/>
  <c r="I28" i="28"/>
  <c r="BS27" i="28"/>
  <c r="I27" i="28" s="1"/>
  <c r="AO27" i="28"/>
  <c r="BS26" i="28"/>
  <c r="J26" i="28" s="1"/>
  <c r="AO26" i="28"/>
  <c r="AL26" i="28" s="1"/>
  <c r="AM26" i="28"/>
  <c r="BS25" i="28"/>
  <c r="AO25" i="28"/>
  <c r="B16" i="28"/>
  <c r="AU13" i="28"/>
  <c r="C26" i="29" s="1"/>
  <c r="T13" i="28"/>
  <c r="F10" i="28"/>
  <c r="AP41" i="7"/>
  <c r="B12" i="7" s="1"/>
  <c r="F10" i="7"/>
  <c r="R42" i="21"/>
  <c r="T13" i="7"/>
  <c r="L42" i="7"/>
  <c r="N42" i="7"/>
  <c r="I42" i="7"/>
  <c r="I45" i="7"/>
  <c r="N45" i="7" s="1"/>
  <c r="W42" i="21"/>
  <c r="W38" i="21" s="1"/>
  <c r="V42" i="21"/>
  <c r="Q42" i="21"/>
  <c r="T42" i="21"/>
  <c r="S42" i="21"/>
  <c r="X42" i="21"/>
  <c r="X38" i="21" s="1"/>
  <c r="U42" i="21"/>
  <c r="S41" i="21"/>
  <c r="R41" i="21"/>
  <c r="Q41" i="21"/>
  <c r="T41" i="21"/>
  <c r="U41" i="21"/>
  <c r="V41" i="21"/>
  <c r="V38" i="21" s="1"/>
  <c r="Y38" i="21"/>
  <c r="Z38" i="21"/>
  <c r="P38" i="21"/>
  <c r="O38" i="21"/>
  <c r="O33" i="21"/>
  <c r="F23" i="21"/>
  <c r="F22" i="21"/>
  <c r="D24" i="21"/>
  <c r="AA22" i="21"/>
  <c r="O18" i="21"/>
  <c r="O5" i="21"/>
  <c r="BS26" i="7"/>
  <c r="I26" i="7" s="1"/>
  <c r="BS27" i="7"/>
  <c r="I27" i="7" s="1"/>
  <c r="BS28" i="7"/>
  <c r="BS29" i="7"/>
  <c r="I29" i="7" s="1"/>
  <c r="BS30" i="7"/>
  <c r="I30" i="7" s="1"/>
  <c r="BS31" i="7"/>
  <c r="I31" i="7" s="1"/>
  <c r="BS32" i="7"/>
  <c r="I32" i="7" s="1"/>
  <c r="BS33" i="7"/>
  <c r="J33" i="7" s="1"/>
  <c r="N33" i="7" s="1"/>
  <c r="BO33" i="7" s="1"/>
  <c r="BS34" i="7"/>
  <c r="J34" i="7" s="1"/>
  <c r="N34" i="7" s="1"/>
  <c r="BO34" i="7" s="1"/>
  <c r="BS35" i="7"/>
  <c r="J35" i="7" s="1"/>
  <c r="N35" i="7" s="1"/>
  <c r="BN35" i="7" s="1"/>
  <c r="BS36" i="7"/>
  <c r="J36" i="7"/>
  <c r="N36" i="7" s="1"/>
  <c r="BO36" i="7" s="1"/>
  <c r="BS25" i="7"/>
  <c r="J25" i="7" s="1"/>
  <c r="I25" i="7"/>
  <c r="N25" i="7"/>
  <c r="BO25" i="7" s="1"/>
  <c r="M111" i="7"/>
  <c r="I111" i="7" s="1"/>
  <c r="M112" i="7"/>
  <c r="I112" i="7" s="1"/>
  <c r="M113" i="7"/>
  <c r="I113" i="7" s="1"/>
  <c r="M110" i="7"/>
  <c r="I110" i="7" s="1"/>
  <c r="M117" i="7"/>
  <c r="I117" i="7" s="1"/>
  <c r="J117" i="7"/>
  <c r="M118" i="7"/>
  <c r="M119" i="7"/>
  <c r="J119" i="7" s="1"/>
  <c r="M116" i="7"/>
  <c r="J116" i="7" s="1"/>
  <c r="AO26" i="7"/>
  <c r="AM26" i="7"/>
  <c r="AO27" i="7"/>
  <c r="AN27" i="7"/>
  <c r="AO28" i="7"/>
  <c r="S28" i="7"/>
  <c r="AO29" i="7"/>
  <c r="AN29" i="7"/>
  <c r="AO30" i="7"/>
  <c r="AL30" i="7"/>
  <c r="AM30" i="7"/>
  <c r="AO31" i="7"/>
  <c r="AM31" i="7" s="1"/>
  <c r="AO32" i="7"/>
  <c r="AO33" i="7"/>
  <c r="S33" i="7"/>
  <c r="AN33" i="7"/>
  <c r="AO34" i="7"/>
  <c r="AL34" i="7" s="1"/>
  <c r="AN34" i="7"/>
  <c r="AO35" i="7"/>
  <c r="AN35" i="7"/>
  <c r="AO36" i="7"/>
  <c r="AN36" i="7"/>
  <c r="S36" i="7"/>
  <c r="AO25" i="7"/>
  <c r="AN25" i="7" s="1"/>
  <c r="C64" i="7"/>
  <c r="C23" i="18"/>
  <c r="B12" i="18"/>
  <c r="B11" i="18"/>
  <c r="F10" i="18"/>
  <c r="AO39" i="7"/>
  <c r="AL39" i="7"/>
  <c r="AO40" i="7"/>
  <c r="BD40" i="7"/>
  <c r="AO38" i="7"/>
  <c r="BL38" i="7"/>
  <c r="BM38" i="7"/>
  <c r="BL27" i="7"/>
  <c r="BM25" i="7"/>
  <c r="BL25" i="7"/>
  <c r="AA39" i="7"/>
  <c r="AA40" i="7"/>
  <c r="W39" i="7"/>
  <c r="W40" i="7"/>
  <c r="V39" i="7"/>
  <c r="V40" i="7"/>
  <c r="AA38" i="7"/>
  <c r="W38" i="7"/>
  <c r="V38" i="7"/>
  <c r="AR38" i="7"/>
  <c r="W26" i="7"/>
  <c r="W27" i="7"/>
  <c r="W28" i="7"/>
  <c r="W29" i="7"/>
  <c r="W30" i="7"/>
  <c r="W31" i="7"/>
  <c r="W32" i="7"/>
  <c r="W33" i="7"/>
  <c r="W34" i="7"/>
  <c r="W35" i="7"/>
  <c r="W36" i="7"/>
  <c r="AA29" i="7"/>
  <c r="AA30" i="7"/>
  <c r="AA31" i="7"/>
  <c r="AA33" i="7"/>
  <c r="AA34" i="7"/>
  <c r="AA35" i="7"/>
  <c r="V29" i="7"/>
  <c r="V30" i="7"/>
  <c r="V31" i="7"/>
  <c r="V33" i="7"/>
  <c r="V34" i="7"/>
  <c r="V35" i="7"/>
  <c r="BM36" i="7"/>
  <c r="BL36" i="7"/>
  <c r="BM35" i="7"/>
  <c r="BL35" i="7"/>
  <c r="BM34" i="7"/>
  <c r="BL34" i="7"/>
  <c r="BM33" i="7"/>
  <c r="BL33" i="7"/>
  <c r="BM32" i="7"/>
  <c r="BL32" i="7"/>
  <c r="BM31" i="7"/>
  <c r="BL31" i="7"/>
  <c r="BM30" i="7"/>
  <c r="BL30" i="7"/>
  <c r="BM29" i="7"/>
  <c r="BL29" i="7"/>
  <c r="BM28" i="7"/>
  <c r="BL28" i="7"/>
  <c r="BM27" i="7"/>
  <c r="BM26" i="7"/>
  <c r="BL26" i="7"/>
  <c r="M68" i="12"/>
  <c r="M67" i="12"/>
  <c r="M66" i="12"/>
  <c r="M65" i="12"/>
  <c r="M64" i="12"/>
  <c r="M63" i="12"/>
  <c r="M62" i="12"/>
  <c r="M61" i="12"/>
  <c r="M60" i="12"/>
  <c r="M59" i="12"/>
  <c r="M58" i="12"/>
  <c r="M57" i="12"/>
  <c r="M56" i="12"/>
  <c r="M55" i="12"/>
  <c r="O68" i="12"/>
  <c r="O67" i="12"/>
  <c r="O66" i="12"/>
  <c r="O65" i="12"/>
  <c r="O64" i="12"/>
  <c r="O63" i="12"/>
  <c r="O62" i="12"/>
  <c r="O61" i="12"/>
  <c r="O60" i="12"/>
  <c r="O59" i="12"/>
  <c r="O58" i="12"/>
  <c r="O57" i="12"/>
  <c r="O56" i="12"/>
  <c r="O55" i="12"/>
  <c r="N68" i="12"/>
  <c r="N67" i="12"/>
  <c r="N66" i="12"/>
  <c r="N65" i="12"/>
  <c r="N64" i="12"/>
  <c r="N63" i="12"/>
  <c r="N62" i="12"/>
  <c r="N61" i="12"/>
  <c r="N60" i="12"/>
  <c r="N59" i="12"/>
  <c r="N58" i="12"/>
  <c r="N57" i="12"/>
  <c r="N56" i="12"/>
  <c r="N55" i="12"/>
  <c r="X130" i="7"/>
  <c r="X128" i="7"/>
  <c r="X129" i="7"/>
  <c r="M133" i="7"/>
  <c r="I133" i="7" s="1"/>
  <c r="BF39" i="7"/>
  <c r="BG39" i="7"/>
  <c r="BH39" i="7"/>
  <c r="BF40" i="7"/>
  <c r="BG40" i="7"/>
  <c r="BH40" i="7"/>
  <c r="BG38" i="7"/>
  <c r="BH38" i="7"/>
  <c r="BF38" i="7"/>
  <c r="BF26" i="7"/>
  <c r="BG26" i="7"/>
  <c r="BH26" i="7"/>
  <c r="BF27" i="7"/>
  <c r="BG27" i="7"/>
  <c r="BH27" i="7"/>
  <c r="BF28" i="7"/>
  <c r="BG28" i="7"/>
  <c r="BH28" i="7"/>
  <c r="BF29" i="7"/>
  <c r="BG29" i="7"/>
  <c r="BH29" i="7"/>
  <c r="BF30" i="7"/>
  <c r="BG30" i="7"/>
  <c r="BH30" i="7"/>
  <c r="BF31" i="7"/>
  <c r="BG31" i="7"/>
  <c r="BH31" i="7"/>
  <c r="BF32" i="7"/>
  <c r="BG32" i="7"/>
  <c r="BH32" i="7"/>
  <c r="BF33" i="7"/>
  <c r="BG33" i="7"/>
  <c r="BH33" i="7"/>
  <c r="BF34" i="7"/>
  <c r="BG34" i="7"/>
  <c r="BH34" i="7"/>
  <c r="BF35" i="7"/>
  <c r="BG35" i="7"/>
  <c r="BH35" i="7"/>
  <c r="BF36" i="7"/>
  <c r="BG36" i="7"/>
  <c r="BH36" i="7"/>
  <c r="BE39" i="7"/>
  <c r="BE40" i="7"/>
  <c r="BE38" i="7"/>
  <c r="AZ39" i="7"/>
  <c r="AK39" i="7"/>
  <c r="BA39" i="7"/>
  <c r="BB39" i="7"/>
  <c r="AZ40" i="7"/>
  <c r="AK40" i="7"/>
  <c r="BA40" i="7"/>
  <c r="BB40" i="7"/>
  <c r="BA38" i="7"/>
  <c r="BB38" i="7"/>
  <c r="AZ38" i="7"/>
  <c r="AK38" i="7"/>
  <c r="AX39" i="7"/>
  <c r="Q39" i="7"/>
  <c r="AG39" i="7" s="1"/>
  <c r="AY39" i="7"/>
  <c r="AJ39" i="7" s="1"/>
  <c r="AX40" i="7"/>
  <c r="P40" i="7" s="1"/>
  <c r="AH40" i="7" s="1"/>
  <c r="AI40" i="7" s="1"/>
  <c r="AY40" i="7"/>
  <c r="AJ40" i="7" s="1"/>
  <c r="AY38" i="7"/>
  <c r="AJ38" i="7" s="1"/>
  <c r="AU39" i="7"/>
  <c r="AV39" i="7"/>
  <c r="AW39" i="7"/>
  <c r="AU40" i="7"/>
  <c r="AV40" i="7"/>
  <c r="AW40" i="7"/>
  <c r="AR39" i="7"/>
  <c r="AS39" i="7" s="1"/>
  <c r="AR40" i="7"/>
  <c r="AS40" i="7" s="1"/>
  <c r="AV38" i="7"/>
  <c r="AW38" i="7"/>
  <c r="AU38" i="7"/>
  <c r="U8" i="14"/>
  <c r="V8" i="14"/>
  <c r="A39" i="7" s="1"/>
  <c r="U9" i="14"/>
  <c r="V9" i="14" s="1"/>
  <c r="A40" i="28" s="1"/>
  <c r="U7" i="14"/>
  <c r="V7" i="14"/>
  <c r="A38" i="28" s="1"/>
  <c r="AQ44" i="7"/>
  <c r="BE36" i="7"/>
  <c r="BE35" i="7"/>
  <c r="BE34" i="7"/>
  <c r="BE33" i="7"/>
  <c r="BE32" i="7"/>
  <c r="BE31" i="7"/>
  <c r="BE30" i="7"/>
  <c r="BE29" i="7"/>
  <c r="BE28" i="7"/>
  <c r="BE27" i="7"/>
  <c r="BE26" i="7"/>
  <c r="AF144" i="7"/>
  <c r="N133" i="7"/>
  <c r="J133" i="7"/>
  <c r="BE25" i="7"/>
  <c r="S9" i="15"/>
  <c r="S6" i="15"/>
  <c r="S7" i="15"/>
  <c r="S8" i="15"/>
  <c r="S10" i="15"/>
  <c r="S11" i="15"/>
  <c r="S5" i="15"/>
  <c r="R6" i="15"/>
  <c r="R7" i="15"/>
  <c r="R8" i="15"/>
  <c r="R9" i="15"/>
  <c r="R10" i="15"/>
  <c r="R11" i="15"/>
  <c r="R5" i="15"/>
  <c r="P6" i="15"/>
  <c r="I6" i="15" s="1"/>
  <c r="P7" i="15"/>
  <c r="I7" i="15" s="1"/>
  <c r="O6" i="15"/>
  <c r="H6" i="15" s="1"/>
  <c r="O7" i="15"/>
  <c r="H7" i="15" s="1"/>
  <c r="P5" i="15"/>
  <c r="I5" i="15" s="1"/>
  <c r="O5" i="15"/>
  <c r="H5" i="15" s="1"/>
  <c r="N5" i="15"/>
  <c r="G5" i="15" s="1"/>
  <c r="N18" i="15"/>
  <c r="N6" i="15"/>
  <c r="G6" i="15"/>
  <c r="N7" i="15"/>
  <c r="G7" i="15"/>
  <c r="L10" i="9"/>
  <c r="L9" i="9"/>
  <c r="M8" i="9" s="1"/>
  <c r="L6" i="9"/>
  <c r="L5" i="9"/>
  <c r="L4" i="9"/>
  <c r="M3" i="9" s="1"/>
  <c r="B16" i="7"/>
  <c r="AU13" i="7"/>
  <c r="C7" i="9"/>
  <c r="AU34" i="7"/>
  <c r="AU31" i="7"/>
  <c r="AU30" i="7"/>
  <c r="AU33" i="7"/>
  <c r="AU35" i="7"/>
  <c r="AU29" i="7"/>
  <c r="AR31" i="7"/>
  <c r="AS31" i="7"/>
  <c r="AR35" i="7"/>
  <c r="AT35" i="7"/>
  <c r="AR29" i="7"/>
  <c r="AS29" i="7"/>
  <c r="AR33" i="7"/>
  <c r="AT33" i="7"/>
  <c r="AR34" i="7"/>
  <c r="AR30" i="7"/>
  <c r="AT30" i="7" s="1"/>
  <c r="AW35" i="7"/>
  <c r="AW33" i="7"/>
  <c r="AW29" i="7"/>
  <c r="AW34" i="7"/>
  <c r="AW31" i="7"/>
  <c r="AW30" i="7"/>
  <c r="AV33" i="7"/>
  <c r="AV29" i="7"/>
  <c r="AV30" i="7"/>
  <c r="AV34" i="7"/>
  <c r="AV31" i="7"/>
  <c r="AV35" i="7"/>
  <c r="AX34" i="7"/>
  <c r="P34" i="7" s="1"/>
  <c r="AX35" i="7"/>
  <c r="AX31" i="7"/>
  <c r="P31" i="7"/>
  <c r="AX30" i="7"/>
  <c r="P30" i="7"/>
  <c r="AH30" i="7" s="1"/>
  <c r="AX33" i="7"/>
  <c r="P33" i="7" s="1"/>
  <c r="AH33" i="7" s="1"/>
  <c r="AX29" i="7"/>
  <c r="AZ33" i="7"/>
  <c r="AK33" i="7" s="1"/>
  <c r="AZ29" i="7"/>
  <c r="AK29" i="7" s="1"/>
  <c r="AZ34" i="7"/>
  <c r="AK34" i="7" s="1"/>
  <c r="AZ30" i="7"/>
  <c r="AK30" i="7" s="1"/>
  <c r="AZ35" i="7"/>
  <c r="AK35" i="7" s="1"/>
  <c r="AZ31" i="7"/>
  <c r="AK31" i="7" s="1"/>
  <c r="BA35" i="7"/>
  <c r="BA33" i="7"/>
  <c r="BA29" i="7"/>
  <c r="BA31" i="7"/>
  <c r="BA30" i="7"/>
  <c r="BA34" i="7"/>
  <c r="BB31" i="7"/>
  <c r="BB30" i="7"/>
  <c r="BB35" i="7"/>
  <c r="BB34" i="7"/>
  <c r="BB29" i="7"/>
  <c r="BB33" i="7"/>
  <c r="AY34" i="7"/>
  <c r="AJ34" i="7" s="1"/>
  <c r="AY31" i="7"/>
  <c r="AJ31" i="7" s="1"/>
  <c r="AY30" i="7"/>
  <c r="AJ30" i="7" s="1"/>
  <c r="AY35" i="7"/>
  <c r="AJ35" i="7" s="1"/>
  <c r="AY33" i="7"/>
  <c r="AJ33" i="7" s="1"/>
  <c r="AY29" i="7"/>
  <c r="AJ29" i="7" s="1"/>
  <c r="BC34" i="7"/>
  <c r="BC31" i="7"/>
  <c r="BC30" i="7"/>
  <c r="BC35" i="7"/>
  <c r="BC29" i="7"/>
  <c r="BC33" i="7"/>
  <c r="BD29" i="7"/>
  <c r="BD33" i="7"/>
  <c r="BD30" i="7"/>
  <c r="BD35" i="7"/>
  <c r="BD34" i="7"/>
  <c r="BD31" i="7"/>
  <c r="AR32" i="7"/>
  <c r="AT32" i="7" s="1"/>
  <c r="AR28" i="7"/>
  <c r="AS28" i="7" s="1"/>
  <c r="AR26" i="7"/>
  <c r="AS26" i="7" s="1"/>
  <c r="AU32" i="7"/>
  <c r="AU28" i="7"/>
  <c r="AU26" i="7"/>
  <c r="AV32" i="7"/>
  <c r="AV28" i="7"/>
  <c r="AV26" i="7"/>
  <c r="AW32" i="7"/>
  <c r="AW28" i="7"/>
  <c r="AW26" i="7"/>
  <c r="AX32" i="7"/>
  <c r="Q32" i="7"/>
  <c r="AG32" i="7" s="1"/>
  <c r="AX28" i="7"/>
  <c r="P28" i="7" s="1"/>
  <c r="AF28" i="7"/>
  <c r="AX26" i="7"/>
  <c r="Q26" i="7"/>
  <c r="AG26" i="7" s="1"/>
  <c r="V32" i="7"/>
  <c r="V26" i="7"/>
  <c r="V28" i="7"/>
  <c r="AZ32" i="7"/>
  <c r="AK32" i="7"/>
  <c r="AZ28" i="7"/>
  <c r="AK28" i="7"/>
  <c r="AZ26" i="7"/>
  <c r="AK26" i="7"/>
  <c r="BA32" i="7"/>
  <c r="BA28" i="7"/>
  <c r="BA26" i="7"/>
  <c r="BB32" i="7"/>
  <c r="BB26" i="7"/>
  <c r="BB28" i="7"/>
  <c r="AA32" i="7"/>
  <c r="AA28" i="7"/>
  <c r="AA26" i="7"/>
  <c r="AY32" i="7"/>
  <c r="AJ32" i="7" s="1"/>
  <c r="AY26" i="7"/>
  <c r="AJ26" i="7" s="1"/>
  <c r="AY28" i="7"/>
  <c r="AJ28" i="7" s="1"/>
  <c r="BC32" i="7"/>
  <c r="BC28" i="7"/>
  <c r="BC26" i="7"/>
  <c r="BD32" i="7"/>
  <c r="BD26" i="7"/>
  <c r="BD28" i="7"/>
  <c r="Q40" i="21"/>
  <c r="Q38" i="21" s="1"/>
  <c r="U38" i="21"/>
  <c r="AR27" i="7"/>
  <c r="AT27" i="7" s="1"/>
  <c r="AU27" i="7"/>
  <c r="AV27" i="7"/>
  <c r="AW27" i="7"/>
  <c r="AX27" i="7"/>
  <c r="P27" i="7"/>
  <c r="AF27" i="7" s="1"/>
  <c r="V27" i="7"/>
  <c r="AZ27" i="7"/>
  <c r="AK27" i="7"/>
  <c r="BA27" i="7"/>
  <c r="BB27" i="7"/>
  <c r="AA27" i="7"/>
  <c r="AY27" i="7"/>
  <c r="AJ27" i="7" s="1"/>
  <c r="BC27" i="7"/>
  <c r="BD27" i="7"/>
  <c r="AR36" i="7"/>
  <c r="AS36" i="7" s="1"/>
  <c r="AU36" i="7"/>
  <c r="AV36" i="7"/>
  <c r="AW36" i="7"/>
  <c r="AX36" i="7"/>
  <c r="Q36" i="7"/>
  <c r="V36" i="7"/>
  <c r="AZ36" i="7"/>
  <c r="AK36" i="7" s="1"/>
  <c r="BA36" i="7"/>
  <c r="BB36" i="7"/>
  <c r="AA36" i="7"/>
  <c r="AY36" i="7"/>
  <c r="AJ36" i="7"/>
  <c r="BC36" i="7"/>
  <c r="BD36" i="7"/>
  <c r="AN26" i="28"/>
  <c r="J117" i="28"/>
  <c r="AN29" i="28"/>
  <c r="S29" i="28"/>
  <c r="AL31" i="28"/>
  <c r="S31" i="28"/>
  <c r="S28" i="28"/>
  <c r="AL32" i="28"/>
  <c r="AM33" i="28"/>
  <c r="AN33" i="28"/>
  <c r="S33" i="28"/>
  <c r="AM35" i="28"/>
  <c r="S35" i="28"/>
  <c r="AN36" i="28"/>
  <c r="S36" i="28"/>
  <c r="AM25" i="28"/>
  <c r="AR25" i="28"/>
  <c r="AS25" i="28" s="1"/>
  <c r="Q29" i="28"/>
  <c r="AT32" i="28"/>
  <c r="AS29" i="28"/>
  <c r="Q34" i="28"/>
  <c r="AS36" i="28"/>
  <c r="Q36" i="28"/>
  <c r="AG36" i="28"/>
  <c r="P36" i="28"/>
  <c r="AT34" i="28"/>
  <c r="AU25" i="28"/>
  <c r="AV25" i="28"/>
  <c r="AW25" i="28"/>
  <c r="AX25" i="28"/>
  <c r="Q25" i="28" s="1"/>
  <c r="V25" i="28"/>
  <c r="AZ25" i="28"/>
  <c r="AK25" i="28"/>
  <c r="BA25" i="28"/>
  <c r="BB25" i="28"/>
  <c r="AA25" i="28"/>
  <c r="AY25" i="28"/>
  <c r="AJ25" i="28" s="1"/>
  <c r="BC25" i="28"/>
  <c r="BD25" i="28"/>
  <c r="D27" i="29"/>
  <c r="D29" i="29" s="1"/>
  <c r="AT31" i="28"/>
  <c r="C28" i="29"/>
  <c r="AS33" i="28"/>
  <c r="P32" i="28"/>
  <c r="P30" i="28"/>
  <c r="AT35" i="28"/>
  <c r="E27" i="29"/>
  <c r="E28" i="29" s="1"/>
  <c r="N26" i="28"/>
  <c r="BO26" i="28" s="1"/>
  <c r="I26" i="28"/>
  <c r="S26" i="28"/>
  <c r="AD32" i="28"/>
  <c r="BO28" i="28"/>
  <c r="AT27" i="28"/>
  <c r="AF34" i="28"/>
  <c r="BP34" i="28" s="1"/>
  <c r="C33" i="29"/>
  <c r="AF29" i="28"/>
  <c r="BP29" i="28" s="1"/>
  <c r="AH29" i="28"/>
  <c r="BN27" i="28"/>
  <c r="P25" i="28"/>
  <c r="AH25" i="28" s="1"/>
  <c r="B145" i="28"/>
  <c r="AL36" i="7"/>
  <c r="D28" i="29"/>
  <c r="D25" i="21"/>
  <c r="F24" i="21"/>
  <c r="E25" i="21"/>
  <c r="Q27" i="28"/>
  <c r="P27" i="28"/>
  <c r="BP35" i="28"/>
  <c r="AT26" i="28"/>
  <c r="AS26" i="28"/>
  <c r="AM38" i="7"/>
  <c r="J30" i="28"/>
  <c r="N30" i="28" s="1"/>
  <c r="BN30" i="28" s="1"/>
  <c r="I30" i="28"/>
  <c r="AM32" i="28"/>
  <c r="Y32" i="28" s="1"/>
  <c r="S32" i="28"/>
  <c r="AN32" i="28"/>
  <c r="Z32" i="28"/>
  <c r="AM34" i="28"/>
  <c r="S34" i="28"/>
  <c r="J35" i="28"/>
  <c r="N35" i="28"/>
  <c r="BN35" i="28" s="1"/>
  <c r="I35" i="28"/>
  <c r="B11" i="28"/>
  <c r="B12" i="28"/>
  <c r="C34" i="29"/>
  <c r="D26" i="29"/>
  <c r="AL36" i="28"/>
  <c r="AM36" i="28"/>
  <c r="X131" i="28"/>
  <c r="D125" i="28" s="1"/>
  <c r="P28" i="28"/>
  <c r="Q28" i="28"/>
  <c r="AG28" i="28"/>
  <c r="AD28" i="28" s="1"/>
  <c r="Q31" i="28"/>
  <c r="AG31" i="28" s="1"/>
  <c r="AD36" i="28"/>
  <c r="X36" i="28"/>
  <c r="Z36" i="28"/>
  <c r="S27" i="28"/>
  <c r="AN25" i="28"/>
  <c r="T38" i="21"/>
  <c r="M42" i="28"/>
  <c r="AS30" i="28"/>
  <c r="AD30" i="28"/>
  <c r="AT30" i="28"/>
  <c r="BQ32" i="28"/>
  <c r="C35" i="29"/>
  <c r="Q35" i="28"/>
  <c r="AG35" i="28" s="1"/>
  <c r="AB32" i="28"/>
  <c r="I36" i="28"/>
  <c r="AN27" i="28"/>
  <c r="AM29" i="28"/>
  <c r="AL29" i="28"/>
  <c r="R12" i="15"/>
  <c r="S12" i="15"/>
  <c r="AA42" i="21"/>
  <c r="AF32" i="28"/>
  <c r="AH32" i="28"/>
  <c r="AI32" i="28"/>
  <c r="AH36" i="28"/>
  <c r="AI36" i="28" s="1"/>
  <c r="AF36" i="28"/>
  <c r="BN26" i="28"/>
  <c r="AF31" i="28"/>
  <c r="R31" i="28" s="1"/>
  <c r="AH31" i="28"/>
  <c r="AM30" i="28"/>
  <c r="Y30" i="28"/>
  <c r="S30" i="28"/>
  <c r="AL30" i="28"/>
  <c r="X30" i="28"/>
  <c r="AN30" i="28"/>
  <c r="Z30" i="28" s="1"/>
  <c r="BQ30" i="28"/>
  <c r="AT25" i="28"/>
  <c r="AF25" i="28"/>
  <c r="U25" i="28" s="1"/>
  <c r="AG25" i="28"/>
  <c r="AI25" i="28"/>
  <c r="BQ36" i="28"/>
  <c r="AC36" i="28"/>
  <c r="AB36" i="28"/>
  <c r="J33" i="28"/>
  <c r="N33" i="28"/>
  <c r="I33" i="28"/>
  <c r="BO36" i="28"/>
  <c r="BN36" i="28"/>
  <c r="J119" i="28"/>
  <c r="N132" i="28"/>
  <c r="I119" i="28"/>
  <c r="P26" i="28"/>
  <c r="AF26" i="28" s="1"/>
  <c r="BP26" i="28" s="1"/>
  <c r="Q26" i="28"/>
  <c r="AG26" i="28" s="1"/>
  <c r="BN31" i="28"/>
  <c r="BO31" i="28"/>
  <c r="Y36" i="28"/>
  <c r="AH30" i="28"/>
  <c r="AI30" i="28" s="1"/>
  <c r="AF30" i="28"/>
  <c r="T30" i="28" s="1"/>
  <c r="R35" i="28"/>
  <c r="O21" i="21"/>
  <c r="P18" i="21"/>
  <c r="P33" i="21"/>
  <c r="J32" i="28"/>
  <c r="N32" i="28" s="1"/>
  <c r="BN32" i="28" s="1"/>
  <c r="I32" i="28"/>
  <c r="X35" i="28"/>
  <c r="AD31" i="28"/>
  <c r="AM28" i="28"/>
  <c r="AN28" i="28"/>
  <c r="Z28" i="28"/>
  <c r="BO30" i="28"/>
  <c r="AM31" i="28"/>
  <c r="AN31" i="28"/>
  <c r="AL34" i="28"/>
  <c r="AN34" i="28"/>
  <c r="I116" i="28"/>
  <c r="AB30" i="28"/>
  <c r="AD35" i="28"/>
  <c r="AC28" i="28"/>
  <c r="X28" i="28"/>
  <c r="AF27" i="28"/>
  <c r="AH27" i="28"/>
  <c r="D31" i="29"/>
  <c r="AF28" i="28"/>
  <c r="T28" i="28" s="1"/>
  <c r="AH28" i="28"/>
  <c r="AI28" i="28" s="1"/>
  <c r="E26" i="29"/>
  <c r="D33" i="29"/>
  <c r="D35" i="29"/>
  <c r="D34" i="29"/>
  <c r="AG27" i="28"/>
  <c r="AI27" i="28"/>
  <c r="AC30" i="28"/>
  <c r="AI31" i="28"/>
  <c r="BO35" i="28"/>
  <c r="U35" i="28"/>
  <c r="P21" i="21"/>
  <c r="P25" i="21"/>
  <c r="Q18" i="21"/>
  <c r="Y28" i="28"/>
  <c r="U28" i="28"/>
  <c r="BO32" i="28"/>
  <c r="BO33" i="28"/>
  <c r="BN33" i="28"/>
  <c r="Y25" i="28"/>
  <c r="AD25" i="28"/>
  <c r="AC25" i="28"/>
  <c r="Z25" i="28"/>
  <c r="AB25" i="28"/>
  <c r="BQ25" i="28"/>
  <c r="BP31" i="28"/>
  <c r="U31" i="28"/>
  <c r="R36" i="28"/>
  <c r="BP36" i="28"/>
  <c r="T36" i="28"/>
  <c r="U36" i="28"/>
  <c r="R32" i="28"/>
  <c r="T32" i="28"/>
  <c r="BP32" i="28"/>
  <c r="U32" i="28"/>
  <c r="M132" i="28"/>
  <c r="M131" i="28" s="1"/>
  <c r="Q33" i="21"/>
  <c r="O25" i="21"/>
  <c r="U30" i="28"/>
  <c r="BP30" i="28"/>
  <c r="R30" i="28"/>
  <c r="AH26" i="28"/>
  <c r="AI26" i="28"/>
  <c r="U27" i="28"/>
  <c r="F26" i="29"/>
  <c r="E33" i="29"/>
  <c r="E34" i="29"/>
  <c r="E31" i="29"/>
  <c r="E35" i="29"/>
  <c r="BQ27" i="28"/>
  <c r="AC27" i="28"/>
  <c r="AD27" i="28"/>
  <c r="AB27" i="28"/>
  <c r="Z27" i="28"/>
  <c r="R28" i="28"/>
  <c r="R33" i="21"/>
  <c r="S33" i="21" s="1"/>
  <c r="Q36" i="21"/>
  <c r="Q25" i="21"/>
  <c r="R18" i="21"/>
  <c r="I132" i="28"/>
  <c r="U26" i="28"/>
  <c r="T26" i="28"/>
  <c r="R26" i="28"/>
  <c r="Y26" i="28"/>
  <c r="Z26" i="28"/>
  <c r="X26" i="28"/>
  <c r="BQ26" i="28"/>
  <c r="AC26" i="28"/>
  <c r="G26" i="29"/>
  <c r="F33" i="29"/>
  <c r="F34" i="29"/>
  <c r="F35" i="29"/>
  <c r="S18" i="21"/>
  <c r="S25" i="21" s="1"/>
  <c r="H26" i="29"/>
  <c r="H35" i="29" s="1"/>
  <c r="G33" i="29"/>
  <c r="G35" i="29"/>
  <c r="G34" i="29"/>
  <c r="T18" i="21"/>
  <c r="T21" i="21" s="1"/>
  <c r="S26" i="21"/>
  <c r="T33" i="21"/>
  <c r="H33" i="29"/>
  <c r="H34" i="29"/>
  <c r="I26" i="29"/>
  <c r="I35" i="29" s="1"/>
  <c r="T25" i="21"/>
  <c r="U18" i="21"/>
  <c r="U21" i="21" s="1"/>
  <c r="U33" i="21"/>
  <c r="I33" i="29"/>
  <c r="I34" i="29"/>
  <c r="U25" i="21"/>
  <c r="U26" i="21" s="1"/>
  <c r="V33" i="21"/>
  <c r="W33" i="21" s="1"/>
  <c r="X33" i="21"/>
  <c r="Y33" i="21" s="1"/>
  <c r="AM32" i="7"/>
  <c r="AM29" i="7"/>
  <c r="BS38" i="28"/>
  <c r="J38" i="28"/>
  <c r="AL35" i="7"/>
  <c r="AM35" i="7"/>
  <c r="P77" i="7"/>
  <c r="J77" i="7"/>
  <c r="J118" i="7"/>
  <c r="I118" i="7"/>
  <c r="J31" i="7"/>
  <c r="N31" i="7"/>
  <c r="BN31" i="7" s="1"/>
  <c r="AN30" i="7"/>
  <c r="AT40" i="7"/>
  <c r="BS38" i="7"/>
  <c r="I38" i="7" s="1"/>
  <c r="BD40" i="28"/>
  <c r="BM39" i="7"/>
  <c r="AL38" i="7"/>
  <c r="S38" i="7"/>
  <c r="S32" i="7"/>
  <c r="AM27" i="7"/>
  <c r="AR25" i="7"/>
  <c r="AS25" i="7"/>
  <c r="AU25" i="7"/>
  <c r="AV25" i="7"/>
  <c r="AW25" i="7"/>
  <c r="AX25" i="7"/>
  <c r="P25" i="7" s="1"/>
  <c r="V25" i="7"/>
  <c r="AZ25" i="7"/>
  <c r="AK25" i="7"/>
  <c r="BA25" i="7"/>
  <c r="BB25" i="7"/>
  <c r="AA25" i="7"/>
  <c r="AY25" i="7"/>
  <c r="AJ25" i="7" s="1"/>
  <c r="BC25" i="7"/>
  <c r="W25" i="7"/>
  <c r="BG25" i="7"/>
  <c r="BF25" i="7"/>
  <c r="BD25" i="7"/>
  <c r="BH25" i="7"/>
  <c r="BS40" i="28"/>
  <c r="J40" i="28" s="1"/>
  <c r="N40" i="28" s="1"/>
  <c r="Q40" i="7"/>
  <c r="AG40" i="7" s="1"/>
  <c r="S35" i="7"/>
  <c r="S30" i="7"/>
  <c r="BL40" i="28"/>
  <c r="AL39" i="28"/>
  <c r="I43" i="7"/>
  <c r="I44" i="7"/>
  <c r="B145" i="7"/>
  <c r="P38" i="7"/>
  <c r="AH38" i="7" s="1"/>
  <c r="AI38" i="7" s="1"/>
  <c r="AS40" i="28"/>
  <c r="AN31" i="7"/>
  <c r="S26" i="7"/>
  <c r="AL25" i="7"/>
  <c r="BL39" i="7"/>
  <c r="S39" i="7"/>
  <c r="AF40" i="7"/>
  <c r="BP40" i="7"/>
  <c r="AT39" i="7"/>
  <c r="I119" i="7"/>
  <c r="I34" i="7"/>
  <c r="J32" i="7"/>
  <c r="N32" i="7" s="1"/>
  <c r="S29" i="7"/>
  <c r="AM28" i="7"/>
  <c r="BC40" i="28"/>
  <c r="BM40" i="7"/>
  <c r="A39" i="28"/>
  <c r="AM36" i="7"/>
  <c r="AM34" i="7"/>
  <c r="I33" i="7"/>
  <c r="AL27" i="7"/>
  <c r="S27" i="7"/>
  <c r="AL26" i="7"/>
  <c r="AN26" i="7"/>
  <c r="J26" i="7"/>
  <c r="N26" i="7"/>
  <c r="BN26" i="7" s="1"/>
  <c r="Z144" i="7"/>
  <c r="M143" i="7"/>
  <c r="C26" i="12"/>
  <c r="C34" i="12" s="1"/>
  <c r="S144" i="7"/>
  <c r="AE144" i="7" s="1"/>
  <c r="N44" i="7"/>
  <c r="M46" i="7"/>
  <c r="AN40" i="7"/>
  <c r="S40" i="7"/>
  <c r="BC40" i="7"/>
  <c r="AL40" i="7"/>
  <c r="BS40" i="7"/>
  <c r="I40" i="7" s="1"/>
  <c r="BM40" i="28"/>
  <c r="AN40" i="28"/>
  <c r="BL40" i="7"/>
  <c r="AM40" i="7"/>
  <c r="S40" i="28"/>
  <c r="AN39" i="28"/>
  <c r="BM39" i="28"/>
  <c r="BD39" i="28"/>
  <c r="BS39" i="28"/>
  <c r="J39" i="28" s="1"/>
  <c r="N39" i="28" s="1"/>
  <c r="BC39" i="28"/>
  <c r="AM39" i="28"/>
  <c r="BL39" i="28"/>
  <c r="BD38" i="7"/>
  <c r="BC38" i="7"/>
  <c r="AL38" i="28"/>
  <c r="AN38" i="7"/>
  <c r="AS39" i="28"/>
  <c r="Z131" i="7"/>
  <c r="I116" i="7"/>
  <c r="I36" i="7"/>
  <c r="AM33" i="7"/>
  <c r="AL33" i="7"/>
  <c r="AL31" i="7"/>
  <c r="S31" i="7"/>
  <c r="J30" i="7"/>
  <c r="N30" i="7"/>
  <c r="J29" i="7"/>
  <c r="N29" i="7" s="1"/>
  <c r="Q31" i="7"/>
  <c r="Q25" i="7"/>
  <c r="AG25" i="7"/>
  <c r="AT28" i="7"/>
  <c r="J40" i="7"/>
  <c r="N40" i="7"/>
  <c r="I39" i="28"/>
  <c r="M43" i="7"/>
  <c r="A37" i="7"/>
  <c r="BD39" i="7"/>
  <c r="BC39" i="7"/>
  <c r="AN39" i="7"/>
  <c r="AM39" i="7"/>
  <c r="BS39" i="7"/>
  <c r="N38" i="28"/>
  <c r="BN38" i="28"/>
  <c r="AM38" i="28"/>
  <c r="AN38" i="28"/>
  <c r="Z38" i="28"/>
  <c r="BM38" i="28"/>
  <c r="A38" i="7"/>
  <c r="BD38" i="28"/>
  <c r="I38" i="28"/>
  <c r="BC38" i="28"/>
  <c r="S38" i="28"/>
  <c r="AD39" i="7"/>
  <c r="AB39" i="7"/>
  <c r="AT48" i="28"/>
  <c r="S144" i="28"/>
  <c r="AE144" i="28"/>
  <c r="X38" i="28"/>
  <c r="BQ38" i="28"/>
  <c r="Y38" i="28"/>
  <c r="Z39" i="28"/>
  <c r="AD39" i="28"/>
  <c r="BQ39" i="28"/>
  <c r="Y39" i="28"/>
  <c r="X39" i="28"/>
  <c r="AC39" i="28"/>
  <c r="AB39" i="28"/>
  <c r="BP40" i="28"/>
  <c r="Y38" i="7"/>
  <c r="A40" i="7"/>
  <c r="P39" i="7"/>
  <c r="AF39" i="7"/>
  <c r="R39" i="7" s="1"/>
  <c r="P38" i="28"/>
  <c r="AF38" i="28"/>
  <c r="Q40" i="28"/>
  <c r="AG40" i="28" s="1"/>
  <c r="Z39" i="7"/>
  <c r="AS38" i="28"/>
  <c r="AB38" i="28"/>
  <c r="AF38" i="7"/>
  <c r="P39" i="28"/>
  <c r="AF39" i="28" s="1"/>
  <c r="X131" i="7"/>
  <c r="D125" i="7" s="1"/>
  <c r="AA131" i="7"/>
  <c r="M132" i="7"/>
  <c r="BQ39" i="7"/>
  <c r="Y39" i="7"/>
  <c r="P36" i="7"/>
  <c r="AH36" i="7"/>
  <c r="BO35" i="7"/>
  <c r="S34" i="7"/>
  <c r="P32" i="7"/>
  <c r="AF32" i="7"/>
  <c r="AL29" i="7"/>
  <c r="AL28" i="7"/>
  <c r="AN28" i="7"/>
  <c r="J27" i="7"/>
  <c r="N27" i="7"/>
  <c r="BN27" i="7" s="1"/>
  <c r="P26" i="7"/>
  <c r="AM25" i="7"/>
  <c r="S25" i="7"/>
  <c r="B11" i="7"/>
  <c r="X38" i="7"/>
  <c r="BO40" i="7"/>
  <c r="BN40" i="7"/>
  <c r="BQ38" i="7"/>
  <c r="X39" i="7"/>
  <c r="Z38" i="7"/>
  <c r="AH39" i="7"/>
  <c r="AI39" i="7"/>
  <c r="AC39" i="7"/>
  <c r="AS33" i="7"/>
  <c r="D33" i="9"/>
  <c r="D34" i="9"/>
  <c r="AT29" i="7"/>
  <c r="BQ32" i="7"/>
  <c r="AH31" i="7"/>
  <c r="AI31" i="7" s="1"/>
  <c r="AF31" i="7"/>
  <c r="Z26" i="7"/>
  <c r="Y26" i="7"/>
  <c r="AH27" i="7"/>
  <c r="Q27" i="7"/>
  <c r="D26" i="12"/>
  <c r="Q77" i="7"/>
  <c r="D32" i="9"/>
  <c r="AS27" i="7"/>
  <c r="Q30" i="7"/>
  <c r="AI30" i="7" s="1"/>
  <c r="AG30" i="7"/>
  <c r="AS30" i="7"/>
  <c r="C35" i="12"/>
  <c r="AT26" i="7"/>
  <c r="AB25" i="7"/>
  <c r="AC30" i="7"/>
  <c r="AT36" i="7"/>
  <c r="AD25" i="7"/>
  <c r="D30" i="9"/>
  <c r="C33" i="12"/>
  <c r="Q34" i="7"/>
  <c r="AG34" i="7"/>
  <c r="BQ34" i="7"/>
  <c r="AS32" i="7"/>
  <c r="BQ25" i="7"/>
  <c r="BN33" i="7"/>
  <c r="AT31" i="7"/>
  <c r="BN30" i="7"/>
  <c r="BO30" i="7"/>
  <c r="AH32" i="7"/>
  <c r="AI32" i="7"/>
  <c r="AF26" i="7"/>
  <c r="AH26" i="7"/>
  <c r="AI26" i="7"/>
  <c r="AG31" i="7"/>
  <c r="C29" i="12"/>
  <c r="C28" i="12"/>
  <c r="C31" i="12"/>
  <c r="D27" i="12"/>
  <c r="BO26" i="7"/>
  <c r="AG36" i="7"/>
  <c r="AB26" i="7"/>
  <c r="X26" i="7"/>
  <c r="AC26" i="7"/>
  <c r="Y32" i="7"/>
  <c r="AF30" i="7"/>
  <c r="Q35" i="7"/>
  <c r="P35" i="7"/>
  <c r="AC25" i="7"/>
  <c r="AF33" i="7"/>
  <c r="BP28" i="7"/>
  <c r="BO31" i="7"/>
  <c r="Q33" i="7"/>
  <c r="BN25" i="7"/>
  <c r="BQ26" i="7"/>
  <c r="BN34" i="7"/>
  <c r="Q28" i="7"/>
  <c r="AS34" i="7"/>
  <c r="AB34" i="7" s="1"/>
  <c r="AT34" i="7"/>
  <c r="AS35" i="7"/>
  <c r="Z25" i="7"/>
  <c r="BP27" i="7"/>
  <c r="AD26" i="7"/>
  <c r="BN36" i="7"/>
  <c r="AH28" i="7"/>
  <c r="Q29" i="7"/>
  <c r="P29" i="7"/>
  <c r="AH34" i="7"/>
  <c r="AF34" i="7"/>
  <c r="M42" i="7"/>
  <c r="I39" i="7"/>
  <c r="J39" i="7"/>
  <c r="N39" i="7" s="1"/>
  <c r="BO38" i="28"/>
  <c r="U39" i="7"/>
  <c r="T38" i="7"/>
  <c r="BP38" i="7"/>
  <c r="U38" i="28"/>
  <c r="R38" i="28"/>
  <c r="BP38" i="28"/>
  <c r="T38" i="28"/>
  <c r="U38" i="7"/>
  <c r="T39" i="7"/>
  <c r="R38" i="7"/>
  <c r="AC38" i="28"/>
  <c r="AD38" i="28"/>
  <c r="BP39" i="28"/>
  <c r="U39" i="28"/>
  <c r="X40" i="28"/>
  <c r="AD40" i="28"/>
  <c r="R40" i="28"/>
  <c r="I132" i="7"/>
  <c r="M131" i="7"/>
  <c r="I131" i="7" s="1"/>
  <c r="M139" i="7" s="1"/>
  <c r="I139" i="7" s="1"/>
  <c r="S48" i="7"/>
  <c r="AG144" i="7" s="1"/>
  <c r="AH144" i="7"/>
  <c r="AI144" i="7" s="1"/>
  <c r="BO27" i="7"/>
  <c r="AI36" i="7"/>
  <c r="AF36" i="7"/>
  <c r="R36" i="7" s="1"/>
  <c r="BP36" i="7"/>
  <c r="BQ30" i="7"/>
  <c r="BP31" i="7"/>
  <c r="AI34" i="7"/>
  <c r="X34" i="7"/>
  <c r="Z34" i="7"/>
  <c r="AG27" i="7"/>
  <c r="AI27" i="7"/>
  <c r="BO77" i="7"/>
  <c r="BN77" i="7"/>
  <c r="D34" i="12"/>
  <c r="D35" i="12"/>
  <c r="E26" i="12"/>
  <c r="D33" i="12"/>
  <c r="Y34" i="7"/>
  <c r="AF29" i="7"/>
  <c r="AH29" i="7"/>
  <c r="BP33" i="7"/>
  <c r="AG29" i="7"/>
  <c r="AD34" i="7"/>
  <c r="AC34" i="7"/>
  <c r="R26" i="7"/>
  <c r="BP26" i="7"/>
  <c r="T26" i="7"/>
  <c r="U26" i="7"/>
  <c r="T34" i="7"/>
  <c r="U34" i="7"/>
  <c r="R34" i="7"/>
  <c r="BP34" i="7"/>
  <c r="AH35" i="7"/>
  <c r="AI35" i="7"/>
  <c r="AF35" i="7"/>
  <c r="BP32" i="7"/>
  <c r="T32" i="7"/>
  <c r="AI33" i="7"/>
  <c r="AG33" i="7"/>
  <c r="D29" i="12"/>
  <c r="E27" i="12"/>
  <c r="D28" i="12"/>
  <c r="D31" i="12"/>
  <c r="BP30" i="7"/>
  <c r="T30" i="7"/>
  <c r="U30" i="7"/>
  <c r="R30" i="7"/>
  <c r="AI28" i="7"/>
  <c r="AG28" i="7"/>
  <c r="AG35" i="7"/>
  <c r="AD36" i="7"/>
  <c r="BQ36" i="7"/>
  <c r="AC36" i="7"/>
  <c r="Y36" i="7"/>
  <c r="AB36" i="7"/>
  <c r="X36" i="7"/>
  <c r="Z36" i="7"/>
  <c r="Y31" i="7"/>
  <c r="X31" i="7"/>
  <c r="Z31" i="7"/>
  <c r="AD31" i="7"/>
  <c r="AB31" i="7"/>
  <c r="BQ31" i="7"/>
  <c r="AC31" i="7"/>
  <c r="U31" i="7"/>
  <c r="T36" i="7"/>
  <c r="BO39" i="7"/>
  <c r="BN39" i="7"/>
  <c r="U36" i="7"/>
  <c r="E33" i="12"/>
  <c r="F26" i="12"/>
  <c r="F33" i="12" s="1"/>
  <c r="E35" i="12"/>
  <c r="E34" i="12"/>
  <c r="AD27" i="7"/>
  <c r="Y27" i="7"/>
  <c r="X27" i="7"/>
  <c r="AC27" i="7"/>
  <c r="BQ27" i="7"/>
  <c r="T27" i="7"/>
  <c r="AB27" i="7"/>
  <c r="U27" i="7"/>
  <c r="Z27" i="7"/>
  <c r="R27" i="7"/>
  <c r="AD33" i="7"/>
  <c r="X33" i="7"/>
  <c r="AC33" i="7"/>
  <c r="Y33" i="7"/>
  <c r="AB33" i="7"/>
  <c r="BQ33" i="7"/>
  <c r="Z33" i="7"/>
  <c r="R33" i="7"/>
  <c r="AC28" i="7"/>
  <c r="AB28" i="7"/>
  <c r="Z28" i="7"/>
  <c r="Y28" i="7"/>
  <c r="X28" i="7"/>
  <c r="AD28" i="7"/>
  <c r="BQ28" i="7"/>
  <c r="T28" i="7"/>
  <c r="U28" i="7"/>
  <c r="R28" i="7"/>
  <c r="R29" i="7"/>
  <c r="T29" i="7"/>
  <c r="U29" i="7"/>
  <c r="BP29" i="7"/>
  <c r="AC35" i="7"/>
  <c r="BQ35" i="7"/>
  <c r="Y35" i="7"/>
  <c r="Z35" i="7"/>
  <c r="AD35" i="7"/>
  <c r="AB35" i="7"/>
  <c r="X35" i="7"/>
  <c r="E28" i="12"/>
  <c r="E31" i="12"/>
  <c r="F27" i="12"/>
  <c r="F28" i="12" s="1"/>
  <c r="F31" i="12" s="1"/>
  <c r="E29" i="12"/>
  <c r="T33" i="7"/>
  <c r="BP35" i="7"/>
  <c r="T35" i="7"/>
  <c r="U35" i="7"/>
  <c r="R35" i="7"/>
  <c r="Z29" i="7"/>
  <c r="BQ29" i="7"/>
  <c r="Y29" i="7"/>
  <c r="AC29" i="7"/>
  <c r="AB29" i="7"/>
  <c r="X29" i="7"/>
  <c r="AD29" i="7"/>
  <c r="U33" i="7"/>
  <c r="G26" i="12"/>
  <c r="F34" i="12"/>
  <c r="F35" i="12"/>
  <c r="F29" i="12"/>
  <c r="G27" i="12"/>
  <c r="G29" i="12" s="1"/>
  <c r="G35" i="12"/>
  <c r="H26" i="12"/>
  <c r="H34" i="12" s="1"/>
  <c r="G33" i="12"/>
  <c r="G34" i="12"/>
  <c r="H27" i="12"/>
  <c r="G28" i="12"/>
  <c r="G31" i="12"/>
  <c r="H33" i="12"/>
  <c r="H35" i="12"/>
  <c r="I26" i="12"/>
  <c r="I35" i="12" s="1"/>
  <c r="H28" i="12"/>
  <c r="J26" i="12"/>
  <c r="J33" i="12" s="1"/>
  <c r="I34" i="12"/>
  <c r="J34" i="12"/>
  <c r="J35" i="12"/>
  <c r="H29" i="12" l="1"/>
  <c r="I27" i="12"/>
  <c r="K26" i="12"/>
  <c r="L26" i="12"/>
  <c r="I33" i="12"/>
  <c r="H31" i="12"/>
  <c r="AI29" i="7"/>
  <c r="R39" i="28"/>
  <c r="T39" i="28"/>
  <c r="AH25" i="7"/>
  <c r="AF25" i="7"/>
  <c r="AT25" i="7"/>
  <c r="AI25" i="7"/>
  <c r="T31" i="7"/>
  <c r="R31" i="7"/>
  <c r="AB32" i="7"/>
  <c r="AD32" i="7"/>
  <c r="AC40" i="28"/>
  <c r="BQ40" i="28"/>
  <c r="Z40" i="28"/>
  <c r="AB40" i="28"/>
  <c r="Y40" i="28"/>
  <c r="T40" i="28"/>
  <c r="U40" i="28"/>
  <c r="BN29" i="7"/>
  <c r="BO29" i="7"/>
  <c r="BO32" i="7"/>
  <c r="BN32" i="7"/>
  <c r="R40" i="7"/>
  <c r="X40" i="7"/>
  <c r="U40" i="7"/>
  <c r="BQ40" i="7"/>
  <c r="BQ42" i="7" s="1"/>
  <c r="BQ43" i="7" s="1"/>
  <c r="W54" i="7" s="1"/>
  <c r="AB40" i="7"/>
  <c r="T40" i="7"/>
  <c r="AC40" i="7"/>
  <c r="AD40" i="7"/>
  <c r="Y40" i="7"/>
  <c r="Z40" i="7"/>
  <c r="Y25" i="7"/>
  <c r="X25" i="7"/>
  <c r="AC32" i="7"/>
  <c r="X30" i="7"/>
  <c r="AD30" i="7"/>
  <c r="Z30" i="7"/>
  <c r="AB30" i="7"/>
  <c r="Y30" i="7"/>
  <c r="BO40" i="28"/>
  <c r="BN40" i="28"/>
  <c r="M139" i="28"/>
  <c r="I139" i="28" s="1"/>
  <c r="I131" i="28"/>
  <c r="BN39" i="28"/>
  <c r="BO39" i="28"/>
  <c r="Z33" i="21"/>
  <c r="AA33" i="21"/>
  <c r="V18" i="21"/>
  <c r="BP27" i="28"/>
  <c r="AB26" i="28"/>
  <c r="AD26" i="28"/>
  <c r="AC35" i="28"/>
  <c r="Y35" i="28"/>
  <c r="Z35" i="28"/>
  <c r="T35" i="28"/>
  <c r="AB35" i="28"/>
  <c r="BQ35" i="28"/>
  <c r="J38" i="7"/>
  <c r="N38" i="7" s="1"/>
  <c r="J26" i="29"/>
  <c r="R25" i="21"/>
  <c r="Y31" i="28"/>
  <c r="X31" i="28"/>
  <c r="AB31" i="28"/>
  <c r="AC31" i="28"/>
  <c r="BQ31" i="28"/>
  <c r="Z31" i="28"/>
  <c r="BP39" i="7"/>
  <c r="I40" i="28"/>
  <c r="T26" i="21"/>
  <c r="Q26" i="21"/>
  <c r="J132" i="28"/>
  <c r="N131" i="28"/>
  <c r="AA41" i="21"/>
  <c r="AC32" i="28"/>
  <c r="X32" i="28"/>
  <c r="BP25" i="28"/>
  <c r="AG29" i="28"/>
  <c r="R29" i="28" s="1"/>
  <c r="AI29" i="28"/>
  <c r="O7" i="21"/>
  <c r="P5" i="21"/>
  <c r="AL25" i="28"/>
  <c r="S25" i="28"/>
  <c r="S48" i="28" s="1"/>
  <c r="AG144" i="28" s="1"/>
  <c r="AH144" i="28" s="1"/>
  <c r="AI144" i="28" s="1"/>
  <c r="AH35" i="28"/>
  <c r="AI35" i="28" s="1"/>
  <c r="BP28" i="28"/>
  <c r="T31" i="28"/>
  <c r="T25" i="28"/>
  <c r="AB28" i="28"/>
  <c r="BQ28" i="28"/>
  <c r="T34" i="28"/>
  <c r="F27" i="29"/>
  <c r="E29" i="29"/>
  <c r="AG34" i="28"/>
  <c r="AI34" i="28"/>
  <c r="R40" i="21"/>
  <c r="AS38" i="7"/>
  <c r="AT38" i="7"/>
  <c r="AN32" i="7"/>
  <c r="AL32" i="7"/>
  <c r="I35" i="7"/>
  <c r="J28" i="7"/>
  <c r="I28" i="7"/>
  <c r="M48" i="7" s="1"/>
  <c r="J25" i="28"/>
  <c r="I25" i="28"/>
  <c r="AL27" i="28"/>
  <c r="X27" i="28" s="1"/>
  <c r="AM27" i="28"/>
  <c r="P33" i="28"/>
  <c r="Q33" i="28"/>
  <c r="N132" i="7"/>
  <c r="C31" i="29"/>
  <c r="J34" i="28"/>
  <c r="N34" i="28" s="1"/>
  <c r="I34" i="28"/>
  <c r="Z144" i="28"/>
  <c r="M143" i="28"/>
  <c r="J29" i="28"/>
  <c r="N29" i="28" s="1"/>
  <c r="U32" i="7" l="1"/>
  <c r="Z32" i="7"/>
  <c r="X25" i="28"/>
  <c r="R25" i="28"/>
  <c r="N28" i="7"/>
  <c r="N48" i="7"/>
  <c r="AB34" i="28"/>
  <c r="AC34" i="28"/>
  <c r="BQ34" i="28"/>
  <c r="Y34" i="28"/>
  <c r="U34" i="28"/>
  <c r="AD34" i="28"/>
  <c r="Z34" i="28"/>
  <c r="X34" i="28"/>
  <c r="Q5" i="21"/>
  <c r="R5" i="21" s="1"/>
  <c r="S5" i="21" s="1"/>
  <c r="T5" i="21" s="1"/>
  <c r="P7" i="21"/>
  <c r="P10" i="21" s="1"/>
  <c r="BO38" i="7"/>
  <c r="BN38" i="7"/>
  <c r="W18" i="21"/>
  <c r="V21" i="21"/>
  <c r="V25" i="21"/>
  <c r="V26" i="21" s="1"/>
  <c r="Y48" i="7"/>
  <c r="AT48" i="7"/>
  <c r="I29" i="12"/>
  <c r="J27" i="12"/>
  <c r="I28" i="12"/>
  <c r="I31" i="12" s="1"/>
  <c r="C52" i="7"/>
  <c r="A146" i="7"/>
  <c r="D52" i="7"/>
  <c r="I49" i="7"/>
  <c r="M146" i="7" s="1"/>
  <c r="B60" i="7"/>
  <c r="B19" i="18"/>
  <c r="E52" i="7"/>
  <c r="F52" i="7"/>
  <c r="AC29" i="28"/>
  <c r="BQ29" i="28"/>
  <c r="X29" i="28"/>
  <c r="Z29" i="28"/>
  <c r="Y29" i="28"/>
  <c r="T29" i="28"/>
  <c r="AB29" i="28"/>
  <c r="U29" i="28"/>
  <c r="AD29" i="28"/>
  <c r="J34" i="29"/>
  <c r="L26" i="29"/>
  <c r="K26" i="29"/>
  <c r="J35" i="29"/>
  <c r="J33" i="29"/>
  <c r="N131" i="7"/>
  <c r="J131" i="7" s="1"/>
  <c r="N139" i="7" s="1"/>
  <c r="J139" i="7" s="1"/>
  <c r="J132" i="7"/>
  <c r="AG33" i="28"/>
  <c r="M48" i="28"/>
  <c r="AC38" i="7"/>
  <c r="AB38" i="7"/>
  <c r="AB48" i="7" s="1"/>
  <c r="AD38" i="7"/>
  <c r="AD48" i="7" s="1"/>
  <c r="O10" i="21"/>
  <c r="J131" i="28"/>
  <c r="N139" i="28"/>
  <c r="J139" i="28" s="1"/>
  <c r="R34" i="28"/>
  <c r="BP25" i="7"/>
  <c r="BP42" i="7" s="1"/>
  <c r="BP43" i="7" s="1"/>
  <c r="V54" i="7" s="1"/>
  <c r="T25" i="7"/>
  <c r="T48" i="7" s="1"/>
  <c r="U25" i="7"/>
  <c r="U48" i="7" s="1"/>
  <c r="R25" i="7"/>
  <c r="T27" i="28"/>
  <c r="Y27" i="28"/>
  <c r="BO29" i="28"/>
  <c r="BN29" i="28"/>
  <c r="BN34" i="28"/>
  <c r="BO34" i="28"/>
  <c r="AH33" i="28"/>
  <c r="AI33" i="28" s="1"/>
  <c r="AF33" i="28"/>
  <c r="N25" i="28"/>
  <c r="N48" i="28"/>
  <c r="X32" i="7"/>
  <c r="R32" i="7"/>
  <c r="R38" i="21"/>
  <c r="S40" i="21"/>
  <c r="S38" i="21" s="1"/>
  <c r="G27" i="29"/>
  <c r="F28" i="29"/>
  <c r="F31" i="29" s="1"/>
  <c r="F29" i="29"/>
  <c r="R27" i="28"/>
  <c r="R26" i="21"/>
  <c r="AC48" i="7"/>
  <c r="L34" i="12"/>
  <c r="L33" i="12"/>
  <c r="M26" i="12"/>
  <c r="L35" i="12"/>
  <c r="Z48" i="7"/>
  <c r="X48" i="7"/>
  <c r="K34" i="12"/>
  <c r="K33" i="12"/>
  <c r="K35" i="12"/>
  <c r="Z54" i="7" l="1"/>
  <c r="C53" i="28"/>
  <c r="F53" i="28"/>
  <c r="E53" i="28"/>
  <c r="N84" i="28"/>
  <c r="J84" i="28" s="1"/>
  <c r="J48" i="28"/>
  <c r="AA54" i="28" s="1"/>
  <c r="D53" i="28"/>
  <c r="E52" i="28"/>
  <c r="E60" i="28" s="1"/>
  <c r="A146" i="28"/>
  <c r="F52" i="28"/>
  <c r="F60" i="28" s="1"/>
  <c r="D52" i="28"/>
  <c r="D60" i="28" s="1"/>
  <c r="C52" i="28"/>
  <c r="B60" i="28"/>
  <c r="I49" i="28"/>
  <c r="M146" i="28" s="1"/>
  <c r="AA38" i="21"/>
  <c r="R36" i="21"/>
  <c r="BO25" i="28"/>
  <c r="BO42" i="28" s="1"/>
  <c r="BN25" i="28"/>
  <c r="BN42" i="28" s="1"/>
  <c r="N49" i="28"/>
  <c r="L35" i="29"/>
  <c r="L33" i="29"/>
  <c r="M26" i="29"/>
  <c r="L34" i="29"/>
  <c r="E60" i="7"/>
  <c r="E19" i="18"/>
  <c r="D19" i="18"/>
  <c r="D60" i="7"/>
  <c r="J29" i="12"/>
  <c r="K27" i="12"/>
  <c r="L27" i="12"/>
  <c r="J28" i="12"/>
  <c r="J31" i="12" s="1"/>
  <c r="X48" i="28"/>
  <c r="M33" i="12"/>
  <c r="M35" i="12"/>
  <c r="N26" i="12"/>
  <c r="M34" i="12"/>
  <c r="J19" i="18"/>
  <c r="T54" i="7"/>
  <c r="U48" i="28"/>
  <c r="U54" i="28" s="1"/>
  <c r="BP33" i="28"/>
  <c r="BP42" i="28" s="1"/>
  <c r="BP43" i="28" s="1"/>
  <c r="V54" i="28" s="1"/>
  <c r="R33" i="28"/>
  <c r="U33" i="28"/>
  <c r="T33" i="28"/>
  <c r="T48" i="28" s="1"/>
  <c r="T54" i="28" s="1"/>
  <c r="R48" i="7"/>
  <c r="X33" i="28"/>
  <c r="AD33" i="28"/>
  <c r="AD48" i="28" s="1"/>
  <c r="Z33" i="28"/>
  <c r="Z48" i="28" s="1"/>
  <c r="Z54" i="28" s="1"/>
  <c r="Y33" i="28"/>
  <c r="Y48" i="28" s="1"/>
  <c r="Y54" i="28" s="1"/>
  <c r="AC33" i="28"/>
  <c r="BQ33" i="28"/>
  <c r="BQ42" i="28" s="1"/>
  <c r="BQ43" i="28" s="1"/>
  <c r="W54" i="28" s="1"/>
  <c r="AB33" i="28"/>
  <c r="AB48" i="28" s="1"/>
  <c r="G19" i="18"/>
  <c r="F36" i="18"/>
  <c r="B36" i="18"/>
  <c r="J36" i="18"/>
  <c r="H19" i="18"/>
  <c r="D53" i="7"/>
  <c r="F53" i="7"/>
  <c r="N84" i="7"/>
  <c r="J84" i="7" s="1"/>
  <c r="E53" i="7"/>
  <c r="C53" i="7"/>
  <c r="J48" i="7"/>
  <c r="AA54" i="7" s="1"/>
  <c r="K35" i="29"/>
  <c r="K33" i="29"/>
  <c r="K34" i="29"/>
  <c r="F60" i="7"/>
  <c r="F19" i="18"/>
  <c r="X54" i="7"/>
  <c r="G28" i="29"/>
  <c r="G31" i="29" s="1"/>
  <c r="H27" i="29"/>
  <c r="G29" i="29"/>
  <c r="U54" i="7"/>
  <c r="K19" i="18"/>
  <c r="AC48" i="28"/>
  <c r="F77" i="7"/>
  <c r="M77" i="7"/>
  <c r="B77" i="7" s="1"/>
  <c r="C19" i="18"/>
  <c r="B37" i="18" s="1"/>
  <c r="C60" i="7"/>
  <c r="B78" i="7" s="1"/>
  <c r="N51" i="7"/>
  <c r="BO28" i="7"/>
  <c r="BO86" i="7" s="1"/>
  <c r="BN28" i="7"/>
  <c r="BN86" i="7" s="1"/>
  <c r="N49" i="7"/>
  <c r="Y54" i="7"/>
  <c r="W21" i="21"/>
  <c r="X18" i="21"/>
  <c r="W25" i="21"/>
  <c r="T7" i="21"/>
  <c r="U5" i="21"/>
  <c r="R48" i="28"/>
  <c r="R54" i="28" l="1"/>
  <c r="T144" i="28"/>
  <c r="U144" i="28" s="1"/>
  <c r="X144" i="28" s="1"/>
  <c r="AJ144" i="28"/>
  <c r="W26" i="21"/>
  <c r="M84" i="7"/>
  <c r="R54" i="7"/>
  <c r="I19" i="18"/>
  <c r="T144" i="7"/>
  <c r="U144" i="7" s="1"/>
  <c r="X144" i="7" s="1"/>
  <c r="AJ144" i="7"/>
  <c r="K28" i="12"/>
  <c r="K31" i="12" s="1"/>
  <c r="K29" i="12"/>
  <c r="X54" i="28"/>
  <c r="J49" i="7"/>
  <c r="N85" i="7"/>
  <c r="X25" i="21"/>
  <c r="X21" i="21"/>
  <c r="Y18" i="21"/>
  <c r="X26" i="21"/>
  <c r="N77" i="7"/>
  <c r="O26" i="12"/>
  <c r="N34" i="12"/>
  <c r="N35" i="12"/>
  <c r="N33" i="12"/>
  <c r="S36" i="21"/>
  <c r="M77" i="28"/>
  <c r="B77" i="28" s="1"/>
  <c r="F77" i="28" s="1"/>
  <c r="V5" i="21"/>
  <c r="U7" i="21"/>
  <c r="I27" i="29"/>
  <c r="H28" i="29"/>
  <c r="H31" i="29" s="1"/>
  <c r="H29" i="29"/>
  <c r="L28" i="12"/>
  <c r="L31" i="12" s="1"/>
  <c r="L29" i="12"/>
  <c r="M27" i="12"/>
  <c r="N26" i="29"/>
  <c r="M34" i="29"/>
  <c r="M35" i="29"/>
  <c r="M33" i="29"/>
  <c r="BO43" i="28"/>
  <c r="N143" i="28" s="1"/>
  <c r="N142" i="28" s="1"/>
  <c r="J143" i="28" s="1"/>
  <c r="J49" i="28"/>
  <c r="BN43" i="28"/>
  <c r="N137" i="28" s="1"/>
  <c r="N136" i="28" s="1"/>
  <c r="J137" i="28" s="1"/>
  <c r="N85" i="28"/>
  <c r="C60" i="28"/>
  <c r="B78" i="28" s="1"/>
  <c r="N51" i="28"/>
  <c r="N77" i="28" l="1"/>
  <c r="Y21" i="21"/>
  <c r="Y25" i="21" s="1"/>
  <c r="Z18" i="21"/>
  <c r="Z21" i="21" s="1"/>
  <c r="AA18" i="21"/>
  <c r="BO87" i="7"/>
  <c r="N143" i="7" s="1"/>
  <c r="N142" i="7" s="1"/>
  <c r="J143" i="7" s="1"/>
  <c r="BN87" i="7"/>
  <c r="N137" i="7" s="1"/>
  <c r="N136" i="7" s="1"/>
  <c r="J137" i="7" s="1"/>
  <c r="J85" i="7"/>
  <c r="N144" i="7"/>
  <c r="J144" i="7" s="1"/>
  <c r="I28" i="29"/>
  <c r="I31" i="29" s="1"/>
  <c r="I29" i="29"/>
  <c r="J27" i="29"/>
  <c r="Q26" i="12"/>
  <c r="O35" i="12"/>
  <c r="P26" i="12"/>
  <c r="O34" i="12"/>
  <c r="O33" i="12"/>
  <c r="AM144" i="7"/>
  <c r="AN144" i="7" s="1"/>
  <c r="AK144" i="7"/>
  <c r="I85" i="7"/>
  <c r="M144" i="7"/>
  <c r="I144" i="7" s="1"/>
  <c r="M138" i="7"/>
  <c r="N144" i="28"/>
  <c r="J144" i="28" s="1"/>
  <c r="J85" i="28"/>
  <c r="N138" i="28"/>
  <c r="N35" i="29"/>
  <c r="N34" i="29"/>
  <c r="N33" i="29"/>
  <c r="O26" i="29"/>
  <c r="M84" i="28"/>
  <c r="AA26" i="21"/>
  <c r="M28" i="12"/>
  <c r="M31" i="12" s="1"/>
  <c r="M29" i="12"/>
  <c r="N27" i="12"/>
  <c r="W5" i="21"/>
  <c r="V7" i="21"/>
  <c r="T36" i="21"/>
  <c r="AK144" i="28"/>
  <c r="AM144" i="28"/>
  <c r="AN144" i="28" s="1"/>
  <c r="M136" i="7" l="1"/>
  <c r="I137" i="7" s="1"/>
  <c r="M142" i="7"/>
  <c r="I143" i="7" s="1"/>
  <c r="I85" i="28"/>
  <c r="M138" i="28"/>
  <c r="M144" i="28"/>
  <c r="I144" i="28" s="1"/>
  <c r="J138" i="28"/>
  <c r="J140" i="28"/>
  <c r="Q34" i="12"/>
  <c r="Q35" i="12"/>
  <c r="Q33" i="12"/>
  <c r="R26" i="12"/>
  <c r="N138" i="7"/>
  <c r="W7" i="21"/>
  <c r="X5" i="21"/>
  <c r="O27" i="12"/>
  <c r="N28" i="12"/>
  <c r="N31" i="12" s="1"/>
  <c r="N29" i="12"/>
  <c r="P33" i="12"/>
  <c r="P35" i="12"/>
  <c r="P34" i="12"/>
  <c r="J29" i="29"/>
  <c r="L27" i="29"/>
  <c r="K27" i="29"/>
  <c r="J28" i="29"/>
  <c r="J31" i="29" s="1"/>
  <c r="U36" i="21"/>
  <c r="Q26" i="29"/>
  <c r="O34" i="29"/>
  <c r="O33" i="29"/>
  <c r="P26" i="29"/>
  <c r="O35" i="29"/>
  <c r="I138" i="7"/>
  <c r="I140" i="7"/>
  <c r="Z25" i="21"/>
  <c r="AA25" i="21" s="1"/>
  <c r="AB25" i="21" s="1"/>
  <c r="AA21" i="21"/>
  <c r="AB21" i="21" s="1"/>
  <c r="Q35" i="29" l="1"/>
  <c r="R26" i="29"/>
  <c r="Q34" i="29"/>
  <c r="Q33" i="29"/>
  <c r="K28" i="29"/>
  <c r="K31" i="29" s="1"/>
  <c r="K29" i="29"/>
  <c r="T26" i="12"/>
  <c r="S26" i="12"/>
  <c r="R34" i="12"/>
  <c r="R35" i="12"/>
  <c r="R33" i="12"/>
  <c r="I138" i="28"/>
  <c r="I140" i="28"/>
  <c r="X7" i="21"/>
  <c r="Y5" i="21"/>
  <c r="M142" i="28"/>
  <c r="I143" i="28" s="1"/>
  <c r="M136" i="28"/>
  <c r="I137" i="28" s="1"/>
  <c r="P33" i="29"/>
  <c r="P34" i="29"/>
  <c r="P35" i="29"/>
  <c r="V36" i="21"/>
  <c r="L29" i="29"/>
  <c r="M27" i="29"/>
  <c r="L28" i="29"/>
  <c r="L31" i="29" s="1"/>
  <c r="O28" i="12"/>
  <c r="O31" i="12" s="1"/>
  <c r="O29" i="12"/>
  <c r="P27" i="12"/>
  <c r="Q27" i="12"/>
  <c r="J138" i="7"/>
  <c r="J140" i="7"/>
  <c r="P28" i="12" l="1"/>
  <c r="P31" i="12" s="1"/>
  <c r="P29" i="12"/>
  <c r="N27" i="29"/>
  <c r="M28" i="29"/>
  <c r="M31" i="29" s="1"/>
  <c r="M29" i="29"/>
  <c r="R33" i="29"/>
  <c r="T26" i="29"/>
  <c r="R35" i="29"/>
  <c r="R34" i="29"/>
  <c r="W36" i="21"/>
  <c r="Y7" i="21"/>
  <c r="Y10" i="21" s="1"/>
  <c r="Z5" i="21"/>
  <c r="S34" i="12"/>
  <c r="W26" i="12"/>
  <c r="S33" i="12"/>
  <c r="S35" i="12"/>
  <c r="Q29" i="12"/>
  <c r="R27" i="12"/>
  <c r="Q28" i="12"/>
  <c r="Q31" i="12" s="1"/>
  <c r="T34" i="12"/>
  <c r="T35" i="12"/>
  <c r="T33" i="12"/>
  <c r="X26" i="12"/>
  <c r="U26" i="12"/>
  <c r="S27" i="12" l="1"/>
  <c r="R29" i="12"/>
  <c r="T27" i="12"/>
  <c r="R28" i="12"/>
  <c r="R31" i="12" s="1"/>
  <c r="U34" i="12"/>
  <c r="U33" i="12"/>
  <c r="U35" i="12"/>
  <c r="Y26" i="12"/>
  <c r="W35" i="12"/>
  <c r="W33" i="12"/>
  <c r="W34" i="12"/>
  <c r="X36" i="21"/>
  <c r="X34" i="12"/>
  <c r="X33" i="12"/>
  <c r="X35" i="12"/>
  <c r="T34" i="29"/>
  <c r="U26" i="29"/>
  <c r="T33" i="29"/>
  <c r="T35" i="29"/>
  <c r="N29" i="29"/>
  <c r="O27" i="29"/>
  <c r="N28" i="29"/>
  <c r="N31" i="29" s="1"/>
  <c r="Z7" i="21"/>
  <c r="AA5" i="21"/>
  <c r="Z10" i="21" l="1"/>
  <c r="AA10" i="21" s="1"/>
  <c r="AB10" i="21" s="1"/>
  <c r="AA7" i="21"/>
  <c r="AB7" i="21" s="1"/>
  <c r="Y36" i="21"/>
  <c r="T29" i="12"/>
  <c r="T28" i="12"/>
  <c r="T31" i="12" s="1"/>
  <c r="X27" i="12"/>
  <c r="U27" i="12"/>
  <c r="O29" i="29"/>
  <c r="P27" i="29"/>
  <c r="O28" i="29"/>
  <c r="O31" i="29" s="1"/>
  <c r="Q27" i="29"/>
  <c r="U34" i="29"/>
  <c r="U33" i="29"/>
  <c r="U35" i="29"/>
  <c r="Y33" i="12"/>
  <c r="Y34" i="12"/>
  <c r="Y35" i="12"/>
  <c r="S28" i="12"/>
  <c r="S31" i="12" s="1"/>
  <c r="W27" i="12"/>
  <c r="S29" i="12"/>
  <c r="P28" i="29" l="1"/>
  <c r="P31" i="29" s="1"/>
  <c r="P29" i="29"/>
  <c r="R27" i="29"/>
  <c r="Q28" i="29"/>
  <c r="Q31" i="29" s="1"/>
  <c r="Q29" i="29"/>
  <c r="U28" i="12"/>
  <c r="U31" i="12" s="1"/>
  <c r="Y27" i="12"/>
  <c r="U29" i="12"/>
  <c r="Z36" i="21"/>
  <c r="X29" i="12"/>
  <c r="X28" i="12"/>
  <c r="X31" i="12" s="1"/>
  <c r="W29" i="12"/>
  <c r="W28" i="12"/>
  <c r="W31" i="12" s="1"/>
  <c r="Y29" i="12" l="1"/>
  <c r="Y28" i="12"/>
  <c r="Y31" i="12" s="1"/>
  <c r="R28" i="29"/>
  <c r="R31" i="29" s="1"/>
  <c r="R29" i="29"/>
  <c r="T27" i="29"/>
  <c r="O36" i="21"/>
  <c r="P36" i="21" l="1"/>
  <c r="U27" i="29"/>
  <c r="T29" i="29"/>
  <c r="T28" i="29"/>
  <c r="T31" i="29" s="1"/>
  <c r="U28" i="29" l="1"/>
  <c r="U31" i="29" s="1"/>
  <c r="U29" i="29"/>
  <c r="AA36" i="21"/>
  <c r="N37" i="21" s="1"/>
  <c r="Q37" i="21" l="1"/>
  <c r="R37" i="21"/>
  <c r="S37" i="21"/>
  <c r="T37" i="21"/>
  <c r="U37" i="21"/>
  <c r="V37" i="21"/>
  <c r="W37" i="21"/>
  <c r="X37" i="21"/>
  <c r="Y37" i="21"/>
  <c r="Z37" i="21"/>
  <c r="O37" i="21"/>
  <c r="P37" i="21"/>
  <c r="AA37" i="21" l="1"/>
  <c r="AB37" i="21" s="1"/>
  <c r="AC37" i="21" s="1"/>
</calcChain>
</file>

<file path=xl/comments1.xml><?xml version="1.0" encoding="utf-8"?>
<comments xmlns="http://schemas.openxmlformats.org/spreadsheetml/2006/main">
  <authors>
    <author>msbo</author>
    <author>Offenberger, Konrad (LfL)</author>
    <author>Hierlmeier, Michael (LfL)</author>
  </authors>
  <commentList>
    <comment ref="F5" authorId="0">
      <text>
        <r>
          <rPr>
            <sz val="10"/>
            <color indexed="81"/>
            <rFont val="Tahoma"/>
            <family val="2"/>
          </rPr>
          <t xml:space="preserve">Landwirtschaftlich genutzte Fläche. </t>
        </r>
        <r>
          <rPr>
            <sz val="6"/>
            <color indexed="81"/>
            <rFont val="Tahoma"/>
            <family val="2"/>
          </rPr>
          <t>(Bei gewerblichen Tierhaltern ohne Fläche muss bei  ha LF 0,1 und bei ha gesamt Grünlandfläche 0,1 eingetragen werden.)</t>
        </r>
      </text>
    </comment>
    <comment ref="G7" authorId="0">
      <text>
        <r>
          <rPr>
            <sz val="10"/>
            <color indexed="81"/>
            <rFont val="Tahoma"/>
            <family val="2"/>
          </rPr>
          <t>Hier sind nur Flächen anzugeben, die nicht gedüngt und auch nicht genutzt werden</t>
        </r>
      </text>
    </comment>
    <comment ref="F8" authorId="1">
      <text>
        <r>
          <rPr>
            <sz val="6"/>
            <color indexed="81"/>
            <rFont val="Tahoma"/>
            <family val="2"/>
          </rPr>
          <t>(Bei gewerblichen Tierhaltern ohne Fläche muss bei  ha LF 0,1 und bei ha gesamt Grünlandfläche 0,1 eingetragen werden.)</t>
        </r>
      </text>
    </comment>
    <comment ref="G9" authorId="0">
      <text>
        <r>
          <rPr>
            <sz val="10"/>
            <color indexed="81"/>
            <rFont val="Tahoma"/>
            <family val="2"/>
          </rPr>
          <t>Hier sind nur Flächen anzugeben, die nicht gedüngt und auch nicht genutzt werden</t>
        </r>
      </text>
    </comment>
    <comment ref="G11" authorId="1">
      <text>
        <r>
          <rPr>
            <sz val="9"/>
            <color indexed="81"/>
            <rFont val="Tahoma"/>
            <family val="2"/>
          </rPr>
          <t>Nur relevant für Betriebe, die ab 2020 mehr als 6 Monate Lagerraum für flüsssige Wirtschaftsdünger belegen müssen (Biogasbetriebe, Betriebe über 3 GV/ha).
Sie können durch "zusätzliche Ausbringflächen" den notwendigen Lagerraum verringern. Als zuätzliche Ausbringfläche werden Flächen von anderen Betrieben anerkannt, auf denen vertraglich die Ausbringung der flüssigen Wirtschaftsdünger geregelt ist.</t>
        </r>
      </text>
    </comment>
    <comment ref="B13" authorId="0">
      <text>
        <r>
          <rPr>
            <sz val="10"/>
            <color indexed="81"/>
            <rFont val="Tahoma"/>
            <family val="2"/>
          </rPr>
          <t>Milchleistung = Abgelieferte Milchmenge / Anzahl Kühe</t>
        </r>
      </text>
    </comment>
    <comment ref="G13" authorId="1">
      <text>
        <r>
          <rPr>
            <sz val="9"/>
            <color indexed="81"/>
            <rFont val="Tahoma"/>
            <family val="2"/>
          </rPr>
          <t>Betriebe die Erleichterungen ab 2020 nach Ausführungsverordnung Düngeverordnung (AVDüV) nutzen dürfen.</t>
        </r>
      </text>
    </comment>
    <comment ref="A20" authorId="1">
      <text>
        <r>
          <rPr>
            <sz val="9"/>
            <color indexed="81"/>
            <rFont val="Tahoma"/>
            <family val="2"/>
          </rPr>
          <t xml:space="preserve">Bei Damwild und Rotwild muss bei Weide 100 % angegeben werden. </t>
        </r>
      </text>
    </comment>
    <comment ref="D20" authorId="1">
      <text>
        <r>
          <rPr>
            <sz val="9"/>
            <color indexed="81"/>
            <rFont val="Tahoma"/>
            <family val="2"/>
          </rPr>
          <t>Ø Jahresbestand = Anzahl Tiere * Haltungsdauer in Tagen / 365 Tage</t>
        </r>
      </text>
    </comment>
    <comment ref="D21" authorId="1">
      <text>
        <r>
          <rPr>
            <sz val="9"/>
            <color indexed="81"/>
            <rFont val="Tahoma"/>
            <family val="2"/>
          </rPr>
          <t>Angabe nur für Rinder und Schweine sinnvoll, da nur bei diesen Tierarten Gülle anfällt. 
Bei Geflügelbetrieben mit Trockenkot ist die Anzahl der Tiere bei Gülle anzugeben. Der Anfall wird bei Stallmist angezeigt.
Bei allen anderen Tierarten ist nur "Stallmist" möglich.</t>
        </r>
      </text>
    </comment>
    <comment ref="F22" authorId="1">
      <text>
        <r>
          <rPr>
            <sz val="9"/>
            <color indexed="81"/>
            <rFont val="Tahoma"/>
            <family val="2"/>
          </rPr>
          <t>Bei Anbindehaltung kann mit einer geringen und bei Tiefstall mit hoher Einstreumenge gerechnet werden. Die Einstreumenge muss bei einer Kontrolle nicht belegt werden.
Einstreumenge gering = 3-4 kg, mittel = 6-8 kg, 
hoch &gt;11 kg/GV und Tag</t>
        </r>
      </text>
    </comment>
    <comment ref="G22" authorId="1">
      <text>
        <r>
          <rPr>
            <sz val="9"/>
            <color indexed="81"/>
            <rFont val="Tahoma"/>
            <family val="2"/>
          </rPr>
          <t>Weide zwischen 01.04. und 30.09. in %.
Beipiel: 30 % bedeutet, dass in 30 % der Stunden die Tiere auf der Weide stehen und 70 % im Stall.</t>
        </r>
        <r>
          <rPr>
            <sz val="9"/>
            <color indexed="81"/>
            <rFont val="Tahoma"/>
            <family val="2"/>
          </rPr>
          <t xml:space="preserve">
</t>
        </r>
      </text>
    </comment>
    <comment ref="H22" authorId="1">
      <text>
        <r>
          <rPr>
            <sz val="9"/>
            <color indexed="81"/>
            <rFont val="Tahoma"/>
            <family val="2"/>
          </rPr>
          <t>Weide zwischen 01.10. und 31.03. in %.
Beipiel: 30 % bedeutet, dass in 30 % der Stunden die Tiere auf der Weide stehen und 70 % im Stall.</t>
        </r>
        <r>
          <rPr>
            <sz val="9"/>
            <color indexed="81"/>
            <rFont val="Tahoma"/>
            <family val="2"/>
          </rPr>
          <t xml:space="preserve">
(Es ist das Kalenderjahr zu berücksichtigen 01.01.18 - 31.03.18 und 01.10.18 - 31.12.18)</t>
        </r>
      </text>
    </comment>
    <comment ref="A37" authorId="2">
      <text>
        <r>
          <rPr>
            <sz val="9"/>
            <color indexed="81"/>
            <rFont val="Tahoma"/>
            <family val="2"/>
          </rPr>
          <t xml:space="preserve">Eigene Zahlen </t>
        </r>
        <r>
          <rPr>
            <b/>
            <sz val="9"/>
            <color indexed="81"/>
            <rFont val="Tahoma"/>
            <family val="2"/>
          </rPr>
          <t>müssen</t>
        </r>
        <r>
          <rPr>
            <sz val="9"/>
            <color indexed="81"/>
            <rFont val="Tahoma"/>
            <family val="2"/>
          </rPr>
          <t xml:space="preserve"> bei einer Kontrolle  belegt werden.
Es dürfen nur Zahlen verwendet werden, die die zuständige Stelle genehmigt hat.</t>
        </r>
      </text>
    </comment>
    <comment ref="A42" authorId="1">
      <text>
        <r>
          <rPr>
            <sz val="9"/>
            <color indexed="81"/>
            <rFont val="Tahoma"/>
            <family val="2"/>
          </rPr>
          <t>Bei offenen Gülle- und Jauchebehältern (nicht abgedeckte Läger) werden höhere Verdunstungsraten (30 %) angesetzt als bei abgedeckten Behältern. Deshalb müssen diese Flächen separat erfasst werden.</t>
        </r>
      </text>
    </comment>
    <comment ref="A43" authorId="1">
      <text>
        <r>
          <rPr>
            <sz val="9"/>
            <color indexed="81"/>
            <rFont val="Tahoma"/>
            <family val="2"/>
          </rPr>
          <t xml:space="preserve">Verunreinigtes Niederschlagswasser von nicht nass gereingten Siloflächen und Ladeflächen muss separat erfasst werden. Die Menge darf zusammen mit dem Gärsaft nur 10 % der Gesamtlagermenge betragen. Bei höherem Anteil sind gesonderte Anforderungen an den Güllebehälter notwendig. 
Bei der Mengenberechnung wird eine  Verdunstungsrate von 15 % berücksichtigt. </t>
        </r>
      </text>
    </comment>
    <comment ref="A44" authorId="1">
      <text>
        <r>
          <rPr>
            <sz val="9"/>
            <color indexed="81"/>
            <rFont val="Tahoma"/>
            <family val="2"/>
          </rPr>
          <t xml:space="preserve">Als sauberes Wasser sind folgende Einleitungen zu berücksichtigen:
- nass gereinigte Siloflächen
- mit Plane abgedeckte Siloflächen
- abgedeckte Gülle- und Jaucheläger
- alle Stallmistläger 
Bei der Mengenberechnung wird eine  Verdunstungsrate von 15 % berücksichtigt. </t>
        </r>
      </text>
    </comment>
    <comment ref="A51" authorId="1">
      <text>
        <r>
          <rPr>
            <sz val="9"/>
            <color indexed="81"/>
            <rFont val="Tahoma"/>
            <family val="2"/>
          </rPr>
          <t xml:space="preserve">Diese Werte können </t>
        </r>
        <r>
          <rPr>
            <b/>
            <sz val="9"/>
            <color indexed="81"/>
            <rFont val="Tahoma"/>
            <family val="2"/>
          </rPr>
          <t>nur</t>
        </r>
        <r>
          <rPr>
            <sz val="9"/>
            <color indexed="81"/>
            <rFont val="Tahoma"/>
            <family val="2"/>
          </rPr>
          <t xml:space="preserve"> für die Düngebedarfsermittlung (DBE), soweit keine Wirtschaftsdüngeruntersuchung vorgeschrieben ist, verwendet werden (§ 3 Abs. 4 Satz 1).</t>
        </r>
      </text>
    </comment>
    <comment ref="D78" authorId="1">
      <text>
        <r>
          <rPr>
            <sz val="9"/>
            <color indexed="81"/>
            <rFont val="Tahoma"/>
            <family val="2"/>
          </rPr>
          <t xml:space="preserve">TS in % aus der Untersuchung eintragen
</t>
        </r>
      </text>
    </comment>
    <comment ref="H78" authorId="1">
      <text>
        <r>
          <rPr>
            <sz val="9"/>
            <color indexed="81"/>
            <rFont val="Tahoma"/>
            <family val="2"/>
          </rPr>
          <t xml:space="preserve">TS in % aus der Untersuchung eintragen
</t>
        </r>
      </text>
    </comment>
    <comment ref="A120" authorId="1">
      <text>
        <r>
          <rPr>
            <sz val="9"/>
            <color indexed="81"/>
            <rFont val="Tahoma"/>
            <family val="2"/>
          </rPr>
          <t>Güllekeller und Güllekanäle können auf das Fassungsvermögen angerechnet werden, wenn die Anforderungen nach Anlagenverordnung erfüllt  sind.</t>
        </r>
      </text>
    </comment>
    <comment ref="A126" authorId="2">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C136" authorId="1">
      <text>
        <r>
          <rPr>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M146" authorId="2">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List>
</comments>
</file>

<file path=xl/comments2.xml><?xml version="1.0" encoding="utf-8"?>
<comments xmlns="http://schemas.openxmlformats.org/spreadsheetml/2006/main">
  <authors>
    <author>msbo</author>
    <author>Offenberger, Konrad (LfL)</author>
    <author>Hierlmeier, Michael (LfL)</author>
  </authors>
  <commentList>
    <comment ref="F5" authorId="0">
      <text>
        <r>
          <rPr>
            <sz val="10"/>
            <color indexed="81"/>
            <rFont val="Tahoma"/>
            <family val="2"/>
          </rPr>
          <t>Landwirtschaftlich genutzte Fläche</t>
        </r>
      </text>
    </comment>
    <comment ref="G7" authorId="0">
      <text>
        <r>
          <rPr>
            <sz val="10"/>
            <color indexed="81"/>
            <rFont val="Tahoma"/>
            <family val="2"/>
          </rPr>
          <t>Hier sind nur Flächen anzugeben, die nicht gedüngt und auch nicht genutzt werden</t>
        </r>
      </text>
    </comment>
    <comment ref="G9" authorId="0">
      <text>
        <r>
          <rPr>
            <sz val="10"/>
            <color indexed="81"/>
            <rFont val="Tahoma"/>
            <family val="2"/>
          </rPr>
          <t>Hier sind nur Flächen anzugeben, die nicht gedüngt und auch nicht genutzt werden</t>
        </r>
      </text>
    </comment>
    <comment ref="B13" authorId="0">
      <text>
        <r>
          <rPr>
            <sz val="10"/>
            <color indexed="81"/>
            <rFont val="Tahoma"/>
            <family val="2"/>
          </rPr>
          <t>Milchleistung = Abgelieferte Milchmenge / Anzahl Kühe</t>
        </r>
      </text>
    </comment>
    <comment ref="D21" authorId="1">
      <text>
        <r>
          <rPr>
            <sz val="9"/>
            <color indexed="81"/>
            <rFont val="Tahoma"/>
            <family val="2"/>
          </rPr>
          <t>Angabe nur für Rinder und Schweine sinnvoll, da nur diese Tierarten einen Gülleanfall haben. Alle anderen Tierarten ist nur "Stallmist" möglich.
Bei Geflügelbetrieben mit Trockenkot sind die Anzahl der Tiere bei Gülle anzugeben. Der Anfall wird bei Stallmist angezeigt.</t>
        </r>
      </text>
    </comment>
    <comment ref="F22" authorId="1">
      <text>
        <r>
          <rPr>
            <sz val="9"/>
            <color indexed="81"/>
            <rFont val="Tahoma"/>
            <family val="2"/>
          </rPr>
          <t xml:space="preserve">Bei Anbindehaltung kann mit einer geringen und bei Tiefstall mit hoher Einstreumenge gerechnet werden. Die Einstreumenge muss bei einer Kontrolle nicht belegt werden.
Einstreumenge gering = 3-4 kg, mittel = 6-8 kg, 
hoch &gt;11 kg/GV und Tag;
</t>
        </r>
      </text>
    </comment>
    <comment ref="G22" authorId="1">
      <text>
        <r>
          <rPr>
            <sz val="9"/>
            <color indexed="81"/>
            <rFont val="Tahoma"/>
            <family val="2"/>
          </rPr>
          <t>Weide zwischen 1.04 und 30.09 in %.
Beipiel: 30 % bedeutet, dass in 30 % der Stunden die Tiere auf der Weide stehen und 70 % im Stall.</t>
        </r>
        <r>
          <rPr>
            <sz val="9"/>
            <color indexed="81"/>
            <rFont val="Tahoma"/>
            <family val="2"/>
          </rPr>
          <t xml:space="preserve">
</t>
        </r>
      </text>
    </comment>
    <comment ref="H22" authorId="1">
      <text>
        <r>
          <rPr>
            <sz val="9"/>
            <color indexed="81"/>
            <rFont val="Tahoma"/>
            <family val="2"/>
          </rPr>
          <t>Weide zwischen 1.10 und 31.03 in %.
Beipiel: 30 % bedeutet, dass in 30 % der Stunden die Tiere auf der Weide stehen und 70 % im Stall.</t>
        </r>
        <r>
          <rPr>
            <sz val="9"/>
            <color indexed="81"/>
            <rFont val="Tahoma"/>
            <family val="2"/>
          </rPr>
          <t xml:space="preserve">
(Es ist das Kalenderjahr zu berücksichtigen 01.01.18 - 30.03.18 und 01.10.18 - 31.12.18)</t>
        </r>
      </text>
    </comment>
    <comment ref="A37" authorId="2">
      <text>
        <r>
          <rPr>
            <sz val="9"/>
            <color indexed="81"/>
            <rFont val="Tahoma"/>
            <family val="2"/>
          </rPr>
          <t xml:space="preserve">Eigene Zahlen </t>
        </r>
        <r>
          <rPr>
            <b/>
            <sz val="9"/>
            <color indexed="81"/>
            <rFont val="Tahoma"/>
            <family val="2"/>
          </rPr>
          <t>müssen</t>
        </r>
        <r>
          <rPr>
            <sz val="9"/>
            <color indexed="81"/>
            <rFont val="Tahoma"/>
            <family val="2"/>
          </rPr>
          <t xml:space="preserve"> bei einer Kontrolle  belegt werden (z.B. Baisidaten im Internet).
Es dürfen nur Zahlen verwendet werden, die die landeszuständige Stelle genehmigt hat.</t>
        </r>
      </text>
    </comment>
    <comment ref="F120" authorId="2">
      <text>
        <r>
          <rPr>
            <sz val="9"/>
            <color indexed="81"/>
            <rFont val="Tahoma"/>
            <family val="2"/>
          </rPr>
          <t xml:space="preserve">Beschreibung bzw. Bezeichnung des Lagerraums
</t>
        </r>
      </text>
    </comment>
    <comment ref="A126" authorId="2">
      <text>
        <r>
          <rPr>
            <sz val="9"/>
            <color indexed="81"/>
            <rFont val="Tahoma"/>
            <family val="2"/>
          </rPr>
          <t xml:space="preserve">Bei einer </t>
        </r>
        <r>
          <rPr>
            <b/>
            <sz val="9"/>
            <color indexed="81"/>
            <rFont val="Tahoma"/>
            <family val="2"/>
          </rPr>
          <t>Verpachtung</t>
        </r>
        <r>
          <rPr>
            <sz val="9"/>
            <color indexed="81"/>
            <rFont val="Tahoma"/>
            <family val="2"/>
          </rPr>
          <t xml:space="preserve"> von Lagerraum, muss die Zahl mit </t>
        </r>
        <r>
          <rPr>
            <b/>
            <sz val="9"/>
            <color indexed="81"/>
            <rFont val="Tahoma"/>
            <family val="2"/>
          </rPr>
          <t>Minus</t>
        </r>
        <r>
          <rPr>
            <sz val="9"/>
            <color indexed="81"/>
            <rFont val="Tahoma"/>
            <family val="2"/>
          </rPr>
          <t xml:space="preserve"> eingegeben werden.
</t>
        </r>
      </text>
    </comment>
    <comment ref="C136" authorId="1">
      <text>
        <r>
          <rPr>
            <sz val="9"/>
            <color indexed="81"/>
            <rFont val="Tahoma"/>
            <family val="2"/>
          </rPr>
          <t>Wenn der Anteil vom Gärsaft und verunreinigtem Niederschlagswasser über 10 % des Inhaltes der Güllebehälter beträgt, muss der Behälter beschichtet sein oder eine bestimmte Betonqualität haben.</t>
        </r>
      </text>
    </comment>
    <comment ref="J144" authorId="2">
      <text>
        <r>
          <rPr>
            <sz val="9"/>
            <color indexed="81"/>
            <rFont val="Tahoma"/>
            <family val="2"/>
          </rPr>
          <t>Beim Hühnertrockenkot sind nur 60 % des berechneten Anfalls zu berücksichtigen</t>
        </r>
        <r>
          <rPr>
            <b/>
            <sz val="9"/>
            <color indexed="81"/>
            <rFont val="Tahoma"/>
            <family val="2"/>
          </rPr>
          <t>.</t>
        </r>
      </text>
    </comment>
    <comment ref="M146" authorId="2">
      <text>
        <r>
          <rPr>
            <b/>
            <sz val="9"/>
            <color indexed="81"/>
            <rFont val="Tahoma"/>
            <family val="2"/>
          </rPr>
          <t>Wenn der Anteil vom Gärsaft und verunreinigtem Niederschlagswasser über 10 % des Inhaltes der Güllebehälter beträgt, muss der Behälter beschichtet sein oder eine bestimmte Betonqualität haben.</t>
        </r>
      </text>
    </comment>
  </commentList>
</comments>
</file>

<file path=xl/comments3.xml><?xml version="1.0" encoding="utf-8"?>
<comments xmlns="http://schemas.openxmlformats.org/spreadsheetml/2006/main">
  <authors>
    <author>Hierlmeier, Michael (LfL)</author>
    <author>Offenberger, Konrad (LfL)</author>
  </authors>
  <commentList>
    <comment ref="A1" authorId="0">
      <text>
        <r>
          <rPr>
            <sz val="9"/>
            <color indexed="81"/>
            <rFont val="Tahoma"/>
            <family val="2"/>
          </rPr>
          <t>Abweichende Werte müssen bei einer Kontrolle  belegt werden.
Es dürfen nur Zahlen verwendet werden, die die landeszuständige Stelle genehmigt hat.</t>
        </r>
      </text>
    </comment>
    <comment ref="H5" authorId="1">
      <text>
        <r>
          <rPr>
            <sz val="9"/>
            <color indexed="81"/>
            <rFont val="Tahoma"/>
            <family val="2"/>
          </rPr>
          <t xml:space="preserve">Jaucheanfall bei geringer Einstreumenge. Angaben zum Jaucheanfall dürfen nur bei Rindern und Schweinen erfolgen. </t>
        </r>
      </text>
    </comment>
  </commentList>
</comments>
</file>

<file path=xl/comments4.xml><?xml version="1.0" encoding="utf-8"?>
<comments xmlns="http://schemas.openxmlformats.org/spreadsheetml/2006/main">
  <authors>
    <author>msbo</author>
    <author>Offenberger, Konrad (LfL)</author>
  </authors>
  <commentList>
    <comment ref="F5" authorId="0">
      <text>
        <r>
          <rPr>
            <sz val="10"/>
            <color indexed="81"/>
            <rFont val="Tahoma"/>
            <family val="2"/>
          </rPr>
          <t>Landwirtschaftlich genutzte Fläche</t>
        </r>
      </text>
    </comment>
    <comment ref="G7" authorId="0">
      <text>
        <r>
          <rPr>
            <sz val="10"/>
            <color indexed="81"/>
            <rFont val="Tahoma"/>
            <family val="2"/>
          </rPr>
          <t>Hier sind nur Flächen anzugeben, die nicht gedüngt und auch nicht genutzt werden</t>
        </r>
      </text>
    </comment>
    <comment ref="G9" authorId="0">
      <text>
        <r>
          <rPr>
            <sz val="10"/>
            <color indexed="81"/>
            <rFont val="Tahoma"/>
            <family val="2"/>
          </rPr>
          <t>Hier sind nur Flächen anzugeben, die nicht gedüngt und auch nicht genutzt werden</t>
        </r>
        <r>
          <rPr>
            <sz val="10"/>
            <color indexed="81"/>
            <rFont val="Tahoma"/>
            <family val="2"/>
          </rPr>
          <t xml:space="preserve">
</t>
        </r>
      </text>
    </comment>
    <comment ref="F11" authorId="1">
      <text>
        <r>
          <rPr>
            <sz val="9"/>
            <color indexed="81"/>
            <rFont val="Tahoma"/>
            <family val="2"/>
          </rPr>
          <t>Flächen von anderen Betrieben, die über Abnahmeverträge dem Betrieb zur Ausbringung zur Verfügung stehen.</t>
        </r>
      </text>
    </comment>
  </commentList>
</comments>
</file>

<file path=xl/comments5.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comments6.xml><?xml version="1.0" encoding="utf-8"?>
<comments xmlns="http://schemas.openxmlformats.org/spreadsheetml/2006/main">
  <authors>
    <author>Brandl, Maria (LfL)</author>
  </authors>
  <commentList>
    <comment ref="C6" authorId="0">
      <text>
        <r>
          <rPr>
            <b/>
            <sz val="9"/>
            <color indexed="81"/>
            <rFont val="Tahoma"/>
            <family val="2"/>
          </rPr>
          <t xml:space="preserve">Für Überschrift der Gruppen im Programm
1= Rind
2= Schwein
3= Geflügel
4= sonstige tierische Herkunft
5= Gärrest, Klärschlamm 
6= sonstige pflanzliche Herkunft 
</t>
        </r>
      </text>
    </comment>
    <comment ref="D6" authorId="0">
      <text>
        <r>
          <rPr>
            <b/>
            <sz val="9"/>
            <color indexed="81"/>
            <rFont val="Tahoma"/>
            <family val="2"/>
          </rPr>
          <t>Für Einheit im Programm
1= flüssig
2= fest</t>
        </r>
        <r>
          <rPr>
            <sz val="9"/>
            <color indexed="81"/>
            <rFont val="Tahoma"/>
            <family val="2"/>
          </rPr>
          <t xml:space="preserve">
</t>
        </r>
      </text>
    </comment>
  </commentList>
</comments>
</file>

<file path=xl/comments7.xml><?xml version="1.0" encoding="utf-8"?>
<comments xmlns="http://schemas.openxmlformats.org/spreadsheetml/2006/main">
  <authors>
    <author>msbo</author>
  </authors>
  <commentList>
    <comment ref="C3" authorId="0">
      <text>
        <r>
          <rPr>
            <sz val="10"/>
            <color indexed="81"/>
            <rFont val="Tahoma"/>
            <family val="2"/>
          </rPr>
          <t>Milchleistung = Abgelieferte Milchmenge / Anzahl Kühe</t>
        </r>
      </text>
    </comment>
  </commentList>
</comments>
</file>

<file path=xl/comments8.xml><?xml version="1.0" encoding="utf-8"?>
<comments xmlns="http://schemas.openxmlformats.org/spreadsheetml/2006/main">
  <authors>
    <author>Hierlmeier, Michael (LfL)</author>
  </authors>
  <commentList>
    <comment ref="K5" authorId="0">
      <text>
        <r>
          <rPr>
            <sz val="9"/>
            <color indexed="81"/>
            <rFont val="Tahoma"/>
            <family val="2"/>
          </rPr>
          <t>Werte aus Basisdaten
Formel:
Gülleanfall je mittl. Jahrebestand bei 7,5%TM [m³]/ Gülleanfall  je mittl. Jahrebestand nach DüV [m³] * 7,5 % * 100</t>
        </r>
      </text>
    </comment>
    <comment ref="P5" authorId="0">
      <text>
        <r>
          <rPr>
            <sz val="9"/>
            <color indexed="81"/>
            <rFont val="Tahoma"/>
            <family val="2"/>
          </rPr>
          <t xml:space="preserve">Werte aus Basisdaten
Formel:
(Gülleanfall je mittl. Jahrebestand bei 7,5% TM [m³] * TS Gülle nach DüV Anfall [%]/100 + Einstreu gering nach DüV [kg/Tag] * 0,365 * TM Stroh [%]/100 - Jaucheanfall je mittl. Jahrebestand nach DüV [m³] * TM Jauche [%] </t>
        </r>
        <r>
          <rPr>
            <b/>
            <sz val="9"/>
            <color indexed="81"/>
            <rFont val="Tahoma"/>
            <family val="2"/>
          </rPr>
          <t>(alte Basisdaten??)</t>
        </r>
        <r>
          <rPr>
            <sz val="9"/>
            <color indexed="81"/>
            <rFont val="Tahoma"/>
            <family val="2"/>
          </rPr>
          <t>/100)/ Anfall Festmist je mittl. Jahrebestand bei gering [t/Jahr] * 100</t>
        </r>
        <r>
          <rPr>
            <sz val="9"/>
            <color indexed="81"/>
            <rFont val="Tahoma"/>
            <family val="2"/>
          </rPr>
          <t xml:space="preserve">
</t>
        </r>
      </text>
    </comment>
    <comment ref="S5" authorId="0">
      <text>
        <r>
          <rPr>
            <b/>
            <sz val="9"/>
            <color indexed="81"/>
            <rFont val="Tahoma"/>
            <family val="2"/>
          </rPr>
          <t>gelbes heft S. 91</t>
        </r>
        <r>
          <rPr>
            <sz val="9"/>
            <color indexed="81"/>
            <rFont val="Tahoma"/>
            <family val="2"/>
          </rPr>
          <t xml:space="preserve">
</t>
        </r>
      </text>
    </comment>
  </commentList>
</comments>
</file>

<file path=xl/sharedStrings.xml><?xml version="1.0" encoding="utf-8"?>
<sst xmlns="http://schemas.openxmlformats.org/spreadsheetml/2006/main" count="1441" uniqueCount="592">
  <si>
    <t>Gülle</t>
  </si>
  <si>
    <t>m³</t>
  </si>
  <si>
    <t>%</t>
  </si>
  <si>
    <t>Nährstoffausscheidung</t>
  </si>
  <si>
    <t>kg pro mittl.</t>
  </si>
  <si>
    <t>N</t>
  </si>
  <si>
    <t>P2O5</t>
  </si>
  <si>
    <t>K2O</t>
  </si>
  <si>
    <t xml:space="preserve">Kälber (Zucht/Mast) bis 6 Monate </t>
  </si>
  <si>
    <t xml:space="preserve">Männliche Rinder über 2 Jahre, Zuchtbullen </t>
  </si>
  <si>
    <t>Weibliche Rinder über 1 Jahr bis 2 Jahre</t>
  </si>
  <si>
    <t>Andere weibliche Rinder über 2 Jahre</t>
  </si>
  <si>
    <t>Jauche</t>
  </si>
  <si>
    <t>nach</t>
  </si>
  <si>
    <t>Verslust</t>
  </si>
  <si>
    <t>Stall/Lager</t>
  </si>
  <si>
    <t>Mist</t>
  </si>
  <si>
    <t>Anzahl</t>
  </si>
  <si>
    <t>Betriebsnummer:</t>
  </si>
  <si>
    <t>Vorname/Name:</t>
  </si>
  <si>
    <t>Straße:</t>
  </si>
  <si>
    <t>PLZ/Ort:</t>
  </si>
  <si>
    <t>Telefon:</t>
  </si>
  <si>
    <t>Kalenderjahr:</t>
  </si>
  <si>
    <t>Milchleistung:</t>
  </si>
  <si>
    <t>kg/Kuh und Jahr</t>
  </si>
  <si>
    <t>Milchkuh ohne Kalb</t>
  </si>
  <si>
    <t xml:space="preserve"> --</t>
  </si>
  <si>
    <t>Grünlandanteil %</t>
  </si>
  <si>
    <t>ha LF</t>
  </si>
  <si>
    <t>ha gesamte Ackerfläche</t>
  </si>
  <si>
    <t>ha gesamte Grünlandfläche</t>
  </si>
  <si>
    <t>davon Stillleg. Acker</t>
  </si>
  <si>
    <t>davon Stillleg. GL</t>
  </si>
  <si>
    <t>Oberflächen nicht abgedeckter Läger (Festmist, Gülle, Jauche)</t>
  </si>
  <si>
    <t>Niederschlag:</t>
  </si>
  <si>
    <t>mm im Jahr (langjähriges Mittel)</t>
  </si>
  <si>
    <t>m²</t>
  </si>
  <si>
    <t>% Grünlandanteil</t>
  </si>
  <si>
    <t>Fläche</t>
  </si>
  <si>
    <t>Niederschlags- bzw. Oberflächenwasser und sonstige Abwässer</t>
  </si>
  <si>
    <t>m</t>
  </si>
  <si>
    <t>Durchmesser</t>
  </si>
  <si>
    <r>
      <t>Behälter</t>
    </r>
    <r>
      <rPr>
        <sz val="10"/>
        <rFont val="Arial"/>
        <family val="2"/>
      </rPr>
      <t xml:space="preserve"> 1</t>
    </r>
  </si>
  <si>
    <r>
      <t>Behälter</t>
    </r>
    <r>
      <rPr>
        <sz val="10"/>
        <rFont val="Arial"/>
        <family val="2"/>
      </rPr>
      <t xml:space="preserve"> 2</t>
    </r>
    <r>
      <rPr>
        <sz val="10"/>
        <rFont val="Arial"/>
      </rPr>
      <t/>
    </r>
  </si>
  <si>
    <r>
      <t>Behälter</t>
    </r>
    <r>
      <rPr>
        <sz val="10"/>
        <rFont val="Arial"/>
        <family val="2"/>
      </rPr>
      <t xml:space="preserve"> 3</t>
    </r>
    <r>
      <rPr>
        <sz val="10"/>
        <rFont val="Arial"/>
      </rPr>
      <t/>
    </r>
  </si>
  <si>
    <t>Länge</t>
  </si>
  <si>
    <t>Behälter 4</t>
  </si>
  <si>
    <t>Tierhaltung</t>
  </si>
  <si>
    <t>Grünland</t>
  </si>
  <si>
    <t>Acker</t>
  </si>
  <si>
    <t>Breite</t>
  </si>
  <si>
    <t>menge</t>
  </si>
  <si>
    <t>zusätzliche Ausbringfläche</t>
  </si>
  <si>
    <t>Berechnung Lagerraum für Gülle/Jauche und Stallmist</t>
  </si>
  <si>
    <t>Weide</t>
  </si>
  <si>
    <t>in %</t>
  </si>
  <si>
    <t>gering</t>
  </si>
  <si>
    <t>mittel</t>
  </si>
  <si>
    <t>hoch</t>
  </si>
  <si>
    <t>t</t>
  </si>
  <si>
    <t>Stall-</t>
  </si>
  <si>
    <t>mist</t>
  </si>
  <si>
    <t>Gülle,</t>
  </si>
  <si>
    <t>Anfall Betrieb</t>
  </si>
  <si>
    <t>Okt-Mär</t>
  </si>
  <si>
    <t>Apr-Sep</t>
  </si>
  <si>
    <r>
      <t>Stallmist</t>
    </r>
    <r>
      <rPr>
        <sz val="8"/>
        <rFont val="Arial"/>
        <family val="2"/>
      </rPr>
      <t>/Jauche</t>
    </r>
  </si>
  <si>
    <t>Einstreu-</t>
  </si>
  <si>
    <t>Tabelle 4a:  Nährstoffausscheidung und Grundfutteraufnahme verschiedener Tierarten in kg pro</t>
  </si>
  <si>
    <t xml:space="preserve">                   mittlerem Jahresbestand in Abhängigkeit von Leistung und Fütterung</t>
  </si>
  <si>
    <t xml:space="preserve">                   (Stand: November 2017)</t>
  </si>
  <si>
    <t>Ausscheidung</t>
  </si>
  <si>
    <t>Produktionsverfahren</t>
  </si>
  <si>
    <t>Programmname</t>
  </si>
  <si>
    <t>Jahresbestand 2)</t>
  </si>
  <si>
    <t>MgO</t>
  </si>
  <si>
    <t>S</t>
  </si>
  <si>
    <t>K*0,25</t>
  </si>
  <si>
    <t>N*0,08</t>
  </si>
  <si>
    <t>Rinder</t>
  </si>
  <si>
    <t>Männl. Rinder über 6 Monate bis 1 Jahr</t>
  </si>
  <si>
    <t>Männl. Rinder über 1 Jahr bis zwei Jahre (Mast)</t>
  </si>
  <si>
    <t>Mutterkuh 700 kg, mit Kalb (6 Mon., 230 kg Absetzgewicht)</t>
  </si>
  <si>
    <t>Mutterkuh mit Kalb bis 6 Monate</t>
  </si>
  <si>
    <t>Zuchtsauen (ab Belegen) mit 25 Ferkel bis 8 kg, Standard</t>
  </si>
  <si>
    <t>Zuchtsauen mit 25 Ferkel bis 8 kg, Standard</t>
  </si>
  <si>
    <t>Zuchtsauen (ab Belegen) mit 25 Ferkel bis 8 kg, N-/P-red.</t>
  </si>
  <si>
    <t>Zuchtsauen mit 25 Ferkel bis 8 kg, N-/P-reduziert</t>
  </si>
  <si>
    <t>Zuchtsauen (ab Belegen) mit 28 Ferkel bis 8 kg, Standard</t>
  </si>
  <si>
    <t>Zuchtsauen mit 28 Ferkel bis 8 kg, Standard</t>
  </si>
  <si>
    <t>Zuchtsauen (ab Belegen) mit 28 Ferkel bis 8 kg, N-/P-red.</t>
  </si>
  <si>
    <t>Zuchtsauen mit 28 Ferkel bis 8 kg, N-/P-reduziert</t>
  </si>
  <si>
    <t>Zuchtsauen (ab Belegen) mit 25 Ferkel bis 28 kg, Standard</t>
  </si>
  <si>
    <t>Zuchtsauen mit 25 Ferkel bis 28 kg, Standard</t>
  </si>
  <si>
    <t>Zuchtsauen (ab Belegen) mit 25 Ferkel bis 28 kg, N-/P-red.</t>
  </si>
  <si>
    <t>Zuchtsauen mit 25 Ferkel bis 28 kg, N-/P-reduziert</t>
  </si>
  <si>
    <t>Zuchtsauen (ab Belegen) mit 28 Ferkel bis 28 kg, Standard</t>
  </si>
  <si>
    <t>Zuchtsauen mit 28 Ferkel bis 28 kg, Standard</t>
  </si>
  <si>
    <t>Zuchtsauen (ab Belegen) mit 28 Ferkel bis 28 kg, N-/P-red.</t>
  </si>
  <si>
    <t>Zuchtsauen mit 28 Ferkel bis 28 kg, N-/P-reduziert</t>
  </si>
  <si>
    <t>Ferkel von 8 bis 28 kg, 450 g TZ, Standard</t>
  </si>
  <si>
    <t>Ferkel von 8 bis 28 kg, Standard</t>
  </si>
  <si>
    <t>Ferkel von 8 bis 28 kg, 450 g TZ, N-/P-red.</t>
  </si>
  <si>
    <t>Ferkel von 8 bis 28 kg, N-/P-reduziert</t>
  </si>
  <si>
    <t>Mastschweine (750 g TZ), Standard</t>
  </si>
  <si>
    <t>Mastschweine (750 g TZ), Jungsauenaufzucht, Standard</t>
  </si>
  <si>
    <t>Mastschweine (750 g TZ), N-/P-red.</t>
  </si>
  <si>
    <t>Mastschweine (750 g TZ), Jungsauenaufzucht, N-/P-reduziert</t>
  </si>
  <si>
    <t>Mastschweine (850 g TZ), Standard</t>
  </si>
  <si>
    <t>Mastschweine (850 g TZ), N-/P-red.</t>
  </si>
  <si>
    <t>Mastschweine (850 g TZ), N-/P-reduziert</t>
  </si>
  <si>
    <t>Zuchteber</t>
  </si>
  <si>
    <t>Legehennen über 16 Wochen, 17,6 kg Eimasse, Standard</t>
  </si>
  <si>
    <t>Legehennen über 16 Wochen, Standard</t>
  </si>
  <si>
    <t>Legehennen über 16 Wochen, 17,6 kg Eimasse, N-/P-reduziert</t>
  </si>
  <si>
    <t>Legehennen über 16 Wochen, N-/P-reduziert</t>
  </si>
  <si>
    <t>Junghennen bis 16 Wochen, 3,5 kg Zuw., Standard</t>
  </si>
  <si>
    <t>Junghennen bis 16 Wochen, Standard</t>
  </si>
  <si>
    <t>Junghennen bis 16 Wochen, 3,5 kg Zuw., N-/P-reduziert</t>
  </si>
  <si>
    <t>Junghennen bis 16 Wochen, N-/P-reduziert</t>
  </si>
  <si>
    <t>Masthähnchen 34-38 Tage, 2,3 kg Zuw., Standard</t>
  </si>
  <si>
    <t>Masthähnchen, Standard</t>
  </si>
  <si>
    <t>Masthähnchen 34-38 Tage, 2,3 kg Zuw., N-/P-reduziert</t>
  </si>
  <si>
    <t>Masthähnchen, N-/P-reduziert</t>
  </si>
  <si>
    <t>Putenhähne bis 21 Wochen Mast, 22,1 kg Zuw.,Standard</t>
  </si>
  <si>
    <t>Putenhähne bis 21 Wochen Mast, Standard</t>
  </si>
  <si>
    <t>Putenhähne bis 21 Wochen Mast, 22,1 kg Zuw., N-/P-reduziert</t>
  </si>
  <si>
    <t>Putenhähne bis 21 Wochen Mast, N-/P-reduziert</t>
  </si>
  <si>
    <t>Putenhennen 16 Wochen Mast, 10,9 kg Zuw., Standard</t>
  </si>
  <si>
    <t>Putenhennen bis 16 Wochen Mast, Standard</t>
  </si>
  <si>
    <t>Putenhennen 16 Wochen Mast, 10,9 kg Zuw., N-/P-reduziert</t>
  </si>
  <si>
    <t>Putenhennen bis 16 Wochen Mast, N-/P-reduziert</t>
  </si>
  <si>
    <t>Gänse Spätmast/Weidemast</t>
  </si>
  <si>
    <t xml:space="preserve">Pekingenten, 3,0 kg Zuw.,  6,5 Durchgänge </t>
  </si>
  <si>
    <t>Pekingenten</t>
  </si>
  <si>
    <t>Flugenten (w:m=1:1), 4 Durchgänge</t>
  </si>
  <si>
    <t>Flugenten</t>
  </si>
  <si>
    <t>Perlhuhn</t>
  </si>
  <si>
    <t>Lämmer, Schafe bis 1 Jahr, konventionell</t>
  </si>
  <si>
    <t>Mutterschafe (ohne Lamm), andere Schafe, konventionell</t>
  </si>
  <si>
    <t>Mutterziegen (mit 1,5 Lämmer), 800 kg Milch; andere Ziegen</t>
  </si>
  <si>
    <t>Milchziegen mit Lämmer, andere Ziegen</t>
  </si>
  <si>
    <t>Ponys, Pferde bis ein Jahr, 300 kg LM, Stall-/Weidehaltung</t>
  </si>
  <si>
    <t>Pferde bis ein Jahr, Ponys und Kleinpferde</t>
  </si>
  <si>
    <t>Pferde über ein Jahr, 500-600 kg LM, Stall-/Weidehaltung</t>
  </si>
  <si>
    <t>Pferde über ein Jahr</t>
  </si>
  <si>
    <t>Kaninchenaufz. bis 3 kg (Häsin + 52 Jungtiere je Häsin u. Jahr)</t>
  </si>
  <si>
    <t>Kaninchenaufz. bis 3 kg (Häsin + 52 Jungtiere je Jahr)</t>
  </si>
  <si>
    <t>Damwild Alttier</t>
  </si>
  <si>
    <t>Damwild Kalb</t>
  </si>
  <si>
    <t>Rotwild Alttier</t>
  </si>
  <si>
    <t>Rotwild Kalb</t>
  </si>
  <si>
    <t>Lama/Alpaka</t>
  </si>
  <si>
    <t>Schweine</t>
  </si>
  <si>
    <t>Geflügel</t>
  </si>
  <si>
    <t xml:space="preserve">andere Tiere </t>
  </si>
  <si>
    <t>Erläuterung zur Zuordnung der Tiergruppen vom Mehrfachantrag zum 170 kg Programm</t>
  </si>
  <si>
    <t>Mehrfachantrag</t>
  </si>
  <si>
    <t>Excel Programm 170 kg</t>
  </si>
  <si>
    <t>Code</t>
  </si>
  <si>
    <t>Viehverzeichnis</t>
  </si>
  <si>
    <t>Tierauswahl</t>
  </si>
  <si>
    <t>01</t>
  </si>
  <si>
    <t xml:space="preserve">  Kälber (Zucht/Mast) bis 6 Monate</t>
  </si>
  <si>
    <t xml:space="preserve">  Kälber (Zucht/Mast) bis 6 Monate </t>
  </si>
  <si>
    <t>04</t>
  </si>
  <si>
    <t xml:space="preserve">  Männliche Rinder über 6 Monate bis 1 Jahr</t>
  </si>
  <si>
    <t>05</t>
  </si>
  <si>
    <t xml:space="preserve">  Männliche Rinder über 1 Jahr bis 2 Jahre</t>
  </si>
  <si>
    <t xml:space="preserve">  Männliche Rinder über 1 Jahr bis zwei Jahre (Mast)</t>
  </si>
  <si>
    <t>06</t>
  </si>
  <si>
    <t xml:space="preserve">  Männliche Rinder über 2 Jahre, Zuchtbullen</t>
  </si>
  <si>
    <t xml:space="preserve">  Männliche Rinder über 2 Jahre, Zuchtbullen </t>
  </si>
  <si>
    <t>07</t>
  </si>
  <si>
    <t xml:space="preserve">  Weibliche Rinder über 6 Monate bis 1 Jahr</t>
  </si>
  <si>
    <t xml:space="preserve">  Weibliche Rinder über 6 Monate bis 1 Jahr </t>
  </si>
  <si>
    <t>10</t>
  </si>
  <si>
    <t xml:space="preserve">  Weibliche Rinder über 1 Jahr bis 2 Jahre</t>
  </si>
  <si>
    <t>13</t>
  </si>
  <si>
    <t xml:space="preserve">  Andere weibliche Rinder über 2 Jahre</t>
  </si>
  <si>
    <t xml:space="preserve">  Kühe (Milch-, Mutter- und Ammenkühe)</t>
  </si>
  <si>
    <t xml:space="preserve">  Milchkuh </t>
  </si>
  <si>
    <t xml:space="preserve">  Mutterkuh mit Kalb bis 6 Monate</t>
  </si>
  <si>
    <t>21</t>
  </si>
  <si>
    <t xml:space="preserve">  Lämmer, Schafe bis 1 Jahr</t>
  </si>
  <si>
    <t xml:space="preserve">  Lämmer, Schafe bis 1 Jahr, konventionell</t>
  </si>
  <si>
    <t>22</t>
  </si>
  <si>
    <t xml:space="preserve">  Mutterschafe</t>
  </si>
  <si>
    <t>23</t>
  </si>
  <si>
    <t xml:space="preserve">  Andere Schafe über 1 Jahr, einschl. Hammel</t>
  </si>
  <si>
    <t xml:space="preserve">  Mutterschafe (ohne Lamm), andere Schafe, konvent.</t>
  </si>
  <si>
    <t>24</t>
  </si>
  <si>
    <t xml:space="preserve">  Schafböcke</t>
  </si>
  <si>
    <t>31</t>
  </si>
  <si>
    <t xml:space="preserve">  Mutterziegen, einschl. gedeckte Jungziegen</t>
  </si>
  <si>
    <t xml:space="preserve">  Milchziegen mit Lämmer, andere Ziegen</t>
  </si>
  <si>
    <t>32</t>
  </si>
  <si>
    <t xml:space="preserve">  Andere Ziegen über 1 Jahr</t>
  </si>
  <si>
    <t>41</t>
  </si>
  <si>
    <t xml:space="preserve">  Pferde bis 1 Jahr, Ponys und Kleinpferde</t>
  </si>
  <si>
    <t xml:space="preserve">  Pferde bis ein Jahr, Ponys und Kleinpferde</t>
  </si>
  <si>
    <t>42</t>
  </si>
  <si>
    <t xml:space="preserve">  Pferde über 1 Jahr</t>
  </si>
  <si>
    <t xml:space="preserve">  Pferde über ein Jahr</t>
  </si>
  <si>
    <t>50</t>
  </si>
  <si>
    <t xml:space="preserve">  Ferkel bis unter 30 kg</t>
  </si>
  <si>
    <t xml:space="preserve">  Ferkel von 8 bis 28 kg, Standard</t>
  </si>
  <si>
    <t xml:space="preserve">  Ferkel von 8 bis 28 kg, N-/P-reduziert</t>
  </si>
  <si>
    <t xml:space="preserve">  Zuchtsauen mit 25 Ferkel bis 8 kg, Standard</t>
  </si>
  <si>
    <t xml:space="preserve">  Zuchtsauen mit 25 Ferkel bis 8 kg, N-/P-reduziert</t>
  </si>
  <si>
    <t xml:space="preserve">  Zuchtsauen mit 28 Ferkel bis 8 kg, Standard</t>
  </si>
  <si>
    <t>51</t>
  </si>
  <si>
    <t xml:space="preserve"> Zuchtsauen ab erstem Abferkeln, Jungsauen trächtig</t>
  </si>
  <si>
    <t xml:space="preserve">  Zuchtsauen mit 28 Ferkel bis 8 kg, N-/P-reduziert</t>
  </si>
  <si>
    <t xml:space="preserve">  Zuchtsauen mit 25 Ferkel bis 28 kg, Standard</t>
  </si>
  <si>
    <t xml:space="preserve">  Zuchtsauen mit 25 Ferkel bis 28 kg, N-/P-reduziert</t>
  </si>
  <si>
    <t xml:space="preserve">  Zuchtsauen mit 28 Ferkel bis 28 kg, Standard</t>
  </si>
  <si>
    <t xml:space="preserve">  Zuchtsauen mit 28 Ferkel bis 28 kg, N-/P-reduziert</t>
  </si>
  <si>
    <t xml:space="preserve">  Mastschweine (750 g TZ), Jungsauenaufzucht, Standard</t>
  </si>
  <si>
    <t>53</t>
  </si>
  <si>
    <t xml:space="preserve">  Andere Zuchtschweine (ohne Eber) ab 50 kg</t>
  </si>
  <si>
    <t xml:space="preserve">  Mastschweine (750 g TZ), Jungsauenaufzucht, N-/P-red.</t>
  </si>
  <si>
    <t>54</t>
  </si>
  <si>
    <t xml:space="preserve">  Jungschweine (Zucht/Mast) 30 kg bis unter 50 kg</t>
  </si>
  <si>
    <t xml:space="preserve">  Mastschweine (850 g TZ), Standard</t>
  </si>
  <si>
    <t>55</t>
  </si>
  <si>
    <t xml:space="preserve">  Mastschweine (einschl. Eber) ab 50 kg</t>
  </si>
  <si>
    <t xml:space="preserve">  Mastschweine (850 g TZ), N-/P-reduziert</t>
  </si>
  <si>
    <t xml:space="preserve">  Zuchteber</t>
  </si>
  <si>
    <t>61</t>
  </si>
  <si>
    <t xml:space="preserve">  Legehennen über 6 Monate</t>
  </si>
  <si>
    <t xml:space="preserve">  Legehennen über 16 Wochen, Standard</t>
  </si>
  <si>
    <t xml:space="preserve">  Legehennen über 16 Wochen, N-/P-reduziert</t>
  </si>
  <si>
    <t>62</t>
  </si>
  <si>
    <t xml:space="preserve">  Küken und Junghennen bis 6 Monate zur Aufzucht</t>
  </si>
  <si>
    <t xml:space="preserve">  Junghennen bis 16 Wochen, Standard</t>
  </si>
  <si>
    <t xml:space="preserve">  Junghennen bis 16 Wochen, N-/P-reduziert</t>
  </si>
  <si>
    <t>63</t>
  </si>
  <si>
    <t xml:space="preserve">  Masthühner/-hähne und übrige Küken</t>
  </si>
  <si>
    <t xml:space="preserve">  Masthähnchen, Standard</t>
  </si>
  <si>
    <t xml:space="preserve">  Masthähnchen, N-/P-reduziert</t>
  </si>
  <si>
    <t>64</t>
  </si>
  <si>
    <t xml:space="preserve">  Enten</t>
  </si>
  <si>
    <t xml:space="preserve">  Pekingenten</t>
  </si>
  <si>
    <t xml:space="preserve">  Flugenten</t>
  </si>
  <si>
    <t>65</t>
  </si>
  <si>
    <t xml:space="preserve">  Gänse</t>
  </si>
  <si>
    <t xml:space="preserve">  Gänse Spätmast/Weidemast</t>
  </si>
  <si>
    <t xml:space="preserve">  Putenhähne bis 21 Wochen Mast, Standard</t>
  </si>
  <si>
    <t>66</t>
  </si>
  <si>
    <t xml:space="preserve">  Puten</t>
  </si>
  <si>
    <t xml:space="preserve">  Putenhähne bis 21 Wochen Mast, N-/P-reduziert</t>
  </si>
  <si>
    <t xml:space="preserve">  Putenhennen bis 16 Wochen Mast, Standard</t>
  </si>
  <si>
    <t xml:space="preserve">  Putenhennen bis 16 Wochen Mast, N-/P-reduziert</t>
  </si>
  <si>
    <t>72</t>
  </si>
  <si>
    <t xml:space="preserve">  Kaninchen</t>
  </si>
  <si>
    <t xml:space="preserve">  Kaninchenaufz. bis 3 kg (Häsin + 52 Jungtiere je Jahr)</t>
  </si>
  <si>
    <t>73</t>
  </si>
  <si>
    <t xml:space="preserve">  Damwild</t>
  </si>
  <si>
    <t xml:space="preserve">  Damwild Alttier</t>
  </si>
  <si>
    <t xml:space="preserve">  Damwild Kalb</t>
  </si>
  <si>
    <t>74</t>
  </si>
  <si>
    <t xml:space="preserve">  Rotwild</t>
  </si>
  <si>
    <t xml:space="preserve">  Rotwild Alttier</t>
  </si>
  <si>
    <t xml:space="preserve">  Rotwild Kalb</t>
  </si>
  <si>
    <t>82</t>
  </si>
  <si>
    <t xml:space="preserve">  Neuweltkameliden (Lama/Alpaka)</t>
  </si>
  <si>
    <t xml:space="preserve">  Lama/Alpaka</t>
  </si>
  <si>
    <t>85</t>
  </si>
  <si>
    <t xml:space="preserve">  Perlhühner</t>
  </si>
  <si>
    <t xml:space="preserve">  Perlhuhn</t>
  </si>
  <si>
    <t>Milchkuh (6000 kg Milch,0,9 Kalb)</t>
  </si>
  <si>
    <t>Stallmist</t>
  </si>
  <si>
    <t>Milchkuh (8000 kg Milch, 0,9 Kalb)</t>
  </si>
  <si>
    <t>Milchkuh (10000 kg Milch, 0,9 Kalb)</t>
  </si>
  <si>
    <t>Milchkuh (12000 kg Milch, 0,9 Kalb)</t>
  </si>
  <si>
    <t>Milchkuh (6000 kg Milch, 0,9 Kalb)</t>
  </si>
  <si>
    <t>Kälber (Zucht/Mast) bis 6 Monate</t>
  </si>
  <si>
    <t>Weibliche Rinder über 6 Monate bis 1 Jahr</t>
  </si>
  <si>
    <t>Weibliche Rinder über 1 bis 2 Jahre</t>
  </si>
  <si>
    <t>GV</t>
  </si>
  <si>
    <t>Jauch</t>
  </si>
  <si>
    <t>Milchleistung</t>
  </si>
  <si>
    <t>Tabelle 5:  Nährstoffgehalte organischer Dünger zum Zeitpunkt der Ausbringung,</t>
  </si>
  <si>
    <t>Im Programm hinterlegte Daten</t>
  </si>
  <si>
    <t xml:space="preserve">                  die anrechenbaren Stall- und Lagerungsverluste sind berücksichtigt</t>
  </si>
  <si>
    <t xml:space="preserve">                  (Stand: März 2018)</t>
  </si>
  <si>
    <t xml:space="preserve"> </t>
  </si>
  <si>
    <t>Einheit</t>
  </si>
  <si>
    <t>TM</t>
  </si>
  <si>
    <t>Organischer Dünger mit Code-Nr.</t>
  </si>
  <si>
    <t>Art 2</t>
  </si>
  <si>
    <t>Art 3</t>
  </si>
  <si>
    <t>in</t>
  </si>
  <si>
    <r>
      <t>N</t>
    </r>
    <r>
      <rPr>
        <b/>
        <vertAlign val="subscript"/>
        <sz val="10"/>
        <color indexed="8"/>
        <rFont val="Arial"/>
        <family val="2"/>
      </rPr>
      <t>gesamt</t>
    </r>
  </si>
  <si>
    <t>Rind</t>
  </si>
  <si>
    <t>Milchviehgülle (Grünland, 6 % TM)</t>
  </si>
  <si>
    <r>
      <t>m</t>
    </r>
    <r>
      <rPr>
        <vertAlign val="superscript"/>
        <sz val="10"/>
        <color indexed="8"/>
        <rFont val="Arial"/>
        <family val="2"/>
      </rPr>
      <t>3</t>
    </r>
  </si>
  <si>
    <t>Milchviehgülle (Grünland, 7,5 % TM)</t>
  </si>
  <si>
    <t>Milchviehgülle (Acker, 6 % TM)</t>
  </si>
  <si>
    <t>Milchviehgülle (Acker, 7,5 % TM)</t>
  </si>
  <si>
    <t>Mastbullengülle (7,5 % TM)</t>
  </si>
  <si>
    <t>Rindermist, Kurz-, Mittellangstand (18,5 % TM)</t>
  </si>
  <si>
    <t>Rindermist, Tiefstall (23 % TM)</t>
  </si>
  <si>
    <r>
      <t>Rinderjauche (</t>
    </r>
    <r>
      <rPr>
        <sz val="10"/>
        <color indexed="12"/>
        <rFont val="Arial"/>
        <family val="2"/>
      </rPr>
      <t>1,8</t>
    </r>
    <r>
      <rPr>
        <sz val="10"/>
        <color indexed="8"/>
        <rFont val="Arial"/>
        <family val="2"/>
      </rPr>
      <t xml:space="preserve"> % TM)</t>
    </r>
  </si>
  <si>
    <t>Schwein</t>
  </si>
  <si>
    <t>Mastschweinegülle (5 % TM), Standardfutter</t>
  </si>
  <si>
    <t>Mastschweinegülle (5 % TM), N-/P-red. Fütterung</t>
  </si>
  <si>
    <t>Zuchtsauengülle (mit Ferkel, 5 % TM), Standardfutter</t>
  </si>
  <si>
    <t>Zuchtsauengülle (mit Ferkel, 5 % TM), N-/P-red. Fütterung</t>
  </si>
  <si>
    <t>Schweinemist (21 % TM)</t>
  </si>
  <si>
    <r>
      <t>Schweinejauche (</t>
    </r>
    <r>
      <rPr>
        <sz val="10"/>
        <color indexed="12"/>
        <rFont val="Arial"/>
        <family val="2"/>
      </rPr>
      <t>1,8 </t>
    </r>
    <r>
      <rPr>
        <sz val="10"/>
        <color indexed="8"/>
        <rFont val="Arial"/>
        <family val="2"/>
      </rPr>
      <t>% TM)</t>
    </r>
  </si>
  <si>
    <t>Hühnermist (50 % TM)</t>
  </si>
  <si>
    <t xml:space="preserve">Hühnerkot (50 % TM) </t>
  </si>
  <si>
    <t>Putenmist (50 % TM)</t>
  </si>
  <si>
    <t>Masthähnchenmist (60 % TM)</t>
  </si>
  <si>
    <t>Pekingentenmist (30 % TM)</t>
  </si>
  <si>
    <t>Flugentenmist (30 % TM)</t>
  </si>
  <si>
    <t>sonstige tierische Herkunft</t>
  </si>
  <si>
    <t>Pferdemist (30 % TM)</t>
  </si>
  <si>
    <r>
      <t>Schaf</t>
    </r>
    <r>
      <rPr>
        <sz val="10"/>
        <color indexed="12"/>
        <rFont val="Arial"/>
        <family val="2"/>
      </rPr>
      <t>- und Ziegen</t>
    </r>
    <r>
      <rPr>
        <sz val="10"/>
        <color indexed="8"/>
        <rFont val="Arial"/>
        <family val="2"/>
      </rPr>
      <t>mist (30 % TM)</t>
    </r>
  </si>
  <si>
    <t>Kaninchenmist (30 % TM)</t>
  </si>
  <si>
    <t xml:space="preserve">                     (Stand: Januar 2018)</t>
  </si>
  <si>
    <t>Im Programm hinterlegte Daten aus Tabelle 4a+b+c</t>
  </si>
  <si>
    <t>Großvieh-</t>
  </si>
  <si>
    <r>
      <t>Gülleanfall in m</t>
    </r>
    <r>
      <rPr>
        <b/>
        <vertAlign val="superscript"/>
        <sz val="10"/>
        <rFont val="Arial"/>
        <family val="2"/>
      </rPr>
      <t>3</t>
    </r>
  </si>
  <si>
    <t xml:space="preserve">Einstreu </t>
  </si>
  <si>
    <r>
      <t xml:space="preserve">Festmist (nach DüV) </t>
    </r>
    <r>
      <rPr>
        <b/>
        <vertAlign val="superscript"/>
        <sz val="10"/>
        <rFont val="Arial"/>
        <family val="2"/>
      </rPr>
      <t>5)</t>
    </r>
  </si>
  <si>
    <t>Jaucheanfall</t>
  </si>
  <si>
    <r>
      <t xml:space="preserve">Jaucheanfall </t>
    </r>
    <r>
      <rPr>
        <b/>
        <vertAlign val="superscript"/>
        <sz val="10"/>
        <rFont val="Arial"/>
        <family val="2"/>
      </rPr>
      <t>4)</t>
    </r>
  </si>
  <si>
    <t>Verluste in %</t>
  </si>
  <si>
    <t>einheit</t>
  </si>
  <si>
    <t>kg je mittl.</t>
  </si>
  <si>
    <r>
      <t xml:space="preserve">je mittl. Jahresbestand </t>
    </r>
    <r>
      <rPr>
        <b/>
        <vertAlign val="superscript"/>
        <sz val="10"/>
        <rFont val="Arial"/>
        <family val="2"/>
      </rPr>
      <t>2)</t>
    </r>
  </si>
  <si>
    <r>
      <t>in m</t>
    </r>
    <r>
      <rPr>
        <b/>
        <vertAlign val="superscript"/>
        <sz val="10"/>
        <rFont val="Arial"/>
        <family val="2"/>
      </rPr>
      <t xml:space="preserve">3 </t>
    </r>
    <r>
      <rPr>
        <b/>
        <sz val="10"/>
        <rFont val="Arial"/>
        <family val="2"/>
      </rPr>
      <t xml:space="preserve">je mittl. </t>
    </r>
  </si>
  <si>
    <t>Stall- und Lager</t>
  </si>
  <si>
    <t>nach DüV</t>
  </si>
  <si>
    <r>
      <t xml:space="preserve">Jahresbestand </t>
    </r>
    <r>
      <rPr>
        <b/>
        <vertAlign val="superscript"/>
        <sz val="10"/>
        <rFont val="Arial"/>
        <family val="2"/>
      </rPr>
      <t>2)</t>
    </r>
  </si>
  <si>
    <t>(nach DüV)</t>
  </si>
  <si>
    <t>Anfall in t/Jahr</t>
  </si>
  <si>
    <r>
      <t>Jahresbest.²</t>
    </r>
    <r>
      <rPr>
        <b/>
        <vertAlign val="superscript"/>
        <sz val="10"/>
        <rFont val="Arial"/>
        <family val="2"/>
      </rPr>
      <t>)</t>
    </r>
  </si>
  <si>
    <t>Mist,</t>
  </si>
  <si>
    <r>
      <t>P</t>
    </r>
    <r>
      <rPr>
        <b/>
        <vertAlign val="subscript"/>
        <sz val="10"/>
        <rFont val="Arial"/>
        <family val="2"/>
      </rPr>
      <t>2</t>
    </r>
    <r>
      <rPr>
        <b/>
        <sz val="10"/>
        <rFont val="Arial"/>
        <family val="2"/>
      </rPr>
      <t>O</t>
    </r>
    <r>
      <rPr>
        <b/>
        <vertAlign val="subscript"/>
        <sz val="10"/>
        <rFont val="Arial"/>
        <family val="2"/>
      </rPr>
      <t>5</t>
    </r>
  </si>
  <si>
    <r>
      <t>K</t>
    </r>
    <r>
      <rPr>
        <b/>
        <vertAlign val="subscript"/>
        <sz val="10"/>
        <rFont val="Arial"/>
        <family val="2"/>
      </rPr>
      <t>2</t>
    </r>
    <r>
      <rPr>
        <b/>
        <sz val="10"/>
        <rFont val="Arial"/>
        <family val="2"/>
      </rPr>
      <t>O</t>
    </r>
  </si>
  <si>
    <r>
      <t xml:space="preserve">DüV </t>
    </r>
    <r>
      <rPr>
        <b/>
        <vertAlign val="superscript"/>
        <sz val="10"/>
        <rFont val="Arial"/>
        <family val="2"/>
      </rPr>
      <t>3)</t>
    </r>
  </si>
  <si>
    <t>kg/Tag</t>
  </si>
  <si>
    <t>LfL</t>
  </si>
  <si>
    <t xml:space="preserve">nach DüV </t>
  </si>
  <si>
    <r>
      <t xml:space="preserve">Ackerbetrieb </t>
    </r>
    <r>
      <rPr>
        <b/>
        <vertAlign val="superscript"/>
        <sz val="10"/>
        <rFont val="Arial"/>
        <family val="2"/>
      </rPr>
      <t>1)</t>
    </r>
    <r>
      <rPr>
        <b/>
        <sz val="10"/>
        <rFont val="Arial"/>
        <family val="2"/>
      </rPr>
      <t>, Stallhaltung</t>
    </r>
  </si>
  <si>
    <t xml:space="preserve">Weibliche Rinder über 6 Monate bis 1 Jahr </t>
  </si>
  <si>
    <t>Milchkuh (6000 kg Milch)</t>
  </si>
  <si>
    <t>Milchkuh (8000 kg Milch)</t>
  </si>
  <si>
    <t>Milchkuh (10000 kg Milch)</t>
  </si>
  <si>
    <t>Milchkuh (12000 kg Milch)</t>
  </si>
  <si>
    <r>
      <t xml:space="preserve">Grünlandbetrieb </t>
    </r>
    <r>
      <rPr>
        <b/>
        <vertAlign val="superscript"/>
        <sz val="10"/>
        <rFont val="Arial"/>
        <family val="2"/>
      </rPr>
      <t>1)</t>
    </r>
    <r>
      <rPr>
        <b/>
        <sz val="10"/>
        <rFont val="Arial"/>
        <family val="2"/>
      </rPr>
      <t>, konventionell</t>
    </r>
  </si>
  <si>
    <t>je 1000 Tiere</t>
  </si>
  <si>
    <t>Sonstige</t>
  </si>
  <si>
    <t>je Tier</t>
  </si>
  <si>
    <t>49 Tierartengruppen</t>
  </si>
  <si>
    <t>Grünlandanteil in %</t>
  </si>
  <si>
    <t>Milchkuh Acker</t>
  </si>
  <si>
    <t>Milchkuh GL</t>
  </si>
  <si>
    <t>Stroh</t>
  </si>
  <si>
    <t>Anfall</t>
  </si>
  <si>
    <t>Verluste</t>
  </si>
  <si>
    <t>Mist,Jauche</t>
  </si>
  <si>
    <t>Tiergruppe</t>
  </si>
  <si>
    <t>Anzahl ohne Weide</t>
  </si>
  <si>
    <t>m³/Jahr</t>
  </si>
  <si>
    <t>t/Jahr</t>
  </si>
  <si>
    <t>Nährstoffanfall Betrieb</t>
  </si>
  <si>
    <t>Festmist</t>
  </si>
  <si>
    <t>P205</t>
  </si>
  <si>
    <t>Tierart</t>
  </si>
  <si>
    <t>Jauche Nährstoffg.</t>
  </si>
  <si>
    <t>Gülle und Jauche</t>
  </si>
  <si>
    <t>Anfall  Wirtschaftsdünger im Jahr in t</t>
  </si>
  <si>
    <t>Tierbezeichnung</t>
  </si>
  <si>
    <t>Nährstoffanfall</t>
  </si>
  <si>
    <t>Anfall Mist</t>
  </si>
  <si>
    <t>Nährstoffauss. Anfall</t>
  </si>
  <si>
    <t>Tierart wählen</t>
  </si>
  <si>
    <t>Gesamt</t>
  </si>
  <si>
    <t>2. Zu- und Abgang organischer (und organisch-mineralische) Düngemittel</t>
  </si>
  <si>
    <t xml:space="preserve">Organisch (und organisch-mineralische) Düngemittel </t>
  </si>
  <si>
    <t>Zugang</t>
  </si>
  <si>
    <t>Abgang</t>
  </si>
  <si>
    <t>t bzw. m³</t>
  </si>
  <si>
    <t>kg/t bzw. m³</t>
  </si>
  <si>
    <t>Nährstoffgehalt org. Dünger</t>
  </si>
  <si>
    <t>flüssig</t>
  </si>
  <si>
    <t>fest</t>
  </si>
  <si>
    <t>flüssig/fest</t>
  </si>
  <si>
    <t>Dünger wählen</t>
  </si>
  <si>
    <t>fest in t</t>
  </si>
  <si>
    <t>flüssig m³</t>
  </si>
  <si>
    <t>Art</t>
  </si>
  <si>
    <t>Summe</t>
  </si>
  <si>
    <t>je Tier und Jahr (365 Tage)</t>
  </si>
  <si>
    <t>kg</t>
  </si>
  <si>
    <t>Nährstoffgehalt/t</t>
  </si>
  <si>
    <t>Sonstige Wasserzugabe im Jahr (z. B. Dachrinnenwasser, Reinigungswasser)</t>
  </si>
  <si>
    <t xml:space="preserve"> Bei Fragen wenden Sie sich an Ihr zuständiges Amt für Ernährung, Landwirtschaft und Forsten.</t>
  </si>
  <si>
    <t>spez. Gewicht</t>
  </si>
  <si>
    <t>Ø Jahresbestand</t>
  </si>
  <si>
    <t>spez.Gew.</t>
  </si>
  <si>
    <t>SM</t>
  </si>
  <si>
    <t>Anfall  Wirtschaftsdünger im Jahr in m³</t>
  </si>
  <si>
    <t>Lager</t>
  </si>
  <si>
    <t xml:space="preserve">Runde Behälter (flüssig) </t>
  </si>
  <si>
    <t>Rechteckige Behälter (flüssig)</t>
  </si>
  <si>
    <t>bzw. Lagerflächen (fest)</t>
  </si>
  <si>
    <t>Behälter/Lagerfläche 1</t>
  </si>
  <si>
    <t>Lager 1</t>
  </si>
  <si>
    <t>Lagerraum m³</t>
  </si>
  <si>
    <t xml:space="preserve">Adresse des Betriebes </t>
  </si>
  <si>
    <t>Zu-/Verpacht</t>
  </si>
  <si>
    <t>Notwendiger Lagerraum nach DüV für Monate:</t>
  </si>
  <si>
    <t>Lager 2</t>
  </si>
  <si>
    <t>Lager 3</t>
  </si>
  <si>
    <t>Lager 4</t>
  </si>
  <si>
    <t xml:space="preserve">Zu- und Verpacht von Lagerkapazität </t>
  </si>
  <si>
    <t>Lagerraum der dem Betrieb zur Verfüngung steht in m³</t>
  </si>
  <si>
    <t xml:space="preserve">Mindestanforderung nach DüV wird eingehalten: </t>
  </si>
  <si>
    <t>Ergebnis 2018</t>
  </si>
  <si>
    <t>LF</t>
  </si>
  <si>
    <t>GV/ha</t>
  </si>
  <si>
    <t>Nährstoffgehalt Gülle/Jauche in kg/m³</t>
  </si>
  <si>
    <t>Nährstoffgehalt Stallmist in kg/t</t>
  </si>
  <si>
    <t>Pers.</t>
  </si>
  <si>
    <t>Gülle/Jauche notwendige ha</t>
  </si>
  <si>
    <t>%6Mo</t>
  </si>
  <si>
    <t>%9Mo</t>
  </si>
  <si>
    <t>grünes Gebiet</t>
  </si>
  <si>
    <t>GL/ha</t>
  </si>
  <si>
    <t>rote Flächen</t>
  </si>
  <si>
    <t>bei Anteil</t>
  </si>
  <si>
    <t>Hausabwässer (wenn eingeleitet wird) Anzahl Personen</t>
  </si>
  <si>
    <t>ger.</t>
  </si>
  <si>
    <t>Nähstoffgehalt Stroh kg/t</t>
  </si>
  <si>
    <t>Einstreu</t>
  </si>
  <si>
    <t>kg je GV und Tag</t>
  </si>
  <si>
    <t>Einstreu kg je GV und Tag</t>
  </si>
  <si>
    <t>Summe Lagerbehälter im Betrieb für flüssige und feste Wirtschaftsdünger m³</t>
  </si>
  <si>
    <t>Menge Zu- und Verpacht m³</t>
  </si>
  <si>
    <t>Notwendiger Lagerraum nach DüV in Monate:</t>
  </si>
  <si>
    <t>Anfall in dieser Zeit (bzw. mindestens benötigter Lagerraum) in m³</t>
  </si>
  <si>
    <r>
      <t>Notwendiger Lagerraum ab 2020</t>
    </r>
    <r>
      <rPr>
        <sz val="12"/>
        <rFont val="Arial"/>
        <family val="2"/>
      </rPr>
      <t xml:space="preserve"> (</t>
    </r>
    <r>
      <rPr>
        <sz val="10"/>
        <rFont val="Arial"/>
        <family val="2"/>
      </rPr>
      <t>bei den angegebenen Tieren und Flächen)</t>
    </r>
  </si>
  <si>
    <t>Behälter/Lagerfläche 2</t>
  </si>
  <si>
    <t>Behälter/Lagerfläche 3</t>
  </si>
  <si>
    <t>Behälter/Lagerfläche 4</t>
  </si>
  <si>
    <t>Zupacht</t>
  </si>
  <si>
    <t>Verpacht</t>
  </si>
  <si>
    <t>Fläche im grünen Gebiet (%) ab 2020</t>
  </si>
  <si>
    <t>Plaus. Tiere ohne Gülle</t>
  </si>
  <si>
    <t>kg/GV und Tag</t>
  </si>
  <si>
    <t>GV/ha im Betrieb:</t>
  </si>
  <si>
    <t>Weidestunden in % bezieht sich auf die Gesamtzahl der Tiere einer Haltungsart und gibt die durchschnittlichen Weidestunden eines Jahres gesehen auf alle Tiere wieder. Wenn nur ein Teil der Tiere Zugang zur Weide hat, reduzieren sich die durchschnittlichen Weidestunden je Tier, obwohl einzelne Tiere mehr Weidestunden haben.</t>
  </si>
  <si>
    <t xml:space="preserve">Beispiel: 30 % bedeutet, dass die Tiere durchschnittlich in 30 % der Stunden eines Jahres auf der Weide stehen und 70 % im Stall. </t>
  </si>
  <si>
    <t>Berechnung: Anzahl Tiere mit Weidezugang * Ø tägliche Weidestunden * Anzahl Tage mit Weidestunden/24 Stunden/365 Tage/Gesamtzahl Tiere der Haltungsart= % Weidestunden eines Jahres“</t>
  </si>
  <si>
    <t>Lager in Monate Stallmist</t>
  </si>
  <si>
    <t>bis 2020</t>
  </si>
  <si>
    <t>ab 2020</t>
  </si>
  <si>
    <t>Lager in Monaten Stallmist</t>
  </si>
  <si>
    <t>Mistanfall im m³</t>
  </si>
  <si>
    <t>Anfall Gärsaft im Jahr - wenn eingeleitet wird (mind. 3 % des größten Silos)</t>
  </si>
  <si>
    <t>Silosaft</t>
  </si>
  <si>
    <t>% TS</t>
  </si>
  <si>
    <t>spez. Gew.</t>
  </si>
  <si>
    <t>TS [%]</t>
  </si>
  <si>
    <r>
      <rPr>
        <b/>
        <sz val="14"/>
        <rFont val="Arial"/>
        <family val="2"/>
      </rPr>
      <t>für tierhaltende Betriebe</t>
    </r>
    <r>
      <rPr>
        <b/>
        <sz val="16"/>
        <rFont val="Arial"/>
        <family val="2"/>
      </rPr>
      <t xml:space="preserve"> </t>
    </r>
    <r>
      <rPr>
        <sz val="10"/>
        <rFont val="Arial"/>
        <family val="2"/>
      </rPr>
      <t>(ohne Biogas, mit Separierung)</t>
    </r>
  </si>
  <si>
    <t xml:space="preserve">Anfall Gülle </t>
  </si>
  <si>
    <t xml:space="preserve">gesamt </t>
  </si>
  <si>
    <t xml:space="preserve">Anfall Jauche </t>
  </si>
  <si>
    <t>gesamt</t>
  </si>
  <si>
    <r>
      <t xml:space="preserve">Mindestanforderungen nach Düngeverordnung </t>
    </r>
    <r>
      <rPr>
        <b/>
        <sz val="14"/>
        <rFont val="Arial"/>
        <family val="2"/>
      </rPr>
      <t>Entwurf Stand: 10.09.18</t>
    </r>
  </si>
  <si>
    <t>Menge</t>
  </si>
  <si>
    <t>TS</t>
  </si>
  <si>
    <t>Wasser</t>
  </si>
  <si>
    <t>t, m³</t>
  </si>
  <si>
    <t>t im Betrieb</t>
  </si>
  <si>
    <t>org. Dünger</t>
  </si>
  <si>
    <t>welcher Anteil des Gärrestanfalls wird separiert</t>
  </si>
  <si>
    <t>Menge in m³</t>
  </si>
  <si>
    <t>Menge in t</t>
  </si>
  <si>
    <t>TS in %</t>
  </si>
  <si>
    <t>Separierung flüssiger Wirtschftsdünger</t>
  </si>
  <si>
    <t>Anfall flüssiger und fester Wirtschaftsdünger (Gülle/Jauche/Stallmist) aus Tierhaltung</t>
  </si>
  <si>
    <t xml:space="preserve">Separierung flüssiger Wirtschaftsdünger </t>
  </si>
  <si>
    <t>Lagerbehälter im Betrieb für flüssige (Gülle, Jache) und feste (Mist) Wirtschaftsdünger</t>
  </si>
  <si>
    <t>pro Jahr</t>
  </si>
  <si>
    <t>mit Lichti</t>
  </si>
  <si>
    <t>für Biogas wird es eine Zeile "sonstige Einsatzstoffe" geben/ diese sonstigen Einsatzstoffe dürfen bis zu 5% der FM betragen</t>
  </si>
  <si>
    <t>Eigenstromanteil: wird mit 9% angesetzt</t>
  </si>
  <si>
    <t>basisdaten werden von der Landtechnik ergänzt</t>
  </si>
  <si>
    <t>mit Gasertrag L / kg org TS</t>
  </si>
  <si>
    <t xml:space="preserve">Methangehalt </t>
  </si>
  <si>
    <t>org TS</t>
  </si>
  <si>
    <t xml:space="preserve">Methangewicht </t>
  </si>
  <si>
    <t>CO2 Gewicht</t>
  </si>
  <si>
    <t>Wasser in TS (Gewicht)</t>
  </si>
  <si>
    <t>mittlere Verweildauer in Tagen</t>
  </si>
  <si>
    <t>Abbaurate wird mit verkaufen Gasertrag korrigiert</t>
  </si>
  <si>
    <t>t/m³</t>
  </si>
  <si>
    <t>kann von Gasertrag und Methangehalt abgeleitet werden</t>
  </si>
  <si>
    <t>für Wirtschaftsdünger</t>
  </si>
  <si>
    <t>ja</t>
  </si>
  <si>
    <t>nein</t>
  </si>
  <si>
    <t>welcher Anteil  wird separiert</t>
  </si>
  <si>
    <t>Güllelager</t>
  </si>
  <si>
    <t>Anfall/Jahr</t>
  </si>
  <si>
    <t>Monat</t>
  </si>
  <si>
    <t>je ha</t>
  </si>
  <si>
    <t>Ausgebracht</t>
  </si>
  <si>
    <t>je ha in kg N</t>
  </si>
  <si>
    <t>optimale Düngung</t>
  </si>
  <si>
    <t>Acker und GL</t>
  </si>
  <si>
    <t>GL</t>
  </si>
  <si>
    <t>keine Düngung</t>
  </si>
  <si>
    <t>Monate</t>
  </si>
  <si>
    <t>Gülleabgabe</t>
  </si>
  <si>
    <t xml:space="preserve"> --&gt; 9 Monate Lagerraum</t>
  </si>
  <si>
    <t>Düngung flüssiger org. Dünger</t>
  </si>
  <si>
    <t>je nach Fruchtfolge</t>
  </si>
  <si>
    <t>Acker/GL</t>
  </si>
  <si>
    <t>möglich</t>
  </si>
  <si>
    <t>Acker nicht</t>
  </si>
  <si>
    <t>GL ggf. möglich</t>
  </si>
  <si>
    <t>Acker eigene Ausbringflächen</t>
  </si>
  <si>
    <t xml:space="preserve"> --&gt; 6 Monate Lagerraum</t>
  </si>
  <si>
    <t>Grünland eigene Ausbringflächen</t>
  </si>
  <si>
    <t xml:space="preserve"> --&gt; 4,5 Monate Lagerraum</t>
  </si>
  <si>
    <t>Verkauf</t>
  </si>
  <si>
    <t>Ausgebracht/Verkauf</t>
  </si>
  <si>
    <r>
      <t>Sonstige Lagerkapazitäten im Betrieb</t>
    </r>
    <r>
      <rPr>
        <b/>
        <sz val="10"/>
        <rFont val="Arial"/>
        <family val="2"/>
      </rPr>
      <t xml:space="preserve"> </t>
    </r>
  </si>
  <si>
    <t>verunreinigtes Wasser z.B. ungereinigte Silofläche o. Ladefläche (eingeleitet)</t>
  </si>
  <si>
    <t>grüner Betrieb?</t>
  </si>
  <si>
    <t xml:space="preserve">    Zusätzlich sind für nicht abpumpfähige Mengen 10 cm zu berücksichtigen. </t>
  </si>
  <si>
    <r>
      <t>Höhe</t>
    </r>
    <r>
      <rPr>
        <b/>
        <vertAlign val="superscript"/>
        <sz val="10"/>
        <rFont val="Arial"/>
        <family val="2"/>
      </rPr>
      <t>2)</t>
    </r>
  </si>
  <si>
    <t xml:space="preserve">1) Bestandsschutz: Für Betriebe nach DüV § 12 Abs. 2 ohne Aufstockung des Tierbestandes können bis 31.12.2023 </t>
  </si>
  <si>
    <t xml:space="preserve">2) Bei offenen Behältern sind von der Höhe 20 cm (Freiraum) und bei geschlossenen Behältern 10 cm abzuziehen. </t>
  </si>
  <si>
    <t>nur Wasser z.B. gereinigte oder agedeckte Siloflächen (eingeleitet)</t>
  </si>
  <si>
    <t xml:space="preserve">     zur Berechnung der Mindestlagerkapazität von flüssigen Wirtschaftsdünger das „Berechnungsprogramm 2017“ verwenden.</t>
  </si>
  <si>
    <t>Anfall in dieser Zeit bzw. notwendiger Lagerraum in m³:</t>
  </si>
  <si>
    <t>Rind ha 255</t>
  </si>
  <si>
    <t>max. ha 255</t>
  </si>
  <si>
    <t>Gülle Grünland Rinder</t>
  </si>
  <si>
    <t>Tiere für Betriebe mit Separation</t>
  </si>
  <si>
    <t>Tiere für Beech. Lagerraum flüssig+fest</t>
  </si>
  <si>
    <r>
      <t>P</t>
    </r>
    <r>
      <rPr>
        <vertAlign val="subscript"/>
        <sz val="8"/>
        <rFont val="Arial"/>
        <family val="2"/>
      </rPr>
      <t>2</t>
    </r>
    <r>
      <rPr>
        <sz val="8"/>
        <rFont val="Arial"/>
        <family val="2"/>
      </rPr>
      <t>O</t>
    </r>
    <r>
      <rPr>
        <vertAlign val="subscript"/>
        <sz val="8"/>
        <rFont val="Arial"/>
        <family val="2"/>
      </rPr>
      <t>5</t>
    </r>
  </si>
  <si>
    <r>
      <t>K</t>
    </r>
    <r>
      <rPr>
        <vertAlign val="subscript"/>
        <sz val="8"/>
        <rFont val="Arial"/>
        <family val="2"/>
      </rPr>
      <t>2</t>
    </r>
    <r>
      <rPr>
        <sz val="8"/>
        <rFont val="Arial"/>
        <family val="2"/>
      </rPr>
      <t>O</t>
    </r>
  </si>
  <si>
    <r>
      <t>P</t>
    </r>
    <r>
      <rPr>
        <vertAlign val="subscript"/>
        <sz val="11"/>
        <rFont val="Arial"/>
        <family val="2"/>
      </rPr>
      <t>2</t>
    </r>
    <r>
      <rPr>
        <sz val="11"/>
        <rFont val="Arial"/>
        <family val="2"/>
      </rPr>
      <t>O</t>
    </r>
    <r>
      <rPr>
        <vertAlign val="subscript"/>
        <sz val="11"/>
        <rFont val="Arial"/>
        <family val="2"/>
      </rPr>
      <t>5</t>
    </r>
  </si>
  <si>
    <r>
      <t>K</t>
    </r>
    <r>
      <rPr>
        <vertAlign val="subscript"/>
        <sz val="11"/>
        <rFont val="Arial"/>
        <family val="2"/>
      </rPr>
      <t>2</t>
    </r>
    <r>
      <rPr>
        <sz val="11"/>
        <rFont val="Arial"/>
        <family val="2"/>
      </rPr>
      <t>O</t>
    </r>
  </si>
  <si>
    <r>
      <t xml:space="preserve">Mindestanforderungen nach Düngeverordnung </t>
    </r>
    <r>
      <rPr>
        <vertAlign val="superscript"/>
        <sz val="12"/>
        <rFont val="Arial"/>
        <family val="2"/>
      </rPr>
      <t>1)</t>
    </r>
    <r>
      <rPr>
        <sz val="12"/>
        <rFont val="Arial"/>
        <family val="2"/>
      </rPr>
      <t xml:space="preserve"> </t>
    </r>
    <r>
      <rPr>
        <b/>
        <sz val="12"/>
        <color indexed="40"/>
        <rFont val="Arial"/>
        <family val="2"/>
      </rPr>
      <t>Entwurf Stand: 17.10.18</t>
    </r>
  </si>
  <si>
    <r>
      <rPr>
        <b/>
        <sz val="14"/>
        <rFont val="Arial"/>
        <family val="2"/>
      </rPr>
      <t xml:space="preserve">für tierhaltende Betriebe </t>
    </r>
    <r>
      <rPr>
        <b/>
        <sz val="16"/>
        <rFont val="Arial"/>
        <family val="2"/>
      </rPr>
      <t xml:space="preserve"> </t>
    </r>
    <r>
      <rPr>
        <sz val="10"/>
        <rFont val="Arial"/>
        <family val="2"/>
      </rPr>
      <t>(</t>
    </r>
    <r>
      <rPr>
        <b/>
        <sz val="10"/>
        <rFont val="Arial"/>
        <family val="2"/>
      </rPr>
      <t>ohne</t>
    </r>
    <r>
      <rPr>
        <sz val="10"/>
        <rFont val="Arial"/>
        <family val="2"/>
      </rPr>
      <t xml:space="preserve"> Biogas, </t>
    </r>
    <r>
      <rPr>
        <b/>
        <sz val="10"/>
        <rFont val="Arial"/>
        <family val="2"/>
      </rPr>
      <t>mit</t>
    </r>
    <r>
      <rPr>
        <sz val="10"/>
        <rFont val="Arial"/>
        <family val="2"/>
      </rPr>
      <t xml:space="preserve"> Separierung)</t>
    </r>
  </si>
  <si>
    <t>© Bayerische Landesanstalt für Landwirtschaft, Institut für Agrarökologie - Düngung (Of, We, Hi, Ka, Br); Stand: 17.10.18</t>
  </si>
  <si>
    <t>fest in m³</t>
  </si>
  <si>
    <t>Max. Ausbringung Betrieb</t>
  </si>
  <si>
    <t xml:space="preserve">1) Bei offenen Behältern sind von der Höhe 20 cm (Freiraum) und bei geschlossenen Behältern 10 cm abzuziehen. </t>
  </si>
  <si>
    <r>
      <t>Höhe</t>
    </r>
    <r>
      <rPr>
        <b/>
        <vertAlign val="superscript"/>
        <sz val="10"/>
        <rFont val="Arial"/>
        <family val="2"/>
      </rPr>
      <t>1)</t>
    </r>
  </si>
  <si>
    <t>Orientierungswerte zur DBE</t>
  </si>
  <si>
    <t>Lagerraum der dem Betrieb zur Verfügung steht in m³</t>
  </si>
  <si>
    <t>Lagerbehälter im Betrieb für flüssige (Gülle, Jauche) und feste (Mist) Wirtschaftsdünger</t>
  </si>
  <si>
    <t>Notwendiger Lagerraum nach DüV für Monate</t>
  </si>
  <si>
    <t>Anfall in dieser Zeit bzw. notwendiger Lagerraum in m³</t>
  </si>
  <si>
    <t>Betrieb mit Erleichterungen (ab 2020)</t>
  </si>
  <si>
    <t>Eingabemöglichkeit für abweichende Werte</t>
  </si>
  <si>
    <t>TS-Gehalt</t>
  </si>
  <si>
    <t>Niederschlagswasser und sonstige Abwässer, wenn eingeleitet wird</t>
  </si>
  <si>
    <t>Hausabwässer Anzahl Personen</t>
  </si>
  <si>
    <t>ha zusätzliche Ausbringfläche</t>
  </si>
  <si>
    <t xml:space="preserve">    Zusätzlich sind für nicht abpumpfähige Mengen 10 cm zu berücksichtigen (in der Höhe abzuziehen). </t>
  </si>
  <si>
    <t xml:space="preserve"> welcher Anteil in % wird separiert</t>
  </si>
  <si>
    <r>
      <t>P</t>
    </r>
    <r>
      <rPr>
        <vertAlign val="subscript"/>
        <sz val="10"/>
        <rFont val="Arial"/>
        <family val="2"/>
      </rPr>
      <t>2</t>
    </r>
    <r>
      <rPr>
        <sz val="10"/>
        <rFont val="Arial"/>
        <family val="2"/>
      </rPr>
      <t>O</t>
    </r>
    <r>
      <rPr>
        <vertAlign val="subscript"/>
        <sz val="10"/>
        <rFont val="Arial"/>
        <family val="2"/>
      </rPr>
      <t>5</t>
    </r>
  </si>
  <si>
    <r>
      <t>K</t>
    </r>
    <r>
      <rPr>
        <vertAlign val="subscript"/>
        <sz val="10"/>
        <rFont val="Arial"/>
        <family val="2"/>
      </rPr>
      <t>2</t>
    </r>
    <r>
      <rPr>
        <sz val="10"/>
        <rFont val="Arial"/>
        <family val="2"/>
      </rPr>
      <t>O</t>
    </r>
  </si>
  <si>
    <t>2) Bezogen auf die LF abzüglich Flächen ohne Nutzung und ohne Düngung</t>
  </si>
  <si>
    <r>
      <t>Notwendiger Lagerraum ab 2020</t>
    </r>
    <r>
      <rPr>
        <sz val="12"/>
        <rFont val="Arial"/>
        <family val="2"/>
      </rPr>
      <t xml:space="preserve"> (</t>
    </r>
    <r>
      <rPr>
        <sz val="10"/>
        <rFont val="Arial"/>
        <family val="2"/>
      </rPr>
      <t>bei den angegebenen Tieren und Flächen</t>
    </r>
    <r>
      <rPr>
        <vertAlign val="superscript"/>
        <sz val="10"/>
        <rFont val="Arial"/>
        <family val="2"/>
      </rPr>
      <t>2)</t>
    </r>
    <r>
      <rPr>
        <sz val="10"/>
        <rFont val="Arial"/>
        <family val="2"/>
      </rPr>
      <t xml:space="preserve">) </t>
    </r>
  </si>
  <si>
    <t>ha</t>
  </si>
  <si>
    <t xml:space="preserve">     und den zusätzlichen Ausbringflächen</t>
  </si>
  <si>
    <t>Zwiz.</t>
  </si>
  <si>
    <t>Mindestanforderungen nach Düngeverordnung</t>
  </si>
  <si>
    <r>
      <t xml:space="preserve">für tierhaltende Betriebe  </t>
    </r>
    <r>
      <rPr>
        <sz val="12"/>
        <rFont val="Arial"/>
        <family val="2"/>
      </rPr>
      <t>(</t>
    </r>
    <r>
      <rPr>
        <b/>
        <sz val="12"/>
        <rFont val="Arial"/>
        <family val="2"/>
      </rPr>
      <t>ohne</t>
    </r>
    <r>
      <rPr>
        <sz val="12"/>
        <rFont val="Arial"/>
        <family val="2"/>
      </rPr>
      <t xml:space="preserve"> Biogas</t>
    </r>
    <r>
      <rPr>
        <sz val="12"/>
        <rFont val="Arial"/>
        <family val="2"/>
      </rPr>
      <t>)</t>
    </r>
  </si>
  <si>
    <t>Mindestanfall für Gärsaft  - mind. 3 % des Volumens des größten Silos</t>
  </si>
  <si>
    <r>
      <t>Sonstige Wasserzugabe im Jahr</t>
    </r>
    <r>
      <rPr>
        <sz val="9"/>
        <rFont val="Arial"/>
        <family val="2"/>
      </rPr>
      <t xml:space="preserve"> </t>
    </r>
    <r>
      <rPr>
        <sz val="8"/>
        <rFont val="Arial"/>
        <family val="2"/>
      </rPr>
      <t>(z.B. Dachrinnenwasser, Reinigungswasser)</t>
    </r>
  </si>
  <si>
    <t>Flächen nicht abgedeckter Gülle- und Jaucheläger</t>
  </si>
  <si>
    <t>Fläche verunreinigtes Wasser z.B. ungereinigte Silofläche oder Ladefläche</t>
  </si>
  <si>
    <r>
      <t>Sonstige Flächen</t>
    </r>
    <r>
      <rPr>
        <sz val="8"/>
        <rFont val="Arial"/>
        <family val="2"/>
      </rPr>
      <t xml:space="preserve"> (gereinigte Siloflächen, Stallmistläger, abgedeckte Silo- und Gülleläger)</t>
    </r>
  </si>
  <si>
    <t>© Bayerische Landesanstalt für Landwirtschaft, Institut für Agrarökologie - Düngung (Of, We, Hi, Ka, Br); Stand: 20.11.18</t>
  </si>
  <si>
    <t>ha LF nach MFA</t>
  </si>
  <si>
    <t>© Bayerische Landesanstalt für Landwirtschaft, Institut für Agrarökologie - Düngung (Of, We, Hi, Ka, Br); Stand: 30.01.19</t>
  </si>
  <si>
    <t>Ergebnis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</si>
</sst>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
    <numFmt numFmtId="166" formatCode="0.0"/>
    <numFmt numFmtId="167" formatCode="0.0%"/>
  </numFmts>
  <fonts count="64" x14ac:knownFonts="1">
    <font>
      <sz val="10"/>
      <name val="Arial"/>
    </font>
    <font>
      <sz val="10"/>
      <name val="Arial"/>
    </font>
    <font>
      <b/>
      <sz val="10"/>
      <name val="Arial"/>
      <family val="2"/>
    </font>
    <font>
      <b/>
      <sz val="16"/>
      <name val="Arial"/>
      <family val="2"/>
    </font>
    <font>
      <b/>
      <sz val="12"/>
      <name val="Arial"/>
      <family val="2"/>
    </font>
    <font>
      <sz val="8"/>
      <name val="Arial"/>
      <family val="2"/>
    </font>
    <font>
      <sz val="10"/>
      <color indexed="12"/>
      <name val="Arial"/>
      <family val="2"/>
    </font>
    <font>
      <b/>
      <sz val="10"/>
      <color indexed="8"/>
      <name val="Arial"/>
      <family val="2"/>
    </font>
    <font>
      <sz val="10"/>
      <color indexed="8"/>
      <name val="Arial"/>
      <family val="2"/>
    </font>
    <font>
      <b/>
      <vertAlign val="superscript"/>
      <sz val="10"/>
      <name val="Arial"/>
      <family val="2"/>
    </font>
    <font>
      <sz val="10"/>
      <name val="Arial"/>
      <family val="2"/>
    </font>
    <font>
      <sz val="10"/>
      <color indexed="10"/>
      <name val="Arial"/>
      <family val="2"/>
    </font>
    <font>
      <sz val="11"/>
      <color indexed="8"/>
      <name val="Arial"/>
      <family val="2"/>
    </font>
    <font>
      <sz val="10"/>
      <color indexed="81"/>
      <name val="Tahoma"/>
      <family val="2"/>
    </font>
    <font>
      <sz val="9"/>
      <name val="Arial"/>
      <family val="2"/>
    </font>
    <font>
      <b/>
      <sz val="11"/>
      <name val="Arial"/>
      <family val="2"/>
    </font>
    <font>
      <sz val="12"/>
      <name val="Arial"/>
      <family val="2"/>
    </font>
    <font>
      <sz val="9"/>
      <color indexed="81"/>
      <name val="Tahoma"/>
      <family val="2"/>
    </font>
    <font>
      <b/>
      <i/>
      <sz val="10"/>
      <name val="Arial"/>
      <family val="2"/>
    </font>
    <font>
      <sz val="10"/>
      <color indexed="55"/>
      <name val="Arial"/>
      <family val="2"/>
    </font>
    <font>
      <b/>
      <sz val="9"/>
      <name val="Arial"/>
      <family val="2"/>
    </font>
    <font>
      <sz val="11"/>
      <name val="Calibri"/>
      <family val="2"/>
    </font>
    <font>
      <b/>
      <sz val="11"/>
      <name val="Calibri"/>
      <family val="2"/>
    </font>
    <font>
      <sz val="10"/>
      <name val="MS Sans Serif"/>
      <family val="2"/>
    </font>
    <font>
      <sz val="10"/>
      <name val="Calibri"/>
      <family val="2"/>
    </font>
    <font>
      <b/>
      <i/>
      <sz val="10"/>
      <color indexed="8"/>
      <name val="Arial"/>
      <family val="2"/>
    </font>
    <font>
      <b/>
      <vertAlign val="subscript"/>
      <sz val="10"/>
      <color indexed="8"/>
      <name val="Arial"/>
      <family val="2"/>
    </font>
    <font>
      <vertAlign val="superscript"/>
      <sz val="10"/>
      <color indexed="8"/>
      <name val="Arial"/>
      <family val="2"/>
    </font>
    <font>
      <b/>
      <sz val="9"/>
      <color indexed="81"/>
      <name val="Tahoma"/>
      <family val="2"/>
    </font>
    <font>
      <b/>
      <strike/>
      <sz val="10"/>
      <name val="Arial"/>
      <family val="2"/>
    </font>
    <font>
      <b/>
      <vertAlign val="subscript"/>
      <sz val="10"/>
      <name val="Arial"/>
      <family val="2"/>
    </font>
    <font>
      <b/>
      <sz val="14"/>
      <name val="Arial"/>
      <family val="2"/>
    </font>
    <font>
      <b/>
      <sz val="10"/>
      <color indexed="10"/>
      <name val="Arial"/>
      <family val="2"/>
    </font>
    <font>
      <sz val="11"/>
      <name val="Arial"/>
      <family val="2"/>
    </font>
    <font>
      <vertAlign val="superscript"/>
      <sz val="12"/>
      <name val="Arial"/>
      <family val="2"/>
    </font>
    <font>
      <b/>
      <sz val="12"/>
      <color indexed="40"/>
      <name val="Arial"/>
      <family val="2"/>
    </font>
    <font>
      <vertAlign val="subscript"/>
      <sz val="8"/>
      <name val="Arial"/>
      <family val="2"/>
    </font>
    <font>
      <vertAlign val="subscript"/>
      <sz val="11"/>
      <name val="Arial"/>
      <family val="2"/>
    </font>
    <font>
      <sz val="6"/>
      <color indexed="81"/>
      <name val="Tahoma"/>
      <family val="2"/>
    </font>
    <font>
      <b/>
      <sz val="8"/>
      <name val="Arial"/>
      <family val="2"/>
    </font>
    <font>
      <vertAlign val="subscript"/>
      <sz val="10"/>
      <name val="Arial"/>
      <family val="2"/>
    </font>
    <font>
      <vertAlign val="superscript"/>
      <sz val="10"/>
      <name val="Arial"/>
      <family val="2"/>
    </font>
    <font>
      <sz val="11"/>
      <color theme="1"/>
      <name val="Calibri"/>
      <family val="2"/>
      <scheme val="minor"/>
    </font>
    <font>
      <b/>
      <sz val="10"/>
      <color rgb="FFFF0000"/>
      <name val="Arial"/>
      <family val="2"/>
    </font>
    <font>
      <sz val="10"/>
      <color theme="1"/>
      <name val="Arial"/>
      <family val="2"/>
    </font>
    <font>
      <b/>
      <vertAlign val="superscript"/>
      <sz val="10"/>
      <color rgb="FFFF0000"/>
      <name val="Arial"/>
      <family val="2"/>
    </font>
    <font>
      <vertAlign val="superscript"/>
      <sz val="10"/>
      <color rgb="FFFF0000"/>
      <name val="Arial"/>
      <family val="2"/>
    </font>
    <font>
      <b/>
      <i/>
      <sz val="11"/>
      <color theme="1"/>
      <name val="Calibri"/>
      <family val="2"/>
      <scheme val="minor"/>
    </font>
    <font>
      <b/>
      <sz val="14"/>
      <color rgb="FF000000"/>
      <name val="Calibri"/>
      <family val="2"/>
    </font>
    <font>
      <sz val="14"/>
      <color rgb="FF000000"/>
      <name val="Calibri"/>
      <family val="2"/>
    </font>
    <font>
      <sz val="11"/>
      <color rgb="FF000000"/>
      <name val="Calibri"/>
      <family val="2"/>
    </font>
    <font>
      <b/>
      <sz val="12"/>
      <color rgb="FF000000"/>
      <name val="Calibri"/>
      <family val="2"/>
    </font>
    <font>
      <sz val="12"/>
      <color rgb="FF000000"/>
      <name val="Calibri"/>
      <family val="2"/>
    </font>
    <font>
      <b/>
      <sz val="10"/>
      <color rgb="FF000000"/>
      <name val="Calibri"/>
      <family val="2"/>
    </font>
    <font>
      <sz val="10"/>
      <color rgb="FF000000"/>
      <name val="Calibri"/>
      <family val="2"/>
    </font>
    <font>
      <sz val="10"/>
      <color rgb="FFFF0000"/>
      <name val="Arial"/>
      <family val="2"/>
    </font>
    <font>
      <b/>
      <sz val="10"/>
      <color theme="1"/>
      <name val="Arial"/>
      <family val="2"/>
    </font>
    <font>
      <sz val="10"/>
      <color rgb="FF0000FF"/>
      <name val="Arial"/>
      <family val="2"/>
    </font>
    <font>
      <b/>
      <sz val="10"/>
      <color rgb="FF00B050"/>
      <name val="Arial"/>
      <family val="2"/>
    </font>
    <font>
      <b/>
      <sz val="12"/>
      <color rgb="FFFF0000"/>
      <name val="Arial"/>
      <family val="2"/>
    </font>
    <font>
      <b/>
      <sz val="12"/>
      <color rgb="FF00B0F0"/>
      <name val="Arial"/>
      <family val="2"/>
    </font>
    <font>
      <sz val="10"/>
      <color theme="1"/>
      <name val="Calibri"/>
      <family val="2"/>
      <scheme val="minor"/>
    </font>
    <font>
      <sz val="10"/>
      <color rgb="FF00B050"/>
      <name val="Arial"/>
      <family val="2"/>
    </font>
    <font>
      <sz val="10"/>
      <color rgb="FF000000"/>
      <name val="Arial"/>
      <family val="2"/>
    </font>
  </fonts>
  <fills count="28">
    <fill>
      <patternFill patternType="none"/>
    </fill>
    <fill>
      <patternFill patternType="gray125"/>
    </fill>
    <fill>
      <patternFill patternType="solid">
        <fgColor indexed="43"/>
        <bgColor indexed="64"/>
      </patternFill>
    </fill>
    <fill>
      <patternFill patternType="darkDown"/>
    </fill>
    <fill>
      <patternFill patternType="lightUp"/>
    </fill>
    <fill>
      <patternFill patternType="lightDown"/>
    </fill>
    <fill>
      <patternFill patternType="lightDown">
        <bgColor indexed="43"/>
      </patternFill>
    </fill>
    <fill>
      <patternFill patternType="solid">
        <fgColor theme="9" tint="0.59999389629810485"/>
        <bgColor indexed="64"/>
      </patternFill>
    </fill>
    <fill>
      <patternFill patternType="solid">
        <fgColor rgb="FFFFFF00"/>
        <bgColor rgb="FF000000"/>
      </patternFill>
    </fill>
    <fill>
      <patternFill patternType="solid">
        <fgColor rgb="FF66FF66"/>
        <bgColor rgb="FF000000"/>
      </patternFill>
    </fill>
    <fill>
      <patternFill patternType="solid">
        <fgColor rgb="FFCCFFCC"/>
        <bgColor rgb="FF000000"/>
      </patternFill>
    </fill>
    <fill>
      <patternFill patternType="solid">
        <fgColor rgb="FFFFFF99"/>
        <bgColor rgb="FF000000"/>
      </patternFill>
    </fill>
    <fill>
      <patternFill patternType="lightGray">
        <fgColor rgb="FF000000"/>
        <bgColor rgb="FFFFFF99"/>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CC66"/>
        <bgColor indexed="64"/>
      </patternFill>
    </fill>
    <fill>
      <patternFill patternType="solid">
        <fgColor rgb="FF00B050"/>
        <bgColor indexed="64"/>
      </patternFill>
    </fill>
    <fill>
      <patternFill patternType="solid">
        <fgColor rgb="FF00B0F0"/>
        <bgColor indexed="64"/>
      </patternFill>
    </fill>
    <fill>
      <patternFill patternType="lightDown">
        <bgColor rgb="FF92D050"/>
      </patternFill>
    </fill>
    <fill>
      <patternFill patternType="lightDown">
        <bgColor rgb="FFFFFF99"/>
      </patternFill>
    </fill>
    <fill>
      <patternFill patternType="solid">
        <fgColor rgb="FFFFC000"/>
        <bgColor indexed="64"/>
      </patternFill>
    </fill>
    <fill>
      <patternFill patternType="solid">
        <fgColor theme="0" tint="-0.14999847407452621"/>
        <bgColor indexed="64"/>
      </patternFill>
    </fill>
    <fill>
      <patternFill patternType="lightUp">
        <bgColor theme="0" tint="-0.14999847407452621"/>
      </patternFill>
    </fill>
    <fill>
      <patternFill patternType="solid">
        <fgColor rgb="FFFF0000"/>
        <bgColor indexed="64"/>
      </patternFill>
    </fill>
    <fill>
      <patternFill patternType="darkUp">
        <fgColor rgb="FF00B050"/>
        <bgColor rgb="FFFF0000"/>
      </patternFill>
    </fill>
    <fill>
      <patternFill patternType="solid">
        <fgColor rgb="FFFFFF66"/>
        <bgColor indexed="64"/>
      </patternFill>
    </fill>
  </fills>
  <borders count="16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dashed">
        <color indexed="64"/>
      </right>
      <top/>
      <bottom/>
      <diagonal/>
    </border>
    <border>
      <left style="thin">
        <color indexed="64"/>
      </left>
      <right style="dashed">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dashed">
        <color indexed="64"/>
      </bottom>
      <diagonal/>
    </border>
    <border>
      <left/>
      <right style="medium">
        <color indexed="64"/>
      </right>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thin">
        <color indexed="64"/>
      </left>
      <right/>
      <top/>
      <bottom style="thin">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dashed">
        <color indexed="64"/>
      </right>
      <top/>
      <bottom style="medium">
        <color indexed="64"/>
      </bottom>
      <diagonal/>
    </border>
    <border>
      <left style="thin">
        <color indexed="64"/>
      </left>
      <right style="dashed">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ashed">
        <color indexed="64"/>
      </right>
      <top/>
      <bottom style="dotted">
        <color indexed="64"/>
      </bottom>
      <diagonal/>
    </border>
    <border>
      <left style="dotted">
        <color indexed="64"/>
      </left>
      <right style="dashed">
        <color indexed="64"/>
      </right>
      <top style="dotted">
        <color indexed="64"/>
      </top>
      <bottom style="dotted">
        <color indexed="64"/>
      </bottom>
      <diagonal/>
    </border>
    <border>
      <left style="dotted">
        <color indexed="64"/>
      </left>
      <right style="dashed">
        <color indexed="64"/>
      </right>
      <top style="dotted">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otted">
        <color indexed="64"/>
      </bottom>
      <diagonal/>
    </border>
    <border>
      <left style="dotted">
        <color indexed="64"/>
      </left>
      <right/>
      <top/>
      <bottom style="dotted">
        <color indexed="64"/>
      </bottom>
      <diagonal/>
    </border>
    <border>
      <left style="thin">
        <color indexed="64"/>
      </left>
      <right style="dashed">
        <color indexed="64"/>
      </right>
      <top style="dotted">
        <color indexed="64"/>
      </top>
      <bottom style="dashed">
        <color indexed="64"/>
      </bottom>
      <diagonal/>
    </border>
    <border>
      <left style="dashed">
        <color indexed="64"/>
      </left>
      <right style="medium">
        <color indexed="64"/>
      </right>
      <top style="dott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dashed">
        <color indexed="64"/>
      </bottom>
      <diagonal/>
    </border>
  </borders>
  <cellStyleXfs count="28">
    <xf numFmtId="0" fontId="0" fillId="0" borderId="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42" fillId="0" borderId="0"/>
    <xf numFmtId="0" fontId="2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0" fillId="0" borderId="0"/>
    <xf numFmtId="0" fontId="42" fillId="0" borderId="0"/>
  </cellStyleXfs>
  <cellXfs count="1579">
    <xf numFmtId="0" fontId="0" fillId="0" borderId="0" xfId="0"/>
    <xf numFmtId="0" fontId="14" fillId="0" borderId="0" xfId="0" applyFont="1" applyAlignment="1" applyProtection="1">
      <alignment vertical="center"/>
    </xf>
    <xf numFmtId="0" fontId="2" fillId="0" borderId="1" xfId="0" applyFont="1" applyFill="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10" fillId="0" borderId="4" xfId="0" applyFont="1" applyBorder="1" applyAlignment="1" applyProtection="1">
      <alignment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2" fillId="0" borderId="5" xfId="0" applyFont="1" applyBorder="1" applyAlignment="1" applyProtection="1">
      <alignment vertical="center"/>
    </xf>
    <xf numFmtId="0" fontId="2" fillId="0" borderId="5" xfId="0" applyFont="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Alignment="1" applyProtection="1">
      <alignment vertical="center"/>
    </xf>
    <xf numFmtId="0" fontId="3" fillId="0" borderId="0" xfId="0" applyFont="1" applyAlignment="1" applyProtection="1">
      <alignment horizontal="center" vertical="center"/>
    </xf>
    <xf numFmtId="0" fontId="0" fillId="0" borderId="0" xfId="0" applyAlignment="1">
      <alignment vertical="center"/>
    </xf>
    <xf numFmtId="0" fontId="4" fillId="0" borderId="0" xfId="0" applyFont="1" applyAlignment="1" applyProtection="1">
      <alignment horizontal="center" vertical="center"/>
    </xf>
    <xf numFmtId="0" fontId="1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horizontal="right" vertical="center"/>
    </xf>
    <xf numFmtId="49" fontId="2" fillId="0" borderId="0" xfId="0" applyNumberFormat="1" applyFont="1" applyFill="1" applyBorder="1" applyAlignment="1" applyProtection="1">
      <alignment horizontal="center" vertical="center"/>
    </xf>
    <xf numFmtId="0" fontId="0" fillId="2" borderId="7" xfId="0" applyFill="1" applyBorder="1" applyAlignment="1" applyProtection="1">
      <alignment horizontal="center" vertical="center"/>
      <protection locked="0"/>
    </xf>
    <xf numFmtId="0" fontId="10" fillId="0" borderId="0" xfId="0" applyFont="1" applyFill="1" applyAlignment="1" applyProtection="1">
      <alignment horizontal="left" vertical="center"/>
    </xf>
    <xf numFmtId="0" fontId="11" fillId="0" borderId="0" xfId="0" applyFont="1" applyAlignment="1" applyProtection="1">
      <alignment vertical="center"/>
    </xf>
    <xf numFmtId="0" fontId="0" fillId="2" borderId="6" xfId="0" applyFill="1" applyBorder="1" applyAlignment="1" applyProtection="1">
      <alignment vertical="center"/>
      <protection locked="0"/>
    </xf>
    <xf numFmtId="0" fontId="15" fillId="0" borderId="0" xfId="0" applyFont="1" applyAlignment="1" applyProtection="1">
      <alignment vertical="center"/>
    </xf>
    <xf numFmtId="0" fontId="15" fillId="0" borderId="0" xfId="0" applyFont="1" applyAlignment="1">
      <alignment vertical="center"/>
    </xf>
    <xf numFmtId="0" fontId="14" fillId="0" borderId="0" xfId="0" applyFont="1" applyAlignment="1">
      <alignment vertical="center"/>
    </xf>
    <xf numFmtId="0" fontId="0" fillId="0" borderId="0" xfId="0" applyFill="1" applyBorder="1" applyAlignment="1" applyProtection="1">
      <alignment horizontal="center" vertical="center"/>
    </xf>
    <xf numFmtId="0" fontId="0" fillId="0" borderId="0" xfId="0" applyBorder="1" applyAlignment="1" applyProtection="1">
      <alignment vertical="center"/>
    </xf>
    <xf numFmtId="0" fontId="0" fillId="0" borderId="8" xfId="0" applyBorder="1" applyAlignment="1" applyProtection="1">
      <alignment horizontal="center" vertical="center"/>
    </xf>
    <xf numFmtId="166" fontId="0" fillId="0" borderId="0" xfId="0" applyNumberFormat="1" applyAlignment="1">
      <alignment horizontal="center" vertical="center"/>
    </xf>
    <xf numFmtId="1" fontId="0" fillId="0" borderId="0" xfId="0" applyNumberForma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2" fillId="0" borderId="0" xfId="0" applyFont="1" applyFill="1" applyBorder="1" applyAlignment="1" applyProtection="1">
      <alignment horizontal="center" vertical="center"/>
    </xf>
    <xf numFmtId="0" fontId="2" fillId="0" borderId="9" xfId="0" applyFont="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0" borderId="0" xfId="0" applyFont="1" applyAlignment="1">
      <alignment vertical="center"/>
    </xf>
    <xf numFmtId="0" fontId="10"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Fill="1" applyBorder="1" applyAlignment="1" applyProtection="1">
      <alignment vertical="center"/>
    </xf>
    <xf numFmtId="1" fontId="2" fillId="0" borderId="0" xfId="0" applyNumberFormat="1" applyFont="1" applyBorder="1" applyAlignment="1" applyProtection="1">
      <alignment horizontal="center" vertical="center"/>
    </xf>
    <xf numFmtId="49" fontId="10" fillId="2" borderId="6" xfId="0" applyNumberFormat="1" applyFont="1" applyFill="1" applyBorder="1" applyAlignment="1" applyProtection="1">
      <alignment horizontal="left" vertical="center"/>
      <protection locked="0"/>
    </xf>
    <xf numFmtId="0" fontId="5" fillId="0" borderId="0" xfId="0" applyFont="1" applyAlignment="1" applyProtection="1">
      <alignment vertical="center"/>
    </xf>
    <xf numFmtId="0" fontId="0" fillId="0" borderId="0" xfId="0" applyFill="1" applyBorder="1" applyAlignment="1" applyProtection="1">
      <alignment vertical="center"/>
      <protection hidden="1"/>
    </xf>
    <xf numFmtId="0" fontId="43" fillId="0" borderId="0" xfId="0" applyFont="1" applyFill="1" applyBorder="1" applyAlignment="1" applyProtection="1">
      <alignment vertical="center"/>
    </xf>
    <xf numFmtId="0" fontId="10" fillId="0" borderId="0" xfId="0" applyFont="1" applyAlignment="1">
      <alignment vertical="center"/>
    </xf>
    <xf numFmtId="0" fontId="4" fillId="0" borderId="0" xfId="0" applyFont="1" applyBorder="1" applyAlignment="1" applyProtection="1">
      <alignment vertical="center"/>
    </xf>
    <xf numFmtId="0" fontId="0" fillId="0" borderId="0" xfId="0" applyFill="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xf numFmtId="0" fontId="10" fillId="0" borderId="12" xfId="0" applyFont="1" applyBorder="1" applyAlignment="1" applyProtection="1">
      <alignment horizontal="center" vertical="center"/>
    </xf>
    <xf numFmtId="0" fontId="0" fillId="0" borderId="4" xfId="0" applyBorder="1" applyAlignment="1" applyProtection="1">
      <alignment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10" fillId="0" borderId="15" xfId="0" applyFont="1" applyBorder="1" applyAlignment="1">
      <alignment horizontal="center" vertical="center"/>
    </xf>
    <xf numFmtId="49" fontId="2" fillId="0" borderId="0" xfId="26" applyNumberFormat="1" applyFont="1" applyFill="1"/>
    <xf numFmtId="49" fontId="18" fillId="0" borderId="0" xfId="26" applyNumberFormat="1" applyFont="1" applyFill="1"/>
    <xf numFmtId="49" fontId="2" fillId="0" borderId="0" xfId="26" applyNumberFormat="1" applyFont="1" applyFill="1" applyBorder="1"/>
    <xf numFmtId="0" fontId="8" fillId="0" borderId="0" xfId="26" applyFont="1" applyAlignment="1">
      <alignment horizontal="center"/>
    </xf>
    <xf numFmtId="0" fontId="2" fillId="0" borderId="0" xfId="26" applyFont="1" applyFill="1" applyAlignment="1">
      <alignment horizontal="left"/>
    </xf>
    <xf numFmtId="166" fontId="8" fillId="0" borderId="0" xfId="26" applyNumberFormat="1" applyFont="1" applyAlignment="1">
      <alignment horizontal="center"/>
    </xf>
    <xf numFmtId="0" fontId="10" fillId="0" borderId="0" xfId="26"/>
    <xf numFmtId="0" fontId="19" fillId="0" borderId="0" xfId="26" applyFont="1" applyAlignment="1">
      <alignment horizontal="center"/>
    </xf>
    <xf numFmtId="0" fontId="2" fillId="0" borderId="0" xfId="26" applyFont="1" applyFill="1" applyAlignment="1">
      <alignment horizontal="center"/>
    </xf>
    <xf numFmtId="49" fontId="18" fillId="0" borderId="0" xfId="26" applyNumberFormat="1" applyFont="1" applyFill="1" applyAlignment="1">
      <alignment horizontal="left"/>
    </xf>
    <xf numFmtId="49" fontId="2" fillId="0" borderId="2" xfId="26" applyNumberFormat="1" applyFont="1" applyFill="1" applyBorder="1"/>
    <xf numFmtId="49" fontId="2" fillId="0" borderId="3" xfId="26" applyNumberFormat="1" applyFont="1" applyFill="1" applyBorder="1"/>
    <xf numFmtId="0" fontId="2" fillId="0" borderId="3" xfId="26" applyFont="1" applyFill="1" applyBorder="1" applyAlignment="1"/>
    <xf numFmtId="166" fontId="2" fillId="0" borderId="16" xfId="26" applyNumberFormat="1" applyFont="1" applyFill="1" applyBorder="1" applyAlignment="1"/>
    <xf numFmtId="49" fontId="8" fillId="0" borderId="4" xfId="26" applyNumberFormat="1" applyFont="1" applyBorder="1"/>
    <xf numFmtId="49" fontId="2" fillId="0" borderId="0" xfId="26" applyNumberFormat="1" applyFont="1" applyFill="1" applyBorder="1" applyAlignment="1"/>
    <xf numFmtId="0" fontId="2" fillId="0" borderId="0" xfId="26" applyFont="1" applyFill="1" applyBorder="1" applyAlignment="1">
      <alignment horizontal="center"/>
    </xf>
    <xf numFmtId="0" fontId="2" fillId="0" borderId="0" xfId="26" applyFont="1" applyFill="1" applyBorder="1" applyAlignment="1"/>
    <xf numFmtId="166" fontId="2" fillId="0" borderId="9" xfId="26" applyNumberFormat="1" applyFont="1" applyFill="1" applyBorder="1" applyAlignment="1"/>
    <xf numFmtId="0" fontId="7" fillId="0" borderId="4" xfId="26" applyFont="1" applyBorder="1" applyAlignment="1">
      <alignment horizontal="center"/>
    </xf>
    <xf numFmtId="0" fontId="7" fillId="0" borderId="9" xfId="26" applyFont="1" applyBorder="1" applyAlignment="1">
      <alignment horizontal="center"/>
    </xf>
    <xf numFmtId="49" fontId="2" fillId="0" borderId="4" xfId="26" applyNumberFormat="1" applyFont="1" applyFill="1" applyBorder="1"/>
    <xf numFmtId="49" fontId="10" fillId="0" borderId="17" xfId="26" applyNumberFormat="1" applyFont="1" applyFill="1" applyBorder="1"/>
    <xf numFmtId="49" fontId="10" fillId="0" borderId="18" xfId="26" applyNumberFormat="1" applyFont="1" applyFill="1" applyBorder="1"/>
    <xf numFmtId="0" fontId="2" fillId="0" borderId="19" xfId="26" applyFont="1" applyFill="1" applyBorder="1" applyAlignment="1">
      <alignment horizontal="center"/>
    </xf>
    <xf numFmtId="0" fontId="2" fillId="0" borderId="20" xfId="26" applyFont="1" applyFill="1" applyBorder="1" applyAlignment="1">
      <alignment horizontal="center"/>
    </xf>
    <xf numFmtId="166" fontId="2" fillId="0" borderId="21" xfId="26" applyNumberFormat="1" applyFont="1" applyFill="1" applyBorder="1" applyAlignment="1">
      <alignment horizontal="center"/>
    </xf>
    <xf numFmtId="0" fontId="7" fillId="0" borderId="17" xfId="26" applyFont="1" applyBorder="1" applyAlignment="1">
      <alignment horizontal="center"/>
    </xf>
    <xf numFmtId="0" fontId="7" fillId="0" borderId="22" xfId="26" applyFont="1" applyBorder="1" applyAlignment="1">
      <alignment horizontal="center"/>
    </xf>
    <xf numFmtId="49" fontId="10" fillId="0" borderId="2" xfId="26" applyNumberFormat="1" applyFont="1" applyFill="1" applyBorder="1"/>
    <xf numFmtId="49" fontId="10" fillId="0" borderId="0" xfId="26" applyNumberFormat="1" applyFont="1" applyFill="1" applyBorder="1"/>
    <xf numFmtId="0" fontId="2" fillId="0" borderId="23" xfId="26" applyFont="1" applyFill="1" applyBorder="1" applyAlignment="1">
      <alignment horizontal="center"/>
    </xf>
    <xf numFmtId="0" fontId="2" fillId="0" borderId="8" xfId="26" applyFont="1" applyFill="1" applyBorder="1" applyAlignment="1">
      <alignment horizontal="center"/>
    </xf>
    <xf numFmtId="0" fontId="10" fillId="0" borderId="24" xfId="26" applyFont="1" applyFill="1" applyBorder="1" applyAlignment="1">
      <alignment horizontal="center"/>
    </xf>
    <xf numFmtId="166" fontId="10" fillId="0" borderId="25" xfId="26" applyNumberFormat="1" applyFont="1" applyFill="1" applyBorder="1" applyAlignment="1">
      <alignment horizontal="center"/>
    </xf>
    <xf numFmtId="49" fontId="2" fillId="0" borderId="26" xfId="26" applyNumberFormat="1" applyFont="1" applyFill="1" applyBorder="1"/>
    <xf numFmtId="49" fontId="10" fillId="0" borderId="6" xfId="26" applyNumberFormat="1" applyFont="1" applyFill="1" applyBorder="1"/>
    <xf numFmtId="0" fontId="10" fillId="0" borderId="27" xfId="26" applyFont="1" applyFill="1" applyBorder="1" applyAlignment="1">
      <alignment horizontal="center"/>
    </xf>
    <xf numFmtId="0" fontId="10" fillId="0" borderId="28" xfId="26" applyFont="1" applyFill="1" applyBorder="1" applyAlignment="1">
      <alignment horizontal="center"/>
    </xf>
    <xf numFmtId="0" fontId="10" fillId="0" borderId="6" xfId="26" applyFont="1" applyFill="1" applyBorder="1" applyAlignment="1">
      <alignment horizontal="center"/>
    </xf>
    <xf numFmtId="0" fontId="8" fillId="0" borderId="28" xfId="26" applyFont="1" applyBorder="1"/>
    <xf numFmtId="0" fontId="8" fillId="0" borderId="29" xfId="26" applyFont="1" applyBorder="1"/>
    <xf numFmtId="49" fontId="10" fillId="0" borderId="4" xfId="26" applyNumberFormat="1" applyFont="1" applyFill="1" applyBorder="1"/>
    <xf numFmtId="166" fontId="44" fillId="0" borderId="4" xfId="26" applyNumberFormat="1" applyFont="1" applyFill="1" applyBorder="1" applyAlignment="1">
      <alignment horizontal="center"/>
    </xf>
    <xf numFmtId="166" fontId="44" fillId="0" borderId="8" xfId="26" applyNumberFormat="1" applyFont="1" applyFill="1" applyBorder="1" applyAlignment="1">
      <alignment horizontal="center"/>
    </xf>
    <xf numFmtId="166" fontId="44" fillId="0" borderId="0" xfId="26" applyNumberFormat="1" applyFont="1" applyFill="1" applyBorder="1" applyAlignment="1">
      <alignment horizontal="center"/>
    </xf>
    <xf numFmtId="166" fontId="44" fillId="0" borderId="24" xfId="26" applyNumberFormat="1" applyFont="1" applyFill="1" applyBorder="1" applyAlignment="1">
      <alignment horizontal="center"/>
    </xf>
    <xf numFmtId="166" fontId="44" fillId="0" borderId="25" xfId="26" applyNumberFormat="1" applyFont="1" applyFill="1" applyBorder="1" applyAlignment="1">
      <alignment horizontal="center"/>
    </xf>
    <xf numFmtId="1" fontId="44" fillId="0" borderId="0" xfId="26" applyNumberFormat="1" applyFont="1" applyFill="1" applyBorder="1" applyAlignment="1">
      <alignment horizontal="center"/>
    </xf>
    <xf numFmtId="49" fontId="10" fillId="0" borderId="30" xfId="26" applyNumberFormat="1" applyFont="1" applyFill="1" applyBorder="1"/>
    <xf numFmtId="49" fontId="10" fillId="0" borderId="31" xfId="26" applyNumberFormat="1" applyFont="1" applyFill="1" applyBorder="1"/>
    <xf numFmtId="166" fontId="44" fillId="0" borderId="32" xfId="26" applyNumberFormat="1" applyFont="1" applyFill="1" applyBorder="1" applyAlignment="1">
      <alignment horizontal="center"/>
    </xf>
    <xf numFmtId="166" fontId="44" fillId="0" borderId="33" xfId="26" applyNumberFormat="1" applyFont="1" applyFill="1" applyBorder="1" applyAlignment="1">
      <alignment horizontal="center"/>
    </xf>
    <xf numFmtId="166" fontId="44" fillId="0" borderId="31" xfId="26" applyNumberFormat="1" applyFont="1" applyFill="1" applyBorder="1" applyAlignment="1">
      <alignment horizontal="center"/>
    </xf>
    <xf numFmtId="166" fontId="44" fillId="0" borderId="34" xfId="26" applyNumberFormat="1" applyFont="1" applyFill="1" applyBorder="1" applyAlignment="1">
      <alignment horizontal="center"/>
    </xf>
    <xf numFmtId="166" fontId="44" fillId="0" borderId="23" xfId="26" applyNumberFormat="1" applyFont="1" applyFill="1" applyBorder="1" applyAlignment="1">
      <alignment horizontal="center"/>
    </xf>
    <xf numFmtId="0" fontId="44" fillId="0" borderId="23" xfId="26" applyFont="1" applyFill="1" applyBorder="1" applyAlignment="1">
      <alignment horizontal="center"/>
    </xf>
    <xf numFmtId="0" fontId="10" fillId="0" borderId="0" xfId="26" applyFont="1" applyFill="1" applyBorder="1"/>
    <xf numFmtId="49" fontId="2" fillId="7" borderId="4" xfId="26" applyNumberFormat="1" applyFont="1" applyFill="1" applyBorder="1"/>
    <xf numFmtId="49" fontId="10" fillId="7" borderId="0" xfId="26" applyNumberFormat="1" applyFont="1" applyFill="1" applyBorder="1"/>
    <xf numFmtId="0" fontId="44" fillId="7" borderId="23" xfId="26" applyFont="1" applyFill="1" applyBorder="1" applyAlignment="1">
      <alignment horizontal="center"/>
    </xf>
    <xf numFmtId="166" fontId="44" fillId="7" borderId="8" xfId="26" applyNumberFormat="1" applyFont="1" applyFill="1" applyBorder="1" applyAlignment="1">
      <alignment horizontal="center"/>
    </xf>
    <xf numFmtId="166" fontId="44" fillId="7" borderId="24" xfId="26" applyNumberFormat="1" applyFont="1" applyFill="1" applyBorder="1" applyAlignment="1">
      <alignment horizontal="center"/>
    </xf>
    <xf numFmtId="166" fontId="44" fillId="7" borderId="25" xfId="26" applyNumberFormat="1" applyFont="1" applyFill="1" applyBorder="1" applyAlignment="1">
      <alignment horizontal="center"/>
    </xf>
    <xf numFmtId="166" fontId="44" fillId="0" borderId="13" xfId="26" applyNumberFormat="1" applyFont="1" applyFill="1" applyBorder="1" applyAlignment="1">
      <alignment horizontal="center"/>
    </xf>
    <xf numFmtId="49" fontId="10" fillId="7" borderId="4" xfId="26" applyNumberFormat="1" applyFont="1" applyFill="1" applyBorder="1"/>
    <xf numFmtId="166" fontId="44" fillId="7" borderId="4" xfId="26" applyNumberFormat="1" applyFont="1" applyFill="1" applyBorder="1" applyAlignment="1">
      <alignment horizontal="center"/>
    </xf>
    <xf numFmtId="49" fontId="44" fillId="0" borderId="31" xfId="26" applyNumberFormat="1" applyFont="1" applyFill="1" applyBorder="1"/>
    <xf numFmtId="166" fontId="44" fillId="0" borderId="35" xfId="26" applyNumberFormat="1" applyFont="1" applyFill="1" applyBorder="1" applyAlignment="1">
      <alignment horizontal="center"/>
    </xf>
    <xf numFmtId="2" fontId="44" fillId="0" borderId="23" xfId="26" applyNumberFormat="1" applyFont="1" applyFill="1" applyBorder="1" applyAlignment="1">
      <alignment horizontal="center"/>
    </xf>
    <xf numFmtId="2" fontId="44" fillId="0" borderId="8" xfId="26" applyNumberFormat="1" applyFont="1" applyFill="1" applyBorder="1" applyAlignment="1">
      <alignment horizontal="center"/>
    </xf>
    <xf numFmtId="2" fontId="44" fillId="0" borderId="24" xfId="26" applyNumberFormat="1" applyFont="1" applyFill="1" applyBorder="1" applyAlignment="1">
      <alignment horizontal="center"/>
    </xf>
    <xf numFmtId="2" fontId="44" fillId="0" borderId="9" xfId="26" applyNumberFormat="1" applyFont="1" applyFill="1" applyBorder="1" applyAlignment="1">
      <alignment horizontal="center"/>
    </xf>
    <xf numFmtId="49" fontId="10" fillId="7" borderId="0" xfId="26" applyNumberFormat="1" applyFont="1" applyFill="1" applyBorder="1" applyAlignment="1">
      <alignment horizontal="left"/>
    </xf>
    <xf numFmtId="2" fontId="44" fillId="7" borderId="23" xfId="26" applyNumberFormat="1" applyFont="1" applyFill="1" applyBorder="1" applyAlignment="1">
      <alignment horizontal="center"/>
    </xf>
    <xf numFmtId="2" fontId="44" fillId="7" borderId="8" xfId="26" applyNumberFormat="1" applyFont="1" applyFill="1" applyBorder="1" applyAlignment="1">
      <alignment horizontal="center"/>
    </xf>
    <xf numFmtId="2" fontId="44" fillId="7" borderId="24" xfId="26" applyNumberFormat="1" applyFont="1" applyFill="1" applyBorder="1" applyAlignment="1">
      <alignment horizontal="center"/>
    </xf>
    <xf numFmtId="2" fontId="44" fillId="7" borderId="9" xfId="26" applyNumberFormat="1" applyFont="1" applyFill="1" applyBorder="1" applyAlignment="1">
      <alignment horizontal="center"/>
    </xf>
    <xf numFmtId="49" fontId="10" fillId="7" borderId="0" xfId="26" applyNumberFormat="1" applyFont="1" applyFill="1" applyBorder="1" applyAlignment="1"/>
    <xf numFmtId="49" fontId="10" fillId="0" borderId="0" xfId="26" applyNumberFormat="1" applyFont="1" applyFill="1" applyBorder="1" applyAlignment="1">
      <alignment horizontal="left"/>
    </xf>
    <xf numFmtId="49" fontId="14" fillId="0" borderId="4" xfId="26" applyNumberFormat="1" applyFont="1" applyFill="1" applyBorder="1"/>
    <xf numFmtId="2" fontId="44" fillId="0" borderId="0" xfId="26" applyNumberFormat="1" applyFont="1" applyFill="1" applyBorder="1" applyAlignment="1">
      <alignment horizontal="center"/>
    </xf>
    <xf numFmtId="49" fontId="20" fillId="0" borderId="4" xfId="26" applyNumberFormat="1" applyFont="1" applyFill="1" applyBorder="1"/>
    <xf numFmtId="49" fontId="44" fillId="0" borderId="0" xfId="26" applyNumberFormat="1" applyFont="1" applyFill="1" applyBorder="1"/>
    <xf numFmtId="49" fontId="14" fillId="0" borderId="26" xfId="26" applyNumberFormat="1" applyFont="1" applyFill="1" applyBorder="1"/>
    <xf numFmtId="49" fontId="44" fillId="0" borderId="6" xfId="26" applyNumberFormat="1" applyFont="1" applyFill="1" applyBorder="1"/>
    <xf numFmtId="166" fontId="44" fillId="0" borderId="27" xfId="26" applyNumberFormat="1" applyFont="1" applyFill="1" applyBorder="1" applyAlignment="1">
      <alignment horizontal="center"/>
    </xf>
    <xf numFmtId="166" fontId="44" fillId="0" borderId="28" xfId="26" applyNumberFormat="1" applyFont="1" applyFill="1" applyBorder="1" applyAlignment="1">
      <alignment horizontal="center"/>
    </xf>
    <xf numFmtId="166" fontId="44" fillId="0" borderId="6" xfId="26" applyNumberFormat="1" applyFont="1" applyFill="1" applyBorder="1" applyAlignment="1">
      <alignment horizontal="center"/>
    </xf>
    <xf numFmtId="49" fontId="14" fillId="0" borderId="17" xfId="26" applyNumberFormat="1" applyFont="1" applyFill="1" applyBorder="1"/>
    <xf numFmtId="49" fontId="44" fillId="0" borderId="18" xfId="26" applyNumberFormat="1" applyFont="1" applyFill="1" applyBorder="1"/>
    <xf numFmtId="166" fontId="44" fillId="0" borderId="19" xfId="26" applyNumberFormat="1" applyFont="1" applyFill="1" applyBorder="1" applyAlignment="1">
      <alignment horizontal="center"/>
    </xf>
    <xf numFmtId="166" fontId="44" fillId="0" borderId="20" xfId="26" applyNumberFormat="1" applyFont="1" applyFill="1" applyBorder="1" applyAlignment="1">
      <alignment horizontal="center"/>
    </xf>
    <xf numFmtId="166" fontId="44" fillId="0" borderId="18" xfId="26" applyNumberFormat="1" applyFont="1" applyFill="1" applyBorder="1" applyAlignment="1">
      <alignment horizontal="center"/>
    </xf>
    <xf numFmtId="166" fontId="44" fillId="0" borderId="36" xfId="26" applyNumberFormat="1" applyFont="1" applyFill="1" applyBorder="1" applyAlignment="1">
      <alignment horizontal="center"/>
    </xf>
    <xf numFmtId="166" fontId="44" fillId="0" borderId="37" xfId="26" applyNumberFormat="1" applyFont="1" applyFill="1" applyBorder="1" applyAlignment="1">
      <alignment horizontal="center"/>
    </xf>
    <xf numFmtId="49" fontId="10" fillId="0" borderId="0" xfId="26" applyNumberFormat="1" applyFont="1"/>
    <xf numFmtId="0" fontId="10" fillId="0" borderId="0" xfId="26" applyFont="1" applyAlignment="1">
      <alignment horizontal="center"/>
    </xf>
    <xf numFmtId="166" fontId="10" fillId="0" borderId="0" xfId="26" applyNumberFormat="1" applyFont="1" applyAlignment="1">
      <alignment horizontal="center"/>
    </xf>
    <xf numFmtId="0" fontId="45" fillId="0" borderId="0" xfId="26" applyFont="1" applyAlignment="1">
      <alignment horizontal="left"/>
    </xf>
    <xf numFmtId="0" fontId="10" fillId="0" borderId="0" xfId="26" applyFont="1" applyAlignment="1">
      <alignment horizontal="left"/>
    </xf>
    <xf numFmtId="0" fontId="10" fillId="0" borderId="0" xfId="26" applyFont="1" applyBorder="1"/>
    <xf numFmtId="0" fontId="10" fillId="0" borderId="0" xfId="26" applyFont="1" applyBorder="1" applyAlignment="1">
      <alignment horizontal="center"/>
    </xf>
    <xf numFmtId="0" fontId="10" fillId="0" borderId="0" xfId="26" applyFont="1" applyBorder="1" applyAlignment="1">
      <alignment horizontal="centerContinuous"/>
    </xf>
    <xf numFmtId="0" fontId="10" fillId="0" borderId="0" xfId="26" applyFont="1"/>
    <xf numFmtId="0" fontId="46" fillId="0" borderId="0" xfId="26" applyFont="1" applyBorder="1" applyAlignment="1">
      <alignment horizontal="left"/>
    </xf>
    <xf numFmtId="0" fontId="2" fillId="0" borderId="0" xfId="26" applyFont="1" applyFill="1" applyBorder="1"/>
    <xf numFmtId="0" fontId="2" fillId="0" borderId="0" xfId="26" applyFont="1" applyBorder="1" applyAlignment="1">
      <alignment horizontal="center"/>
    </xf>
    <xf numFmtId="0" fontId="10" fillId="0" borderId="0" xfId="26" applyFont="1" applyBorder="1" applyAlignment="1">
      <alignment horizontal="left"/>
    </xf>
    <xf numFmtId="0" fontId="10" fillId="0" borderId="0" xfId="26" applyNumberFormat="1" applyFont="1" applyFill="1" applyBorder="1"/>
    <xf numFmtId="0" fontId="8" fillId="0" borderId="0" xfId="26" applyNumberFormat="1" applyFont="1" applyFill="1" applyBorder="1"/>
    <xf numFmtId="0" fontId="8" fillId="0" borderId="0" xfId="26" applyNumberFormat="1" applyFont="1" applyFill="1" applyBorder="1" applyAlignment="1">
      <alignment horizontal="center"/>
    </xf>
    <xf numFmtId="0" fontId="19" fillId="0" borderId="0" xfId="26" applyNumberFormat="1" applyFont="1" applyFill="1" applyBorder="1" applyAlignment="1">
      <alignment horizontal="center"/>
    </xf>
    <xf numFmtId="166" fontId="8" fillId="0" borderId="0" xfId="26" applyNumberFormat="1" applyFont="1" applyFill="1" applyBorder="1" applyAlignment="1">
      <alignment horizontal="center"/>
    </xf>
    <xf numFmtId="0" fontId="8" fillId="0" borderId="0" xfId="26" applyNumberFormat="1" applyFont="1" applyFill="1"/>
    <xf numFmtId="0" fontId="8" fillId="0" borderId="0" xfId="26" applyNumberFormat="1" applyFont="1" applyFill="1" applyAlignment="1">
      <alignment horizontal="center"/>
    </xf>
    <xf numFmtId="0" fontId="19" fillId="0" borderId="0" xfId="26" applyNumberFormat="1" applyFont="1" applyFill="1" applyAlignment="1">
      <alignment horizontal="center"/>
    </xf>
    <xf numFmtId="166" fontId="8" fillId="0" borderId="0" xfId="26" applyNumberFormat="1" applyFont="1" applyFill="1" applyAlignment="1">
      <alignment horizontal="center"/>
    </xf>
    <xf numFmtId="0" fontId="47" fillId="0" borderId="0" xfId="26" applyFont="1"/>
    <xf numFmtId="49" fontId="8" fillId="0" borderId="0" xfId="26" applyNumberFormat="1" applyFont="1"/>
    <xf numFmtId="0" fontId="2" fillId="0" borderId="0" xfId="26" applyFont="1"/>
    <xf numFmtId="0" fontId="21" fillId="0" borderId="0" xfId="26" applyFont="1"/>
    <xf numFmtId="0" fontId="8" fillId="0" borderId="0" xfId="26" applyFont="1"/>
    <xf numFmtId="0" fontId="22" fillId="0" borderId="0" xfId="26" applyFont="1"/>
    <xf numFmtId="0" fontId="48" fillId="0" borderId="0" xfId="26" applyFont="1" applyFill="1" applyBorder="1" applyAlignment="1">
      <alignment horizontal="left"/>
    </xf>
    <xf numFmtId="0" fontId="49" fillId="0" borderId="0" xfId="26" applyFont="1" applyFill="1" applyBorder="1"/>
    <xf numFmtId="0" fontId="49" fillId="0" borderId="0" xfId="26" applyFont="1" applyFill="1" applyBorder="1" applyAlignment="1">
      <alignment horizontal="center"/>
    </xf>
    <xf numFmtId="0" fontId="50" fillId="0" borderId="0" xfId="26" applyFont="1" applyFill="1" applyBorder="1" applyAlignment="1">
      <alignment horizontal="center"/>
    </xf>
    <xf numFmtId="0" fontId="50" fillId="0" borderId="0" xfId="26" applyFont="1" applyFill="1" applyBorder="1"/>
    <xf numFmtId="0" fontId="51" fillId="0" borderId="0" xfId="26" applyFont="1" applyFill="1" applyBorder="1" applyAlignment="1"/>
    <xf numFmtId="0" fontId="52" fillId="0" borderId="0" xfId="26" applyFont="1" applyFill="1" applyBorder="1" applyAlignment="1">
      <alignment horizontal="center"/>
    </xf>
    <xf numFmtId="0" fontId="51" fillId="8" borderId="38" xfId="26" applyFont="1" applyFill="1" applyBorder="1" applyAlignment="1">
      <alignment horizontal="center" vertical="center"/>
    </xf>
    <xf numFmtId="0" fontId="52" fillId="0" borderId="0" xfId="26" applyFont="1" applyFill="1" applyBorder="1"/>
    <xf numFmtId="0" fontId="53" fillId="9" borderId="39" xfId="26" applyFont="1" applyFill="1" applyBorder="1" applyAlignment="1">
      <alignment horizontal="center"/>
    </xf>
    <xf numFmtId="0" fontId="53" fillId="9" borderId="40" xfId="26" applyFont="1" applyFill="1" applyBorder="1" applyAlignment="1">
      <alignment horizontal="center"/>
    </xf>
    <xf numFmtId="0" fontId="53" fillId="0" borderId="0" xfId="26" applyFont="1" applyFill="1" applyBorder="1" applyAlignment="1">
      <alignment horizontal="center"/>
    </xf>
    <xf numFmtId="0" fontId="53" fillId="0" borderId="0" xfId="26" applyFont="1" applyFill="1" applyBorder="1" applyAlignment="1">
      <alignment horizontal="left"/>
    </xf>
    <xf numFmtId="0" fontId="53" fillId="8" borderId="28" xfId="26" applyFont="1" applyFill="1" applyBorder="1" applyAlignment="1">
      <alignment horizontal="center"/>
    </xf>
    <xf numFmtId="0" fontId="54" fillId="0" borderId="0" xfId="26" applyFont="1" applyFill="1" applyBorder="1"/>
    <xf numFmtId="0" fontId="54" fillId="0" borderId="0" xfId="26" applyFont="1" applyFill="1" applyBorder="1" applyAlignment="1">
      <alignment horizontal="center"/>
    </xf>
    <xf numFmtId="0" fontId="54" fillId="0" borderId="0" xfId="26" applyFont="1" applyFill="1" applyBorder="1" applyAlignment="1">
      <alignment vertical="center"/>
    </xf>
    <xf numFmtId="49" fontId="54" fillId="10" borderId="41" xfId="26" applyNumberFormat="1" applyFont="1" applyFill="1" applyBorder="1" applyAlignment="1">
      <alignment horizontal="center" vertical="center"/>
    </xf>
    <xf numFmtId="0" fontId="24" fillId="10" borderId="42" xfId="26" applyFont="1" applyFill="1" applyBorder="1" applyAlignment="1">
      <alignment vertical="center"/>
    </xf>
    <xf numFmtId="0" fontId="24" fillId="0" borderId="0" xfId="26" applyFont="1" applyFill="1" applyBorder="1"/>
    <xf numFmtId="49" fontId="54" fillId="0" borderId="0" xfId="26" applyNumberFormat="1" applyFont="1" applyFill="1" applyBorder="1" applyAlignment="1">
      <alignment horizontal="center"/>
    </xf>
    <xf numFmtId="49" fontId="24" fillId="11" borderId="7" xfId="26" applyNumberFormat="1" applyFont="1" applyFill="1" applyBorder="1" applyAlignment="1">
      <alignment vertical="center"/>
    </xf>
    <xf numFmtId="49" fontId="54" fillId="0" borderId="0" xfId="26" applyNumberFormat="1" applyFont="1" applyFill="1" applyBorder="1" applyAlignment="1">
      <alignment horizontal="center" vertical="center"/>
    </xf>
    <xf numFmtId="0" fontId="24" fillId="0" borderId="0" xfId="26" applyFont="1" applyFill="1" applyBorder="1" applyAlignment="1">
      <alignment vertical="center"/>
    </xf>
    <xf numFmtId="49" fontId="24" fillId="0" borderId="0" xfId="26" applyNumberFormat="1" applyFont="1" applyFill="1" applyBorder="1" applyAlignment="1">
      <alignment vertical="center"/>
    </xf>
    <xf numFmtId="49" fontId="54" fillId="10" borderId="43" xfId="26" applyNumberFormat="1" applyFont="1" applyFill="1" applyBorder="1" applyAlignment="1">
      <alignment horizontal="center" vertical="center"/>
    </xf>
    <xf numFmtId="0" fontId="54" fillId="10" borderId="44" xfId="26" applyFont="1" applyFill="1" applyBorder="1" applyAlignment="1">
      <alignment vertical="center"/>
    </xf>
    <xf numFmtId="49" fontId="24" fillId="11" borderId="33" xfId="26" applyNumberFormat="1" applyFont="1" applyFill="1" applyBorder="1" applyAlignment="1">
      <alignment vertical="center"/>
    </xf>
    <xf numFmtId="49" fontId="54" fillId="10" borderId="15" xfId="26" applyNumberFormat="1" applyFont="1" applyFill="1" applyBorder="1" applyAlignment="1">
      <alignment horizontal="center" vertical="center"/>
    </xf>
    <xf numFmtId="0" fontId="54" fillId="10" borderId="13" xfId="26" applyFont="1" applyFill="1" applyBorder="1" applyAlignment="1">
      <alignment vertical="center"/>
    </xf>
    <xf numFmtId="49" fontId="24" fillId="11" borderId="8" xfId="26" applyNumberFormat="1" applyFont="1" applyFill="1" applyBorder="1" applyAlignment="1">
      <alignment vertical="center"/>
    </xf>
    <xf numFmtId="49" fontId="54" fillId="10" borderId="39" xfId="26" applyNumberFormat="1" applyFont="1" applyFill="1" applyBorder="1" applyAlignment="1">
      <alignment horizontal="center" vertical="center"/>
    </xf>
    <xf numFmtId="0" fontId="54" fillId="10" borderId="40" xfId="26" applyFont="1" applyFill="1" applyBorder="1" applyAlignment="1">
      <alignment vertical="center"/>
    </xf>
    <xf numFmtId="49" fontId="24" fillId="11" borderId="28" xfId="26" applyNumberFormat="1" applyFont="1" applyFill="1" applyBorder="1" applyAlignment="1">
      <alignment vertical="center"/>
    </xf>
    <xf numFmtId="49" fontId="54" fillId="10" borderId="45" xfId="26" applyNumberFormat="1" applyFont="1" applyFill="1" applyBorder="1" applyAlignment="1">
      <alignment horizontal="center" vertical="center"/>
    </xf>
    <xf numFmtId="0" fontId="54" fillId="10" borderId="46" xfId="26" applyFont="1" applyFill="1" applyBorder="1" applyAlignment="1">
      <alignment vertical="center"/>
    </xf>
    <xf numFmtId="49" fontId="24" fillId="11" borderId="8" xfId="26" applyNumberFormat="1" applyFont="1" applyFill="1" applyBorder="1" applyAlignment="1">
      <alignment horizontal="left" vertical="center"/>
    </xf>
    <xf numFmtId="49" fontId="24" fillId="11" borderId="28" xfId="26" applyNumberFormat="1" applyFont="1" applyFill="1" applyBorder="1" applyAlignment="1">
      <alignment horizontal="left" vertical="center"/>
    </xf>
    <xf numFmtId="49" fontId="24" fillId="11" borderId="33" xfId="26" applyNumberFormat="1" applyFont="1" applyFill="1" applyBorder="1" applyAlignment="1">
      <alignment horizontal="left" vertical="center"/>
    </xf>
    <xf numFmtId="0" fontId="24" fillId="11" borderId="33" xfId="26" applyFont="1" applyFill="1" applyBorder="1" applyAlignment="1">
      <alignment vertical="center"/>
    </xf>
    <xf numFmtId="0" fontId="24" fillId="11" borderId="28" xfId="26" applyFont="1" applyFill="1" applyBorder="1" applyAlignment="1">
      <alignment vertical="center"/>
    </xf>
    <xf numFmtId="0" fontId="24" fillId="11" borderId="8" xfId="26" applyFont="1" applyFill="1" applyBorder="1" applyAlignment="1">
      <alignment horizontal="left" vertical="center"/>
    </xf>
    <xf numFmtId="0" fontId="24" fillId="11" borderId="47" xfId="26" applyFont="1" applyFill="1" applyBorder="1" applyAlignment="1">
      <alignment vertical="center"/>
    </xf>
    <xf numFmtId="49" fontId="24" fillId="12" borderId="8" xfId="26" applyNumberFormat="1" applyFont="1" applyFill="1" applyBorder="1" applyAlignment="1">
      <alignment vertical="center"/>
    </xf>
    <xf numFmtId="0" fontId="24" fillId="12" borderId="8" xfId="26" applyFont="1" applyFill="1" applyBorder="1" applyAlignment="1">
      <alignment vertical="center"/>
    </xf>
    <xf numFmtId="0" fontId="24" fillId="12" borderId="28" xfId="26" applyFont="1" applyFill="1" applyBorder="1" applyAlignment="1">
      <alignment vertical="center"/>
    </xf>
    <xf numFmtId="0" fontId="54" fillId="0" borderId="0" xfId="26" applyFont="1" applyFill="1" applyBorder="1" applyAlignment="1">
      <alignment horizontal="left" vertical="center"/>
    </xf>
    <xf numFmtId="0" fontId="54" fillId="10" borderId="42" xfId="26" applyFont="1" applyFill="1" applyBorder="1" applyAlignment="1">
      <alignment vertical="center"/>
    </xf>
    <xf numFmtId="49" fontId="24" fillId="11" borderId="7" xfId="26" applyNumberFormat="1" applyFont="1" applyFill="1" applyBorder="1" applyAlignment="1">
      <alignment horizontal="left" vertical="center"/>
    </xf>
    <xf numFmtId="49" fontId="24" fillId="10" borderId="42" xfId="26" applyNumberFormat="1" applyFont="1" applyFill="1" applyBorder="1" applyAlignment="1">
      <alignment vertical="center"/>
    </xf>
    <xf numFmtId="49" fontId="24" fillId="0" borderId="0" xfId="26" applyNumberFormat="1" applyFont="1" applyFill="1" applyBorder="1"/>
    <xf numFmtId="0" fontId="10" fillId="0" borderId="0" xfId="26" applyProtection="1">
      <protection locked="0"/>
    </xf>
    <xf numFmtId="0" fontId="10" fillId="2" borderId="0" xfId="26" applyFill="1" applyProtection="1">
      <protection locked="0"/>
    </xf>
    <xf numFmtId="0" fontId="10" fillId="0" borderId="0" xfId="26" applyBorder="1"/>
    <xf numFmtId="49" fontId="55" fillId="7" borderId="0" xfId="26" applyNumberFormat="1" applyFont="1" applyFill="1" applyBorder="1"/>
    <xf numFmtId="166" fontId="44" fillId="7" borderId="23" xfId="26" applyNumberFormat="1" applyFont="1" applyFill="1" applyBorder="1" applyAlignment="1">
      <alignment horizontal="center"/>
    </xf>
    <xf numFmtId="0" fontId="10" fillId="0" borderId="4" xfId="26" applyFill="1" applyBorder="1"/>
    <xf numFmtId="0" fontId="10" fillId="0" borderId="0" xfId="26" applyFill="1" applyBorder="1"/>
    <xf numFmtId="166" fontId="10" fillId="0" borderId="4" xfId="26" applyNumberFormat="1" applyFont="1" applyFill="1" applyBorder="1" applyAlignment="1" applyProtection="1">
      <alignment horizontal="center"/>
      <protection hidden="1"/>
    </xf>
    <xf numFmtId="0" fontId="10" fillId="0" borderId="4" xfId="26" applyFont="1" applyFill="1" applyBorder="1"/>
    <xf numFmtId="49" fontId="55" fillId="0" borderId="0" xfId="26" applyNumberFormat="1" applyFont="1" applyFill="1" applyBorder="1"/>
    <xf numFmtId="0" fontId="10" fillId="0" borderId="4" xfId="26" applyFont="1" applyFill="1" applyBorder="1" applyAlignment="1">
      <alignment horizontal="center"/>
    </xf>
    <xf numFmtId="0" fontId="10" fillId="0" borderId="8" xfId="26" applyFont="1" applyFill="1" applyBorder="1" applyAlignment="1">
      <alignment horizontal="center"/>
    </xf>
    <xf numFmtId="0" fontId="10" fillId="0" borderId="0" xfId="26" applyFont="1" applyFill="1" applyBorder="1" applyAlignment="1">
      <alignment horizontal="center"/>
    </xf>
    <xf numFmtId="0" fontId="8" fillId="0" borderId="24" xfId="26" applyFont="1" applyBorder="1"/>
    <xf numFmtId="0" fontId="8" fillId="0" borderId="25" xfId="26" applyFont="1" applyBorder="1"/>
    <xf numFmtId="0" fontId="8" fillId="0" borderId="0" xfId="26" applyFont="1" applyBorder="1" applyAlignment="1">
      <alignment horizontal="center"/>
    </xf>
    <xf numFmtId="0" fontId="12" fillId="0" borderId="0" xfId="26" applyFont="1" applyBorder="1" applyAlignment="1">
      <alignment horizontal="center"/>
    </xf>
    <xf numFmtId="0" fontId="10" fillId="0" borderId="0" xfId="26" applyBorder="1" applyProtection="1">
      <protection locked="0"/>
    </xf>
    <xf numFmtId="0" fontId="19" fillId="0" borderId="0" xfId="26" applyFont="1" applyBorder="1" applyAlignment="1">
      <alignment horizontal="center"/>
    </xf>
    <xf numFmtId="0" fontId="2" fillId="0" borderId="0" xfId="26" applyFont="1" applyFill="1" applyBorder="1" applyAlignment="1">
      <alignment horizontal="left"/>
    </xf>
    <xf numFmtId="2" fontId="10" fillId="0" borderId="0" xfId="26" applyNumberFormat="1"/>
    <xf numFmtId="0" fontId="7" fillId="0" borderId="0" xfId="0" applyFont="1" applyBorder="1"/>
    <xf numFmtId="0" fontId="8" fillId="0" borderId="0" xfId="0" applyFont="1" applyAlignment="1">
      <alignment horizontal="center"/>
    </xf>
    <xf numFmtId="0" fontId="25" fillId="0" borderId="0"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top"/>
    </xf>
    <xf numFmtId="0" fontId="8" fillId="0" borderId="0" xfId="0" applyFont="1" applyBorder="1"/>
    <xf numFmtId="0" fontId="8" fillId="0" borderId="0" xfId="26" applyFont="1" applyFill="1" applyAlignment="1"/>
    <xf numFmtId="0" fontId="25" fillId="0" borderId="0" xfId="0" applyFont="1" applyBorder="1" applyAlignment="1">
      <alignment horizontal="left"/>
    </xf>
    <xf numFmtId="0" fontId="8" fillId="0" borderId="0" xfId="0" applyFont="1"/>
    <xf numFmtId="0" fontId="8" fillId="0" borderId="0" xfId="26" applyFont="1" applyFill="1" applyAlignment="1">
      <alignment horizontal="center"/>
    </xf>
    <xf numFmtId="0" fontId="7" fillId="0" borderId="0" xfId="0" applyFont="1"/>
    <xf numFmtId="0" fontId="8" fillId="0" borderId="0" xfId="0" applyFont="1" applyAlignment="1">
      <alignment horizontal="center" vertical="top"/>
    </xf>
    <xf numFmtId="0" fontId="7" fillId="0" borderId="0" xfId="0" applyFont="1" applyAlignment="1">
      <alignment horizontal="left"/>
    </xf>
    <xf numFmtId="0" fontId="56" fillId="0" borderId="0" xfId="26" applyFont="1" applyFill="1" applyAlignment="1"/>
    <xf numFmtId="0" fontId="25" fillId="0" borderId="0" xfId="0" applyFont="1" applyAlignment="1">
      <alignment horizontal="left"/>
    </xf>
    <xf numFmtId="0" fontId="56" fillId="0" borderId="2" xfId="0" applyFont="1" applyBorder="1"/>
    <xf numFmtId="0" fontId="56" fillId="0" borderId="16" xfId="0" applyFont="1" applyBorder="1"/>
    <xf numFmtId="0" fontId="56" fillId="0" borderId="16" xfId="0" applyFont="1" applyFill="1" applyBorder="1" applyAlignment="1">
      <alignment horizontal="center"/>
    </xf>
    <xf numFmtId="0" fontId="56" fillId="0" borderId="48" xfId="0" applyFont="1" applyBorder="1" applyAlignment="1">
      <alignment horizontal="center" vertical="top"/>
    </xf>
    <xf numFmtId="0" fontId="56" fillId="0" borderId="2" xfId="0" applyFont="1" applyBorder="1" applyAlignment="1"/>
    <xf numFmtId="0" fontId="56" fillId="0" borderId="9" xfId="0" applyFont="1" applyFill="1" applyBorder="1" applyAlignment="1">
      <alignment horizontal="center"/>
    </xf>
    <xf numFmtId="0" fontId="56" fillId="0" borderId="12" xfId="0" applyFont="1" applyBorder="1" applyAlignment="1">
      <alignment horizontal="center" vertical="top"/>
    </xf>
    <xf numFmtId="0" fontId="56" fillId="0" borderId="4" xfId="0" applyFont="1" applyBorder="1" applyAlignment="1"/>
    <xf numFmtId="0" fontId="56" fillId="0" borderId="17" xfId="0" applyFont="1" applyBorder="1"/>
    <xf numFmtId="0" fontId="56" fillId="0" borderId="22" xfId="0" applyFont="1" applyBorder="1"/>
    <xf numFmtId="0" fontId="56" fillId="0" borderId="22" xfId="0" applyFont="1" applyFill="1" applyBorder="1" applyAlignment="1">
      <alignment horizontal="center"/>
    </xf>
    <xf numFmtId="0" fontId="56" fillId="0" borderId="49" xfId="0" applyFont="1" applyBorder="1" applyAlignment="1">
      <alignment horizontal="center" vertical="top"/>
    </xf>
    <xf numFmtId="0" fontId="56" fillId="0" borderId="17" xfId="0" applyFont="1" applyBorder="1" applyAlignment="1">
      <alignment horizontal="centerContinuous"/>
    </xf>
    <xf numFmtId="0" fontId="44" fillId="0" borderId="16" xfId="0" applyFont="1" applyBorder="1"/>
    <xf numFmtId="0" fontId="44" fillId="0" borderId="16" xfId="0" applyFont="1" applyFill="1" applyBorder="1" applyAlignment="1">
      <alignment horizontal="center"/>
    </xf>
    <xf numFmtId="0" fontId="44" fillId="0" borderId="16" xfId="0" applyFont="1" applyBorder="1" applyAlignment="1">
      <alignment horizontal="center"/>
    </xf>
    <xf numFmtId="0" fontId="44" fillId="0" borderId="3" xfId="0" applyFont="1" applyBorder="1" applyAlignment="1">
      <alignment horizontal="center" vertical="top"/>
    </xf>
    <xf numFmtId="0" fontId="44" fillId="0" borderId="2" xfId="0" applyFont="1" applyBorder="1" applyAlignment="1">
      <alignment horizontal="centerContinuous"/>
    </xf>
    <xf numFmtId="0" fontId="7" fillId="0" borderId="4" xfId="0" applyFont="1" applyBorder="1" applyAlignment="1">
      <alignment vertical="top"/>
    </xf>
    <xf numFmtId="0" fontId="10" fillId="0" borderId="9" xfId="0" applyFont="1" applyFill="1" applyBorder="1" applyAlignment="1">
      <alignment vertical="top" wrapText="1"/>
    </xf>
    <xf numFmtId="0" fontId="44" fillId="0" borderId="9" xfId="0" applyFont="1" applyFill="1" applyBorder="1" applyAlignment="1">
      <alignment horizontal="center" vertical="top"/>
    </xf>
    <xf numFmtId="0" fontId="44" fillId="0" borderId="9" xfId="0" applyFont="1" applyBorder="1" applyAlignment="1">
      <alignment horizontal="center" vertical="top"/>
    </xf>
    <xf numFmtId="0" fontId="44" fillId="0" borderId="0" xfId="0" applyFont="1" applyBorder="1" applyAlignment="1">
      <alignment horizontal="center" vertical="top"/>
    </xf>
    <xf numFmtId="166" fontId="44" fillId="0" borderId="4" xfId="0" applyNumberFormat="1" applyFont="1" applyFill="1" applyBorder="1" applyAlignment="1">
      <alignment horizontal="center" vertical="top"/>
    </xf>
    <xf numFmtId="0" fontId="44" fillId="0" borderId="9" xfId="0" applyFont="1" applyFill="1" applyBorder="1" applyAlignment="1">
      <alignment vertical="top" wrapText="1"/>
    </xf>
    <xf numFmtId="0" fontId="44" fillId="0" borderId="0" xfId="0" applyFont="1" applyFill="1" applyBorder="1" applyAlignment="1">
      <alignment horizontal="center" vertical="top"/>
    </xf>
    <xf numFmtId="0" fontId="44" fillId="0" borderId="9" xfId="0" applyFont="1" applyBorder="1" applyAlignment="1">
      <alignment vertical="top" wrapText="1"/>
    </xf>
    <xf numFmtId="0" fontId="57" fillId="0" borderId="0" xfId="0" applyFont="1" applyBorder="1" applyAlignment="1">
      <alignment horizontal="center" vertical="top"/>
    </xf>
    <xf numFmtId="0" fontId="56" fillId="0" borderId="30" xfId="0" applyFont="1" applyBorder="1" applyAlignment="1">
      <alignment vertical="top"/>
    </xf>
    <xf numFmtId="0" fontId="44" fillId="0" borderId="50" xfId="0" applyFont="1" applyBorder="1" applyAlignment="1">
      <alignment vertical="top" wrapText="1"/>
    </xf>
    <xf numFmtId="0" fontId="44" fillId="0" borderId="50" xfId="0" applyFont="1" applyFill="1" applyBorder="1" applyAlignment="1">
      <alignment horizontal="center" vertical="top"/>
    </xf>
    <xf numFmtId="0" fontId="44" fillId="0" borderId="50" xfId="0" applyFont="1" applyBorder="1" applyAlignment="1">
      <alignment horizontal="center" vertical="top"/>
    </xf>
    <xf numFmtId="0" fontId="44" fillId="0" borderId="31" xfId="0" applyFont="1" applyBorder="1" applyAlignment="1">
      <alignment horizontal="center" vertical="top"/>
    </xf>
    <xf numFmtId="166" fontId="44" fillId="0" borderId="30" xfId="0" applyNumberFormat="1" applyFont="1" applyFill="1" applyBorder="1" applyAlignment="1">
      <alignment horizontal="center" vertical="top"/>
    </xf>
    <xf numFmtId="0" fontId="44" fillId="0" borderId="9" xfId="0" quotePrefix="1" applyFont="1" applyFill="1" applyBorder="1" applyAlignment="1">
      <alignment vertical="top" wrapText="1"/>
    </xf>
    <xf numFmtId="0" fontId="44" fillId="0" borderId="9" xfId="0" quotePrefix="1" applyFont="1" applyFill="1" applyBorder="1" applyAlignment="1">
      <alignment horizontal="center" vertical="top"/>
    </xf>
    <xf numFmtId="0" fontId="7" fillId="0" borderId="30" xfId="0" applyFont="1" applyBorder="1" applyAlignment="1">
      <alignment vertical="top"/>
    </xf>
    <xf numFmtId="0" fontId="44" fillId="0" borderId="50" xfId="0" quotePrefix="1" applyFont="1" applyFill="1" applyBorder="1" applyAlignment="1">
      <alignment vertical="top" wrapText="1"/>
    </xf>
    <xf numFmtId="0" fontId="44" fillId="0" borderId="50" xfId="0" quotePrefix="1" applyFont="1" applyFill="1" applyBorder="1" applyAlignment="1">
      <alignment horizontal="center" vertical="top"/>
    </xf>
    <xf numFmtId="0" fontId="8" fillId="0" borderId="0" xfId="26" applyFont="1" applyFill="1"/>
    <xf numFmtId="0" fontId="8" fillId="0" borderId="0" xfId="26" applyFont="1" applyAlignment="1"/>
    <xf numFmtId="49" fontId="10" fillId="0" borderId="0" xfId="26" applyNumberFormat="1" applyFont="1" applyFill="1" applyAlignment="1">
      <alignment horizontal="left"/>
    </xf>
    <xf numFmtId="166" fontId="10" fillId="0" borderId="0" xfId="26" applyNumberFormat="1" applyFont="1" applyFill="1" applyAlignment="1">
      <alignment horizontal="left"/>
    </xf>
    <xf numFmtId="0" fontId="10" fillId="0" borderId="0" xfId="26" applyFont="1" applyFill="1" applyAlignment="1">
      <alignment horizontal="center"/>
    </xf>
    <xf numFmtId="166" fontId="10" fillId="0" borderId="0" xfId="26" applyNumberFormat="1" applyFont="1" applyFill="1" applyAlignment="1">
      <alignment horizontal="center"/>
    </xf>
    <xf numFmtId="0" fontId="10" fillId="0" borderId="0" xfId="26" applyFont="1" applyFill="1"/>
    <xf numFmtId="0" fontId="10" fillId="0" borderId="0" xfId="0" applyFont="1" applyFill="1"/>
    <xf numFmtId="166" fontId="2" fillId="0" borderId="0" xfId="26" applyNumberFormat="1" applyFont="1" applyFill="1" applyAlignment="1">
      <alignment horizontal="center"/>
    </xf>
    <xf numFmtId="166" fontId="2" fillId="0" borderId="0" xfId="26" applyNumberFormat="1" applyFont="1" applyFill="1" applyAlignment="1">
      <alignment horizontal="left"/>
    </xf>
    <xf numFmtId="166" fontId="2" fillId="0" borderId="48" xfId="26" applyNumberFormat="1" applyFont="1" applyFill="1" applyBorder="1" applyAlignment="1">
      <alignment horizontal="center"/>
    </xf>
    <xf numFmtId="0" fontId="2" fillId="0" borderId="2" xfId="26" applyFont="1" applyFill="1" applyBorder="1" applyAlignment="1"/>
    <xf numFmtId="0" fontId="2" fillId="0" borderId="48" xfId="26" applyFont="1" applyFill="1" applyBorder="1" applyAlignment="1">
      <alignment horizontal="center"/>
    </xf>
    <xf numFmtId="166" fontId="2" fillId="0" borderId="12" xfId="26" applyNumberFormat="1" applyFont="1" applyFill="1" applyBorder="1" applyAlignment="1">
      <alignment horizontal="center"/>
    </xf>
    <xf numFmtId="0" fontId="2" fillId="0" borderId="4" xfId="26" applyFont="1" applyFill="1" applyBorder="1" applyAlignment="1"/>
    <xf numFmtId="0" fontId="2" fillId="0" borderId="12" xfId="26" applyFont="1" applyFill="1" applyBorder="1" applyAlignment="1">
      <alignment horizontal="center"/>
    </xf>
    <xf numFmtId="0" fontId="2" fillId="3" borderId="12" xfId="26" applyFont="1" applyFill="1" applyBorder="1" applyAlignment="1">
      <alignment horizontal="center"/>
    </xf>
    <xf numFmtId="166" fontId="10" fillId="3" borderId="4" xfId="26" applyNumberFormat="1" applyFont="1" applyFill="1" applyBorder="1" applyAlignment="1">
      <alignment horizontal="center"/>
    </xf>
    <xf numFmtId="0" fontId="2" fillId="3" borderId="0" xfId="26" applyFont="1" applyFill="1" applyBorder="1" applyAlignment="1">
      <alignment horizontal="center"/>
    </xf>
    <xf numFmtId="0" fontId="29" fillId="3" borderId="0" xfId="26" applyFont="1" applyFill="1" applyBorder="1" applyAlignment="1">
      <alignment horizontal="center"/>
    </xf>
    <xf numFmtId="165" fontId="2" fillId="0" borderId="12" xfId="26" applyNumberFormat="1" applyFont="1" applyFill="1" applyBorder="1" applyAlignment="1">
      <alignment horizontal="center"/>
    </xf>
    <xf numFmtId="165" fontId="10" fillId="0" borderId="25" xfId="26" applyNumberFormat="1" applyFont="1" applyFill="1" applyBorder="1" applyAlignment="1">
      <alignment horizontal="center"/>
    </xf>
    <xf numFmtId="166" fontId="10" fillId="0" borderId="49" xfId="26" applyNumberFormat="1" applyFont="1" applyFill="1" applyBorder="1" applyAlignment="1">
      <alignment horizontal="center"/>
    </xf>
    <xf numFmtId="0" fontId="2" fillId="3" borderId="20" xfId="26" applyFont="1" applyFill="1" applyBorder="1" applyAlignment="1">
      <alignment horizontal="center"/>
    </xf>
    <xf numFmtId="9" fontId="2" fillId="3" borderId="19" xfId="26" applyNumberFormat="1" applyFont="1" applyFill="1" applyBorder="1" applyAlignment="1">
      <alignment horizontal="center"/>
    </xf>
    <xf numFmtId="167" fontId="2" fillId="3" borderId="20" xfId="26" applyNumberFormat="1" applyFont="1" applyFill="1" applyBorder="1" applyAlignment="1">
      <alignment horizontal="center"/>
    </xf>
    <xf numFmtId="9" fontId="2" fillId="3" borderId="51" xfId="26" applyNumberFormat="1" applyFont="1" applyFill="1" applyBorder="1" applyAlignment="1">
      <alignment horizontal="center"/>
    </xf>
    <xf numFmtId="0" fontId="2" fillId="0" borderId="22" xfId="26" applyFont="1" applyFill="1" applyBorder="1" applyAlignment="1">
      <alignment horizontal="center"/>
    </xf>
    <xf numFmtId="165" fontId="2" fillId="0" borderId="49" xfId="26" applyNumberFormat="1" applyFont="1" applyFill="1" applyBorder="1" applyAlignment="1">
      <alignment horizontal="center"/>
    </xf>
    <xf numFmtId="167" fontId="2" fillId="0" borderId="18" xfId="26" applyNumberFormat="1" applyFont="1" applyFill="1" applyBorder="1" applyAlignment="1">
      <alignment horizontal="center"/>
    </xf>
    <xf numFmtId="167" fontId="2" fillId="0" borderId="20" xfId="26" applyNumberFormat="1" applyFont="1" applyFill="1" applyBorder="1" applyAlignment="1">
      <alignment horizontal="center"/>
    </xf>
    <xf numFmtId="167" fontId="2" fillId="0" borderId="51" xfId="26" applyNumberFormat="1" applyFont="1" applyFill="1" applyBorder="1" applyAlignment="1">
      <alignment horizontal="center"/>
    </xf>
    <xf numFmtId="0" fontId="10" fillId="3" borderId="17" xfId="26" applyFont="1" applyFill="1" applyBorder="1" applyAlignment="1">
      <alignment horizontal="center"/>
    </xf>
    <xf numFmtId="0" fontId="10" fillId="0" borderId="17" xfId="26" applyFont="1" applyFill="1" applyBorder="1" applyAlignment="1">
      <alignment horizontal="center"/>
    </xf>
    <xf numFmtId="165" fontId="10" fillId="0" borderId="51" xfId="26" applyNumberFormat="1" applyFont="1" applyFill="1" applyBorder="1" applyAlignment="1">
      <alignment horizontal="center"/>
    </xf>
    <xf numFmtId="166" fontId="10" fillId="0" borderId="52" xfId="26" applyNumberFormat="1" applyFont="1" applyFill="1" applyBorder="1" applyAlignment="1">
      <alignment horizontal="center"/>
    </xf>
    <xf numFmtId="0" fontId="10" fillId="3" borderId="28" xfId="26" applyFont="1" applyFill="1" applyBorder="1" applyAlignment="1">
      <alignment horizontal="center"/>
    </xf>
    <xf numFmtId="0" fontId="10" fillId="3" borderId="6" xfId="26" applyFont="1" applyFill="1" applyBorder="1" applyAlignment="1">
      <alignment horizontal="center"/>
    </xf>
    <xf numFmtId="166" fontId="10" fillId="3" borderId="26" xfId="26" applyNumberFormat="1" applyFont="1" applyFill="1" applyBorder="1" applyAlignment="1">
      <alignment horizontal="center"/>
    </xf>
    <xf numFmtId="0" fontId="10" fillId="0" borderId="52" xfId="26" applyFont="1" applyFill="1" applyBorder="1" applyAlignment="1">
      <alignment horizontal="center"/>
    </xf>
    <xf numFmtId="166" fontId="10" fillId="0" borderId="6" xfId="26" applyNumberFormat="1" applyFont="1" applyFill="1" applyBorder="1" applyAlignment="1">
      <alignment horizontal="center"/>
    </xf>
    <xf numFmtId="166" fontId="10" fillId="0" borderId="28" xfId="26" applyNumberFormat="1" applyFont="1" applyFill="1" applyBorder="1" applyAlignment="1">
      <alignment horizontal="center"/>
    </xf>
    <xf numFmtId="166" fontId="10" fillId="0" borderId="29" xfId="26" applyNumberFormat="1" applyFont="1" applyFill="1" applyBorder="1" applyAlignment="1">
      <alignment horizontal="center"/>
    </xf>
    <xf numFmtId="166" fontId="10" fillId="0" borderId="26" xfId="26" applyNumberFormat="1" applyFont="1" applyFill="1" applyBorder="1" applyAlignment="1">
      <alignment horizontal="center"/>
    </xf>
    <xf numFmtId="166" fontId="10" fillId="0" borderId="12" xfId="26" applyNumberFormat="1" applyFont="1" applyFill="1" applyBorder="1" applyAlignment="1">
      <alignment horizontal="center"/>
    </xf>
    <xf numFmtId="166" fontId="10" fillId="0" borderId="4" xfId="26" applyNumberFormat="1" applyFont="1" applyFill="1" applyBorder="1" applyAlignment="1">
      <alignment horizontal="center"/>
    </xf>
    <xf numFmtId="166" fontId="10" fillId="3" borderId="8" xfId="26" applyNumberFormat="1" applyFont="1" applyFill="1" applyBorder="1" applyAlignment="1">
      <alignment horizontal="center"/>
    </xf>
    <xf numFmtId="166" fontId="10" fillId="3" borderId="0" xfId="26" applyNumberFormat="1" applyFont="1" applyFill="1" applyBorder="1" applyAlignment="1">
      <alignment horizontal="center"/>
    </xf>
    <xf numFmtId="166" fontId="10" fillId="0" borderId="0" xfId="26" applyNumberFormat="1" applyFont="1" applyFill="1" applyBorder="1" applyAlignment="1">
      <alignment horizontal="center"/>
    </xf>
    <xf numFmtId="166" fontId="10" fillId="0" borderId="8" xfId="26" applyNumberFormat="1" applyFont="1" applyFill="1" applyBorder="1" applyAlignment="1">
      <alignment horizontal="center"/>
    </xf>
    <xf numFmtId="166" fontId="10" fillId="3" borderId="30" xfId="26" applyNumberFormat="1" applyFont="1" applyFill="1" applyBorder="1" applyAlignment="1">
      <alignment horizontal="center"/>
    </xf>
    <xf numFmtId="166" fontId="10" fillId="0" borderId="32" xfId="26" applyNumberFormat="1" applyFont="1" applyFill="1" applyBorder="1" applyAlignment="1">
      <alignment horizontal="center"/>
    </xf>
    <xf numFmtId="166" fontId="10" fillId="0" borderId="9" xfId="26" applyNumberFormat="1" applyFont="1" applyFill="1" applyBorder="1" applyAlignment="1">
      <alignment horizontal="center"/>
    </xf>
    <xf numFmtId="166" fontId="10" fillId="0" borderId="53" xfId="26" applyNumberFormat="1" applyFont="1" applyFill="1" applyBorder="1" applyAlignment="1">
      <alignment horizontal="center"/>
    </xf>
    <xf numFmtId="166" fontId="10" fillId="0" borderId="30" xfId="26" applyNumberFormat="1" applyFont="1" applyFill="1" applyBorder="1" applyAlignment="1">
      <alignment horizontal="center"/>
    </xf>
    <xf numFmtId="166" fontId="10" fillId="3" borderId="33" xfId="26" applyNumberFormat="1" applyFont="1" applyFill="1" applyBorder="1" applyAlignment="1">
      <alignment horizontal="center"/>
    </xf>
    <xf numFmtId="166" fontId="10" fillId="3" borderId="31" xfId="26" applyNumberFormat="1" applyFont="1" applyFill="1" applyBorder="1" applyAlignment="1">
      <alignment horizontal="center"/>
    </xf>
    <xf numFmtId="166" fontId="10" fillId="0" borderId="31" xfId="26" applyNumberFormat="1" applyFont="1" applyFill="1" applyBorder="1" applyAlignment="1">
      <alignment horizontal="center"/>
    </xf>
    <xf numFmtId="166" fontId="10" fillId="0" borderId="33" xfId="26" applyNumberFormat="1" applyFont="1" applyFill="1" applyBorder="1" applyAlignment="1">
      <alignment horizontal="center"/>
    </xf>
    <xf numFmtId="166" fontId="10" fillId="0" borderId="35" xfId="26" applyNumberFormat="1" applyFont="1" applyFill="1" applyBorder="1" applyAlignment="1">
      <alignment horizontal="center"/>
    </xf>
    <xf numFmtId="166" fontId="10" fillId="3" borderId="50" xfId="26" applyNumberFormat="1" applyFont="1" applyFill="1" applyBorder="1" applyAlignment="1">
      <alignment horizontal="center"/>
    </xf>
    <xf numFmtId="166" fontId="10" fillId="0" borderId="23" xfId="26" applyNumberFormat="1" applyFont="1" applyFill="1" applyBorder="1" applyAlignment="1">
      <alignment horizontal="center"/>
    </xf>
    <xf numFmtId="0" fontId="10" fillId="0" borderId="12" xfId="26" applyFont="1" applyFill="1" applyBorder="1" applyAlignment="1">
      <alignment horizontal="center"/>
    </xf>
    <xf numFmtId="49" fontId="2" fillId="0" borderId="30" xfId="26" applyNumberFormat="1" applyFont="1" applyFill="1" applyBorder="1"/>
    <xf numFmtId="49" fontId="2" fillId="0" borderId="31" xfId="26" applyNumberFormat="1" applyFont="1" applyFill="1" applyBorder="1"/>
    <xf numFmtId="0" fontId="10" fillId="3" borderId="33" xfId="26" applyFont="1" applyFill="1" applyBorder="1" applyAlignment="1">
      <alignment horizontal="center"/>
    </xf>
    <xf numFmtId="0" fontId="10" fillId="3" borderId="31" xfId="26" applyFont="1" applyFill="1" applyBorder="1" applyAlignment="1">
      <alignment horizontal="center"/>
    </xf>
    <xf numFmtId="0" fontId="10" fillId="0" borderId="53" xfId="26" applyFont="1" applyFill="1" applyBorder="1" applyAlignment="1">
      <alignment horizontal="center"/>
    </xf>
    <xf numFmtId="166" fontId="10" fillId="3" borderId="23" xfId="26" applyNumberFormat="1" applyFont="1" applyFill="1" applyBorder="1" applyAlignment="1">
      <alignment horizontal="center"/>
    </xf>
    <xf numFmtId="49" fontId="2" fillId="0" borderId="54" xfId="26" applyNumberFormat="1" applyFont="1" applyFill="1" applyBorder="1"/>
    <xf numFmtId="49" fontId="10" fillId="0" borderId="55" xfId="26" applyNumberFormat="1" applyFont="1" applyFill="1" applyBorder="1"/>
    <xf numFmtId="166" fontId="10" fillId="0" borderId="56" xfId="26" applyNumberFormat="1" applyFont="1" applyFill="1" applyBorder="1" applyAlignment="1">
      <alignment horizontal="center"/>
    </xf>
    <xf numFmtId="0" fontId="10" fillId="0" borderId="57" xfId="26" applyFont="1" applyFill="1" applyBorder="1" applyAlignment="1">
      <alignment horizontal="center"/>
    </xf>
    <xf numFmtId="0" fontId="10" fillId="3" borderId="58" xfId="26" applyFont="1" applyFill="1" applyBorder="1" applyAlignment="1">
      <alignment horizontal="center"/>
    </xf>
    <xf numFmtId="0" fontId="10" fillId="3" borderId="55" xfId="26" applyFont="1" applyFill="1" applyBorder="1" applyAlignment="1">
      <alignment horizontal="center"/>
    </xf>
    <xf numFmtId="167" fontId="2" fillId="3" borderId="57" xfId="3" applyNumberFormat="1" applyFont="1" applyFill="1" applyBorder="1" applyAlignment="1">
      <alignment horizontal="center"/>
    </xf>
    <xf numFmtId="9" fontId="2" fillId="3" borderId="58" xfId="3" applyNumberFormat="1" applyFont="1" applyFill="1" applyBorder="1" applyAlignment="1">
      <alignment horizontal="center"/>
    </xf>
    <xf numFmtId="167" fontId="2" fillId="3" borderId="55" xfId="3" applyNumberFormat="1" applyFont="1" applyFill="1" applyBorder="1" applyAlignment="1">
      <alignment horizontal="center"/>
    </xf>
    <xf numFmtId="167" fontId="10" fillId="0" borderId="56" xfId="3" applyNumberFormat="1" applyFont="1" applyFill="1" applyBorder="1" applyAlignment="1">
      <alignment horizontal="center"/>
    </xf>
    <xf numFmtId="166" fontId="10" fillId="0" borderId="55" xfId="26" applyNumberFormat="1" applyFont="1" applyFill="1" applyBorder="1" applyAlignment="1">
      <alignment horizontal="center"/>
    </xf>
    <xf numFmtId="166" fontId="10" fillId="0" borderId="58" xfId="26" applyNumberFormat="1" applyFont="1" applyFill="1" applyBorder="1" applyAlignment="1">
      <alignment horizontal="center"/>
    </xf>
    <xf numFmtId="166" fontId="10" fillId="0" borderId="59" xfId="26" applyNumberFormat="1" applyFont="1" applyFill="1" applyBorder="1" applyAlignment="1">
      <alignment horizontal="center"/>
    </xf>
    <xf numFmtId="166" fontId="10" fillId="3" borderId="54" xfId="26" applyNumberFormat="1" applyFont="1" applyFill="1" applyBorder="1" applyAlignment="1">
      <alignment horizontal="center"/>
    </xf>
    <xf numFmtId="166" fontId="10" fillId="0" borderId="54" xfId="26" applyNumberFormat="1" applyFont="1" applyFill="1" applyBorder="1" applyAlignment="1">
      <alignment horizontal="center"/>
    </xf>
    <xf numFmtId="0" fontId="10" fillId="0" borderId="23" xfId="26" applyFont="1" applyFill="1" applyBorder="1" applyAlignment="1">
      <alignment horizontal="center"/>
    </xf>
    <xf numFmtId="166" fontId="10" fillId="3" borderId="24" xfId="26" applyNumberFormat="1" applyFont="1" applyFill="1" applyBorder="1" applyAlignment="1">
      <alignment horizontal="center"/>
    </xf>
    <xf numFmtId="2" fontId="10" fillId="0" borderId="12" xfId="26" applyNumberFormat="1" applyFont="1" applyFill="1" applyBorder="1" applyAlignment="1">
      <alignment horizontal="center"/>
    </xf>
    <xf numFmtId="2" fontId="10" fillId="3" borderId="8" xfId="26" applyNumberFormat="1" applyFont="1" applyFill="1" applyBorder="1" applyAlignment="1">
      <alignment horizontal="center"/>
    </xf>
    <xf numFmtId="166" fontId="10" fillId="3" borderId="13" xfId="26" applyNumberFormat="1" applyFont="1" applyFill="1" applyBorder="1" applyAlignment="1">
      <alignment horizontal="center"/>
    </xf>
    <xf numFmtId="2" fontId="10" fillId="3" borderId="4" xfId="26" applyNumberFormat="1" applyFont="1" applyFill="1" applyBorder="1" applyAlignment="1">
      <alignment horizontal="center"/>
    </xf>
    <xf numFmtId="2" fontId="10" fillId="0" borderId="23" xfId="26" applyNumberFormat="1" applyFont="1" applyFill="1" applyBorder="1" applyAlignment="1">
      <alignment horizontal="center"/>
    </xf>
    <xf numFmtId="166" fontId="10" fillId="3" borderId="34" xfId="26" applyNumberFormat="1" applyFont="1" applyFill="1" applyBorder="1" applyAlignment="1">
      <alignment horizontal="center"/>
    </xf>
    <xf numFmtId="166" fontId="10" fillId="3" borderId="32" xfId="26" applyNumberFormat="1" applyFont="1" applyFill="1" applyBorder="1" applyAlignment="1">
      <alignment horizontal="center"/>
    </xf>
    <xf numFmtId="165" fontId="10" fillId="0" borderId="56" xfId="26" applyNumberFormat="1" applyFont="1" applyFill="1" applyBorder="1" applyAlignment="1">
      <alignment horizontal="center"/>
    </xf>
    <xf numFmtId="166" fontId="10" fillId="3" borderId="57" xfId="26" applyNumberFormat="1" applyFont="1" applyFill="1" applyBorder="1" applyAlignment="1">
      <alignment horizontal="center"/>
    </xf>
    <xf numFmtId="0" fontId="10" fillId="3" borderId="60" xfId="26" applyFont="1" applyFill="1" applyBorder="1" applyAlignment="1">
      <alignment horizontal="center"/>
    </xf>
    <xf numFmtId="0" fontId="10" fillId="0" borderId="56" xfId="26" applyFont="1" applyFill="1" applyBorder="1" applyAlignment="1">
      <alignment horizontal="center"/>
    </xf>
    <xf numFmtId="167" fontId="10" fillId="0" borderId="56" xfId="26" applyNumberFormat="1" applyFont="1" applyFill="1" applyBorder="1" applyAlignment="1">
      <alignment horizontal="center"/>
    </xf>
    <xf numFmtId="0" fontId="14" fillId="0" borderId="61" xfId="26" applyFont="1" applyFill="1" applyBorder="1"/>
    <xf numFmtId="167" fontId="10" fillId="0" borderId="61" xfId="26" applyNumberFormat="1" applyFont="1" applyFill="1" applyBorder="1" applyAlignment="1">
      <alignment horizontal="center"/>
    </xf>
    <xf numFmtId="167" fontId="10" fillId="0" borderId="59" xfId="26" applyNumberFormat="1" applyFont="1" applyFill="1" applyBorder="1" applyAlignment="1">
      <alignment horizontal="center"/>
    </xf>
    <xf numFmtId="165" fontId="10" fillId="3" borderId="54" xfId="26" applyNumberFormat="1" applyFont="1" applyFill="1" applyBorder="1" applyAlignment="1">
      <alignment horizontal="center"/>
    </xf>
    <xf numFmtId="165" fontId="10" fillId="0" borderId="57" xfId="26" applyNumberFormat="1" applyFont="1" applyFill="1" applyBorder="1" applyAlignment="1">
      <alignment horizontal="center"/>
    </xf>
    <xf numFmtId="165" fontId="10" fillId="0" borderId="62" xfId="26" applyNumberFormat="1" applyFont="1" applyFill="1" applyBorder="1" applyAlignment="1">
      <alignment horizontal="center"/>
    </xf>
    <xf numFmtId="0" fontId="14" fillId="0" borderId="0" xfId="26" applyFont="1" applyFill="1" applyAlignment="1">
      <alignment horizontal="center"/>
    </xf>
    <xf numFmtId="165" fontId="10" fillId="0" borderId="12" xfId="26" applyNumberFormat="1" applyFont="1" applyFill="1" applyBorder="1" applyAlignment="1">
      <alignment horizontal="center"/>
    </xf>
    <xf numFmtId="2" fontId="10" fillId="3" borderId="24" xfId="26" applyNumberFormat="1" applyFont="1" applyFill="1" applyBorder="1" applyAlignment="1">
      <alignment horizontal="center"/>
    </xf>
    <xf numFmtId="0" fontId="10" fillId="3" borderId="8" xfId="26" applyFont="1" applyFill="1" applyBorder="1" applyAlignment="1">
      <alignment horizontal="center"/>
    </xf>
    <xf numFmtId="0" fontId="10" fillId="3" borderId="24" xfId="26" applyFont="1" applyFill="1" applyBorder="1" applyAlignment="1">
      <alignment horizontal="center"/>
    </xf>
    <xf numFmtId="0" fontId="14" fillId="0" borderId="13" xfId="26" applyFont="1" applyFill="1" applyBorder="1"/>
    <xf numFmtId="166" fontId="10" fillId="0" borderId="13" xfId="26" applyNumberFormat="1" applyFont="1" applyFill="1" applyBorder="1" applyAlignment="1">
      <alignment horizontal="center"/>
    </xf>
    <xf numFmtId="1" fontId="10" fillId="3" borderId="4" xfId="26" applyNumberFormat="1" applyFont="1" applyFill="1" applyBorder="1" applyAlignment="1">
      <alignment horizontal="center"/>
    </xf>
    <xf numFmtId="1" fontId="10" fillId="0" borderId="12" xfId="26" applyNumberFormat="1" applyFont="1" applyFill="1" applyBorder="1" applyAlignment="1">
      <alignment horizontal="center"/>
    </xf>
    <xf numFmtId="0" fontId="10" fillId="0" borderId="13" xfId="26" applyFont="1" applyFill="1" applyBorder="1"/>
    <xf numFmtId="49" fontId="10" fillId="0" borderId="0" xfId="26" applyNumberFormat="1" applyFont="1" applyFill="1" applyBorder="1" applyAlignment="1"/>
    <xf numFmtId="0" fontId="10" fillId="0" borderId="13" xfId="26" applyFont="1" applyFill="1" applyBorder="1" applyAlignment="1">
      <alignment horizontal="center"/>
    </xf>
    <xf numFmtId="0" fontId="2" fillId="0" borderId="13" xfId="26" applyFont="1" applyFill="1" applyBorder="1"/>
    <xf numFmtId="0" fontId="10" fillId="0" borderId="13" xfId="26" quotePrefix="1" applyNumberFormat="1" applyFont="1" applyFill="1" applyBorder="1" applyAlignment="1">
      <alignment horizontal="center"/>
    </xf>
    <xf numFmtId="0" fontId="10" fillId="0" borderId="25" xfId="26" quotePrefix="1" applyNumberFormat="1" applyFont="1" applyFill="1" applyBorder="1" applyAlignment="1">
      <alignment horizontal="center"/>
    </xf>
    <xf numFmtId="2" fontId="10" fillId="0" borderId="57" xfId="26" applyNumberFormat="1" applyFont="1" applyFill="1" applyBorder="1" applyAlignment="1">
      <alignment horizontal="center"/>
    </xf>
    <xf numFmtId="2" fontId="10" fillId="3" borderId="58" xfId="26" applyNumberFormat="1" applyFont="1" applyFill="1" applyBorder="1" applyAlignment="1">
      <alignment horizontal="center"/>
    </xf>
    <xf numFmtId="2" fontId="10" fillId="3" borderId="55" xfId="26" applyNumberFormat="1" applyFont="1" applyFill="1" applyBorder="1" applyAlignment="1">
      <alignment horizontal="center"/>
    </xf>
    <xf numFmtId="167" fontId="10" fillId="0" borderId="55" xfId="26" applyNumberFormat="1" applyFont="1" applyFill="1" applyBorder="1" applyAlignment="1">
      <alignment horizontal="center"/>
    </xf>
    <xf numFmtId="167" fontId="10" fillId="0" borderId="62" xfId="26" applyNumberFormat="1" applyFont="1" applyFill="1" applyBorder="1" applyAlignment="1">
      <alignment horizontal="center"/>
    </xf>
    <xf numFmtId="0" fontId="10" fillId="0" borderId="54" xfId="26" applyFont="1" applyFill="1" applyBorder="1" applyAlignment="1">
      <alignment horizontal="center"/>
    </xf>
    <xf numFmtId="0" fontId="10" fillId="0" borderId="44" xfId="26" applyFont="1" applyFill="1" applyBorder="1" applyAlignment="1">
      <alignment horizontal="center"/>
    </xf>
    <xf numFmtId="1" fontId="10" fillId="3" borderId="0" xfId="26" applyNumberFormat="1" applyFont="1" applyFill="1" applyBorder="1" applyAlignment="1">
      <alignment horizontal="center"/>
    </xf>
    <xf numFmtId="0" fontId="10" fillId="3" borderId="25" xfId="26" applyFont="1" applyFill="1" applyBorder="1" applyAlignment="1">
      <alignment horizontal="center"/>
    </xf>
    <xf numFmtId="166" fontId="10" fillId="0" borderId="19" xfId="26" applyNumberFormat="1" applyFont="1" applyFill="1" applyBorder="1" applyAlignment="1">
      <alignment horizontal="center"/>
    </xf>
    <xf numFmtId="166" fontId="10" fillId="3" borderId="20" xfId="26" applyNumberFormat="1" applyFont="1" applyFill="1" applyBorder="1" applyAlignment="1">
      <alignment horizontal="center"/>
    </xf>
    <xf numFmtId="166" fontId="10" fillId="3" borderId="18" xfId="26" applyNumberFormat="1" applyFont="1" applyFill="1" applyBorder="1" applyAlignment="1">
      <alignment horizontal="center"/>
    </xf>
    <xf numFmtId="166" fontId="10" fillId="3" borderId="19" xfId="26" applyNumberFormat="1" applyFont="1" applyFill="1" applyBorder="1" applyAlignment="1">
      <alignment horizontal="center"/>
    </xf>
    <xf numFmtId="0" fontId="10" fillId="3" borderId="20" xfId="26" applyFont="1" applyFill="1" applyBorder="1" applyAlignment="1">
      <alignment horizontal="center"/>
    </xf>
    <xf numFmtId="0" fontId="10" fillId="3" borderId="51" xfId="26" applyFont="1" applyFill="1" applyBorder="1" applyAlignment="1">
      <alignment horizontal="center"/>
    </xf>
    <xf numFmtId="0" fontId="10" fillId="0" borderId="49" xfId="26" applyFont="1" applyFill="1" applyBorder="1" applyAlignment="1">
      <alignment horizontal="center"/>
    </xf>
    <xf numFmtId="0" fontId="10" fillId="0" borderId="63" xfId="26" applyFont="1" applyFill="1" applyBorder="1" applyAlignment="1">
      <alignment horizontal="center"/>
    </xf>
    <xf numFmtId="166" fontId="10" fillId="0" borderId="63" xfId="26" applyNumberFormat="1" applyFont="1" applyFill="1" applyBorder="1" applyAlignment="1">
      <alignment horizontal="center"/>
    </xf>
    <xf numFmtId="166" fontId="10" fillId="0" borderId="51" xfId="26" applyNumberFormat="1" applyFont="1" applyFill="1" applyBorder="1" applyAlignment="1">
      <alignment horizontal="center"/>
    </xf>
    <xf numFmtId="1" fontId="10" fillId="3" borderId="18" xfId="26" applyNumberFormat="1" applyFont="1" applyFill="1" applyBorder="1" applyAlignment="1">
      <alignment horizontal="center"/>
    </xf>
    <xf numFmtId="1" fontId="10" fillId="0" borderId="49" xfId="26" applyNumberFormat="1" applyFont="1" applyFill="1" applyBorder="1" applyAlignment="1">
      <alignment horizontal="center"/>
    </xf>
    <xf numFmtId="49" fontId="10" fillId="0" borderId="0" xfId="26" applyNumberFormat="1" applyFont="1" applyFill="1"/>
    <xf numFmtId="0" fontId="0" fillId="0" borderId="9" xfId="0" applyBorder="1" applyAlignment="1" applyProtection="1">
      <alignment horizontal="center" vertical="center"/>
    </xf>
    <xf numFmtId="0" fontId="0" fillId="0" borderId="13" xfId="0" applyFill="1" applyBorder="1" applyAlignment="1" applyProtection="1">
      <alignment horizontal="center" vertical="center"/>
      <protection locked="0"/>
    </xf>
    <xf numFmtId="1" fontId="2" fillId="0" borderId="64" xfId="0" applyNumberFormat="1" applyFont="1" applyFill="1" applyBorder="1" applyAlignment="1" applyProtection="1">
      <alignment horizontal="center" vertical="center"/>
    </xf>
    <xf numFmtId="0" fontId="0" fillId="0" borderId="0" xfId="0" applyAlignment="1">
      <alignment horizontal="center"/>
    </xf>
    <xf numFmtId="0" fontId="0" fillId="0" borderId="17" xfId="0" applyBorder="1"/>
    <xf numFmtId="0" fontId="0" fillId="0" borderId="4" xfId="0" applyBorder="1"/>
    <xf numFmtId="0" fontId="4" fillId="0" borderId="0" xfId="0" applyFont="1" applyFill="1" applyBorder="1" applyAlignment="1" applyProtection="1">
      <alignment horizontal="left" vertical="center"/>
    </xf>
    <xf numFmtId="0" fontId="4" fillId="0" borderId="0" xfId="0" applyFont="1"/>
    <xf numFmtId="0" fontId="0" fillId="0" borderId="0" xfId="0" applyBorder="1"/>
    <xf numFmtId="0" fontId="0" fillId="0" borderId="4" xfId="0" applyFill="1" applyBorder="1"/>
    <xf numFmtId="0" fontId="0" fillId="0" borderId="0" xfId="0" applyFill="1" applyBorder="1"/>
    <xf numFmtId="0" fontId="5" fillId="0" borderId="0" xfId="0" applyFont="1" applyBorder="1"/>
    <xf numFmtId="0" fontId="0" fillId="0" borderId="0" xfId="0" applyBorder="1" applyProtection="1"/>
    <xf numFmtId="0" fontId="5" fillId="0" borderId="2" xfId="0" applyFont="1" applyFill="1" applyBorder="1"/>
    <xf numFmtId="0" fontId="5" fillId="0" borderId="3" xfId="0" applyFont="1" applyFill="1" applyBorder="1"/>
    <xf numFmtId="0" fontId="15" fillId="0" borderId="0" xfId="0" applyFont="1" applyBorder="1"/>
    <xf numFmtId="0" fontId="15" fillId="0" borderId="0" xfId="0" applyFont="1" applyBorder="1" applyProtection="1"/>
    <xf numFmtId="0" fontId="0" fillId="0" borderId="0" xfId="0" applyBorder="1" applyAlignment="1">
      <alignment horizontal="center"/>
    </xf>
    <xf numFmtId="0" fontId="0" fillId="0" borderId="65" xfId="0" applyBorder="1" applyAlignment="1">
      <alignment horizontal="center"/>
    </xf>
    <xf numFmtId="1" fontId="0" fillId="2" borderId="66" xfId="0" applyNumberFormat="1" applyFill="1" applyBorder="1" applyAlignment="1" applyProtection="1">
      <alignment horizontal="center"/>
      <protection locked="0"/>
    </xf>
    <xf numFmtId="1" fontId="0" fillId="2" borderId="67" xfId="0" applyNumberFormat="1" applyFill="1" applyBorder="1" applyAlignment="1" applyProtection="1">
      <alignment horizontal="center"/>
      <protection locked="0"/>
    </xf>
    <xf numFmtId="1" fontId="0" fillId="2" borderId="68" xfId="0" applyNumberFormat="1" applyFill="1" applyBorder="1" applyAlignment="1" applyProtection="1">
      <alignment horizontal="center"/>
      <protection locked="0"/>
    </xf>
    <xf numFmtId="1" fontId="0" fillId="2" borderId="22" xfId="0" applyNumberFormat="1" applyFill="1" applyBorder="1" applyAlignment="1" applyProtection="1">
      <alignment horizontal="center"/>
      <protection locked="0"/>
    </xf>
    <xf numFmtId="0" fontId="10" fillId="0" borderId="22" xfId="0" applyFont="1" applyBorder="1" applyAlignment="1">
      <alignment horizontal="center"/>
    </xf>
    <xf numFmtId="166" fontId="0" fillId="13" borderId="69" xfId="0" applyNumberFormat="1" applyFill="1" applyBorder="1" applyAlignment="1" applyProtection="1">
      <alignment horizontal="center"/>
      <protection locked="0"/>
    </xf>
    <xf numFmtId="1" fontId="0" fillId="2" borderId="70" xfId="0" applyNumberFormat="1" applyFill="1" applyBorder="1" applyAlignment="1" applyProtection="1">
      <alignment horizontal="center"/>
      <protection locked="0"/>
    </xf>
    <xf numFmtId="166" fontId="0" fillId="13" borderId="71" xfId="0" applyNumberFormat="1" applyFill="1" applyBorder="1" applyAlignment="1" applyProtection="1">
      <alignment horizontal="center"/>
      <protection locked="0"/>
    </xf>
    <xf numFmtId="0" fontId="0" fillId="0" borderId="3" xfId="0" applyBorder="1" applyAlignment="1">
      <alignment horizontal="center"/>
    </xf>
    <xf numFmtId="0" fontId="0" fillId="0" borderId="17" xfId="0" applyBorder="1" applyAlignment="1">
      <alignment horizontal="center"/>
    </xf>
    <xf numFmtId="1" fontId="0" fillId="2" borderId="72" xfId="0" applyNumberFormat="1" applyFill="1" applyBorder="1" applyAlignment="1" applyProtection="1">
      <alignment horizontal="center"/>
      <protection locked="0"/>
    </xf>
    <xf numFmtId="0" fontId="10" fillId="0" borderId="18" xfId="0" applyFont="1" applyBorder="1" applyAlignment="1">
      <alignment horizontal="center"/>
    </xf>
    <xf numFmtId="166" fontId="0" fillId="0" borderId="73" xfId="0" applyNumberFormat="1" applyFill="1" applyBorder="1" applyAlignment="1" applyProtection="1">
      <alignment horizontal="center"/>
      <protection hidden="1"/>
    </xf>
    <xf numFmtId="166" fontId="0" fillId="0" borderId="74" xfId="0" applyNumberFormat="1" applyFill="1" applyBorder="1" applyAlignment="1" applyProtection="1">
      <alignment horizontal="center"/>
      <protection hidden="1"/>
    </xf>
    <xf numFmtId="166" fontId="0" fillId="0" borderId="75" xfId="0" applyNumberFormat="1" applyFill="1" applyBorder="1" applyAlignment="1" applyProtection="1">
      <alignment horizontal="center"/>
      <protection hidden="1"/>
    </xf>
    <xf numFmtId="166" fontId="0" fillId="13" borderId="74" xfId="0" applyNumberFormat="1" applyFill="1" applyBorder="1" applyAlignment="1" applyProtection="1">
      <alignment horizontal="center"/>
      <protection locked="0"/>
    </xf>
    <xf numFmtId="166" fontId="0" fillId="13" borderId="75" xfId="0" applyNumberFormat="1" applyFill="1" applyBorder="1" applyAlignment="1" applyProtection="1">
      <alignment horizontal="center"/>
      <protection locked="0"/>
    </xf>
    <xf numFmtId="166" fontId="0" fillId="13" borderId="68" xfId="0" applyNumberFormat="1" applyFill="1" applyBorder="1" applyAlignment="1" applyProtection="1">
      <alignment horizontal="center"/>
      <protection locked="0"/>
    </xf>
    <xf numFmtId="166" fontId="0" fillId="13" borderId="76" xfId="0" applyNumberFormat="1" applyFill="1" applyBorder="1" applyAlignment="1" applyProtection="1">
      <alignment horizontal="center"/>
      <protection locked="0"/>
    </xf>
    <xf numFmtId="0" fontId="8" fillId="14" borderId="0" xfId="26" applyFont="1" applyFill="1" applyAlignment="1">
      <alignment horizontal="center"/>
    </xf>
    <xf numFmtId="0" fontId="8" fillId="14" borderId="0" xfId="0" applyFont="1" applyFill="1" applyAlignment="1">
      <alignment horizontal="center"/>
    </xf>
    <xf numFmtId="0" fontId="8" fillId="14" borderId="0" xfId="26" applyFont="1" applyFill="1" applyAlignment="1">
      <alignment horizontal="center" vertical="top"/>
    </xf>
    <xf numFmtId="0" fontId="10" fillId="0" borderId="34" xfId="0" applyFont="1" applyBorder="1" applyAlignment="1">
      <alignment horizontal="center"/>
    </xf>
    <xf numFmtId="0" fontId="10" fillId="0" borderId="77" xfId="0" applyFont="1" applyBorder="1" applyAlignment="1">
      <alignment horizontal="center"/>
    </xf>
    <xf numFmtId="0" fontId="10" fillId="0" borderId="6" xfId="0" applyFont="1" applyBorder="1" applyAlignment="1">
      <alignment horizontal="center"/>
    </xf>
    <xf numFmtId="0" fontId="10" fillId="0" borderId="40" xfId="0" applyFont="1"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44" xfId="0" applyBorder="1" applyAlignment="1">
      <alignment horizontal="center"/>
    </xf>
    <xf numFmtId="0" fontId="0" fillId="0" borderId="24" xfId="0" applyBorder="1" applyAlignment="1">
      <alignment horizontal="center"/>
    </xf>
    <xf numFmtId="0" fontId="0" fillId="0" borderId="13" xfId="0" applyBorder="1" applyAlignment="1">
      <alignment horizontal="center"/>
    </xf>
    <xf numFmtId="0" fontId="0" fillId="0" borderId="77" xfId="0" applyBorder="1" applyAlignment="1">
      <alignment horizontal="center"/>
    </xf>
    <xf numFmtId="0" fontId="0" fillId="0" borderId="6" xfId="0" applyBorder="1" applyAlignment="1">
      <alignment horizontal="center"/>
    </xf>
    <xf numFmtId="0" fontId="0" fillId="0" borderId="40" xfId="0" applyBorder="1" applyAlignment="1">
      <alignment horizontal="center"/>
    </xf>
    <xf numFmtId="166" fontId="0" fillId="0" borderId="70" xfId="0" applyNumberFormat="1" applyFill="1" applyBorder="1" applyAlignment="1" applyProtection="1">
      <alignment horizontal="center"/>
      <protection hidden="1"/>
    </xf>
    <xf numFmtId="166" fontId="0" fillId="13" borderId="66" xfId="0" applyNumberFormat="1" applyFill="1" applyBorder="1" applyAlignment="1" applyProtection="1">
      <alignment horizontal="center"/>
      <protection locked="0"/>
    </xf>
    <xf numFmtId="166" fontId="0" fillId="13" borderId="78" xfId="0" applyNumberFormat="1" applyFill="1" applyBorder="1" applyAlignment="1" applyProtection="1">
      <alignment horizontal="center"/>
      <protection locked="0"/>
    </xf>
    <xf numFmtId="166" fontId="0" fillId="13" borderId="79" xfId="0" applyNumberFormat="1" applyFill="1" applyBorder="1" applyAlignment="1" applyProtection="1">
      <alignment horizontal="center"/>
      <protection locked="0"/>
    </xf>
    <xf numFmtId="166" fontId="0" fillId="0" borderId="80" xfId="0" applyNumberFormat="1" applyFill="1" applyBorder="1" applyAlignment="1" applyProtection="1">
      <alignment horizontal="center"/>
      <protection hidden="1"/>
    </xf>
    <xf numFmtId="166" fontId="0" fillId="0" borderId="69" xfId="0" applyNumberFormat="1" applyFill="1" applyBorder="1" applyAlignment="1" applyProtection="1">
      <alignment horizontal="center"/>
      <protection hidden="1"/>
    </xf>
    <xf numFmtId="166" fontId="0" fillId="0" borderId="68" xfId="0" applyNumberFormat="1" applyFill="1" applyBorder="1" applyAlignment="1" applyProtection="1">
      <alignment horizontal="center"/>
      <protection hidden="1"/>
    </xf>
    <xf numFmtId="166" fontId="0" fillId="0" borderId="76" xfId="0" applyNumberFormat="1" applyFill="1" applyBorder="1" applyAlignment="1" applyProtection="1">
      <alignment horizontal="center"/>
      <protection hidden="1"/>
    </xf>
    <xf numFmtId="166" fontId="0" fillId="0" borderId="71" xfId="0" applyNumberFormat="1" applyFill="1" applyBorder="1" applyAlignment="1" applyProtection="1">
      <alignment horizontal="center"/>
      <protection hidden="1"/>
    </xf>
    <xf numFmtId="0" fontId="10" fillId="13" borderId="81" xfId="0" applyFont="1" applyFill="1" applyBorder="1" applyAlignment="1" applyProtection="1">
      <protection locked="0"/>
    </xf>
    <xf numFmtId="0" fontId="10" fillId="13" borderId="82" xfId="0" applyFont="1" applyFill="1" applyBorder="1" applyAlignment="1" applyProtection="1">
      <protection locked="0"/>
    </xf>
    <xf numFmtId="0" fontId="10" fillId="13" borderId="83" xfId="0" applyFont="1" applyFill="1" applyBorder="1" applyAlignment="1" applyProtection="1">
      <protection locked="0"/>
    </xf>
    <xf numFmtId="0" fontId="10" fillId="0" borderId="77" xfId="0" applyFont="1" applyFill="1" applyBorder="1" applyAlignment="1">
      <alignment horizontal="center"/>
    </xf>
    <xf numFmtId="0" fontId="10" fillId="0" borderId="40" xfId="0" applyFont="1" applyFill="1" applyBorder="1" applyAlignment="1">
      <alignment horizontal="center"/>
    </xf>
    <xf numFmtId="0" fontId="0" fillId="0" borderId="24" xfId="0" applyBorder="1"/>
    <xf numFmtId="0" fontId="0" fillId="0" borderId="13" xfId="0" applyBorder="1"/>
    <xf numFmtId="0" fontId="0" fillId="0" borderId="84" xfId="0" applyBorder="1"/>
    <xf numFmtId="0" fontId="0" fillId="0" borderId="42" xfId="0" applyBorder="1"/>
    <xf numFmtId="0" fontId="0" fillId="0" borderId="24" xfId="0"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20" fillId="0" borderId="0" xfId="0" applyFont="1" applyBorder="1" applyAlignment="1" applyProtection="1">
      <alignment vertical="center"/>
    </xf>
    <xf numFmtId="0" fontId="2"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xf>
    <xf numFmtId="0" fontId="2" fillId="0" borderId="55" xfId="0" applyFont="1" applyBorder="1" applyAlignment="1" applyProtection="1">
      <alignment vertical="center"/>
    </xf>
    <xf numFmtId="0" fontId="2" fillId="0" borderId="55" xfId="0" applyFont="1" applyBorder="1" applyAlignment="1" applyProtection="1">
      <alignment horizontal="center" vertical="center"/>
    </xf>
    <xf numFmtId="1" fontId="2" fillId="0" borderId="56" xfId="0" applyNumberFormat="1" applyFont="1" applyFill="1" applyBorder="1" applyAlignment="1" applyProtection="1">
      <alignment horizontal="center" vertical="center"/>
    </xf>
    <xf numFmtId="0" fontId="2" fillId="0" borderId="54" xfId="0" applyFont="1" applyBorder="1" applyAlignment="1" applyProtection="1">
      <alignment vertical="center"/>
    </xf>
    <xf numFmtId="1" fontId="2" fillId="0" borderId="3" xfId="0" applyNumberFormat="1" applyFont="1" applyBorder="1" applyAlignment="1" applyProtection="1">
      <alignment horizontal="center" vertical="center"/>
    </xf>
    <xf numFmtId="1" fontId="2" fillId="0" borderId="3" xfId="0" applyNumberFormat="1" applyFont="1" applyFill="1" applyBorder="1" applyAlignment="1" applyProtection="1">
      <alignment horizontal="center" vertical="center"/>
    </xf>
    <xf numFmtId="1" fontId="5" fillId="0" borderId="0" xfId="0" applyNumberFormat="1" applyFont="1" applyFill="1" applyBorder="1" applyAlignment="1" applyProtection="1">
      <alignment horizontal="center" vertical="center"/>
    </xf>
    <xf numFmtId="1" fontId="5" fillId="0" borderId="0"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2" xfId="0" applyFont="1" applyBorder="1" applyAlignment="1" applyProtection="1">
      <alignment vertical="center"/>
    </xf>
    <xf numFmtId="0" fontId="5" fillId="0" borderId="34" xfId="0" applyFont="1" applyFill="1" applyBorder="1" applyAlignment="1" applyProtection="1">
      <alignment vertical="center"/>
    </xf>
    <xf numFmtId="0" fontId="5" fillId="0" borderId="44" xfId="0" applyFont="1" applyBorder="1" applyAlignment="1" applyProtection="1">
      <alignment vertical="center"/>
    </xf>
    <xf numFmtId="0" fontId="5" fillId="0" borderId="77" xfId="0" applyFont="1" applyFill="1" applyBorder="1" applyAlignment="1" applyProtection="1">
      <alignment vertical="center"/>
    </xf>
    <xf numFmtId="0" fontId="5" fillId="0" borderId="40" xfId="0" applyFont="1" applyBorder="1" applyAlignment="1" applyProtection="1">
      <alignment vertical="center"/>
    </xf>
    <xf numFmtId="0" fontId="5" fillId="0" borderId="84" xfId="0" applyFont="1" applyFill="1" applyBorder="1" applyAlignment="1" applyProtection="1">
      <alignment vertical="center"/>
    </xf>
    <xf numFmtId="0" fontId="2" fillId="0" borderId="26" xfId="0" applyFont="1" applyBorder="1" applyAlignment="1" applyProtection="1">
      <alignment vertical="center"/>
    </xf>
    <xf numFmtId="0" fontId="16" fillId="0" borderId="0" xfId="0" applyFont="1" applyAlignment="1" applyProtection="1">
      <alignment vertical="center"/>
    </xf>
    <xf numFmtId="0" fontId="58" fillId="0" borderId="0" xfId="0" applyFont="1" applyAlignment="1" applyProtection="1">
      <alignment vertical="center"/>
    </xf>
    <xf numFmtId="2" fontId="5" fillId="0" borderId="42" xfId="0" applyNumberFormat="1" applyFont="1" applyBorder="1" applyAlignment="1" applyProtection="1">
      <alignment horizontal="center" vertical="center"/>
    </xf>
    <xf numFmtId="0" fontId="2" fillId="4" borderId="12" xfId="0" applyFont="1" applyFill="1" applyBorder="1" applyAlignment="1" applyProtection="1">
      <alignment horizontal="center" vertical="center"/>
    </xf>
    <xf numFmtId="0" fontId="10" fillId="0" borderId="54" xfId="0" applyFont="1" applyFill="1" applyBorder="1" applyAlignment="1" applyProtection="1">
      <alignment vertical="center"/>
    </xf>
    <xf numFmtId="0" fontId="10" fillId="0" borderId="85" xfId="0" applyFont="1" applyFill="1" applyBorder="1" applyAlignment="1" applyProtection="1">
      <alignment vertical="center"/>
    </xf>
    <xf numFmtId="0" fontId="10" fillId="0" borderId="64" xfId="0" applyFont="1" applyBorder="1" applyAlignment="1">
      <alignment horizontal="center"/>
    </xf>
    <xf numFmtId="0" fontId="0" fillId="0" borderId="2" xfId="0" applyBorder="1"/>
    <xf numFmtId="0" fontId="2" fillId="4" borderId="0" xfId="0" applyFont="1" applyFill="1" applyBorder="1" applyAlignment="1" applyProtection="1">
      <alignment horizontal="center" vertical="center"/>
    </xf>
    <xf numFmtId="166" fontId="10" fillId="0" borderId="24" xfId="26" applyNumberFormat="1" applyFont="1" applyFill="1" applyBorder="1" applyAlignment="1">
      <alignment horizontal="center"/>
    </xf>
    <xf numFmtId="0" fontId="10" fillId="0" borderId="24" xfId="0" applyFont="1" applyFill="1" applyBorder="1"/>
    <xf numFmtId="0" fontId="10" fillId="0" borderId="0" xfId="0" applyFont="1" applyFill="1" applyBorder="1"/>
    <xf numFmtId="0" fontId="10" fillId="0" borderId="13" xfId="0" applyFont="1" applyFill="1" applyBorder="1"/>
    <xf numFmtId="166" fontId="10" fillId="0" borderId="24"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13" xfId="0" applyNumberFormat="1" applyFont="1" applyFill="1" applyBorder="1" applyAlignment="1">
      <alignment horizontal="center"/>
    </xf>
    <xf numFmtId="0" fontId="2" fillId="4" borderId="24"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4" borderId="64" xfId="0" applyFont="1" applyFill="1" applyBorder="1" applyAlignment="1" applyProtection="1">
      <alignment horizontal="center" vertical="center"/>
    </xf>
    <xf numFmtId="1" fontId="2" fillId="0" borderId="12" xfId="0" applyNumberFormat="1" applyFont="1" applyFill="1" applyBorder="1" applyAlignment="1" applyProtection="1">
      <alignment horizontal="center" vertical="center"/>
    </xf>
    <xf numFmtId="0" fontId="10" fillId="0" borderId="1" xfId="0" applyFont="1" applyBorder="1" applyAlignment="1" applyProtection="1">
      <alignment vertical="center"/>
    </xf>
    <xf numFmtId="0" fontId="10" fillId="0" borderId="5" xfId="0" applyFont="1" applyBorder="1" applyAlignment="1" applyProtection="1">
      <alignment vertical="center"/>
    </xf>
    <xf numFmtId="0" fontId="10" fillId="0" borderId="11" xfId="0" applyFont="1" applyBorder="1" applyAlignment="1" applyProtection="1">
      <alignment horizontal="right" vertical="center"/>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vertical="center"/>
    </xf>
    <xf numFmtId="1" fontId="5" fillId="0" borderId="7" xfId="0" applyNumberFormat="1" applyFont="1" applyFill="1" applyBorder="1" applyAlignment="1" applyProtection="1">
      <alignment horizontal="center" vertical="center"/>
    </xf>
    <xf numFmtId="0" fontId="5" fillId="0" borderId="60"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center" vertical="center"/>
    </xf>
    <xf numFmtId="1" fontId="5" fillId="0" borderId="61" xfId="0" applyNumberFormat="1" applyFont="1" applyFill="1" applyBorder="1" applyAlignment="1" applyProtection="1">
      <alignment horizontal="center" vertical="center"/>
    </xf>
    <xf numFmtId="0" fontId="5" fillId="0" borderId="86" xfId="0" applyFont="1" applyBorder="1" applyAlignment="1" applyProtection="1">
      <alignment vertical="center"/>
    </xf>
    <xf numFmtId="0" fontId="5" fillId="0" borderId="86" xfId="0" applyFont="1" applyBorder="1" applyAlignment="1" applyProtection="1">
      <alignment horizontal="center" vertical="center"/>
    </xf>
    <xf numFmtId="1" fontId="5" fillId="0" borderId="42" xfId="0" applyNumberFormat="1" applyFont="1" applyFill="1" applyBorder="1" applyAlignment="1" applyProtection="1">
      <alignment horizontal="center" vertical="center"/>
    </xf>
    <xf numFmtId="1" fontId="5" fillId="0" borderId="58"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18" xfId="0" applyFont="1" applyBorder="1"/>
    <xf numFmtId="0" fontId="2" fillId="0" borderId="48" xfId="0" applyFont="1" applyBorder="1"/>
    <xf numFmtId="0" fontId="2" fillId="0" borderId="17"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2" fillId="0" borderId="12" xfId="0" applyFont="1" applyFill="1" applyBorder="1" applyAlignment="1">
      <alignment horizontal="center"/>
    </xf>
    <xf numFmtId="0" fontId="0" fillId="0" borderId="0" xfId="0" applyAlignment="1" applyProtection="1">
      <alignment vertical="center"/>
      <protection locked="0"/>
    </xf>
    <xf numFmtId="2" fontId="0" fillId="0" borderId="0" xfId="0" applyNumberFormat="1" applyAlignment="1" applyProtection="1">
      <alignment vertical="center"/>
      <protection locked="0"/>
    </xf>
    <xf numFmtId="0" fontId="0" fillId="0" borderId="0" xfId="0" applyFill="1" applyBorder="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Border="1" applyAlignment="1" applyProtection="1">
      <alignment vertical="center"/>
      <protection locked="0"/>
    </xf>
    <xf numFmtId="0" fontId="0" fillId="0" borderId="13" xfId="0" applyBorder="1" applyAlignment="1" applyProtection="1">
      <alignment vertical="center"/>
      <protection locked="0"/>
    </xf>
    <xf numFmtId="0" fontId="10" fillId="0" borderId="28" xfId="0" applyFont="1" applyFill="1" applyBorder="1" applyAlignment="1" applyProtection="1">
      <alignment horizontal="center" vertical="center"/>
      <protection locked="0"/>
    </xf>
    <xf numFmtId="0" fontId="10" fillId="0" borderId="77"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1" fontId="0" fillId="0" borderId="0" xfId="0" applyNumberFormat="1" applyFill="1" applyBorder="1" applyAlignment="1" applyProtection="1">
      <alignment horizontal="center" vertical="center"/>
      <protection locked="0"/>
    </xf>
    <xf numFmtId="1" fontId="0" fillId="0" borderId="24" xfId="0" applyNumberFormat="1" applyFill="1" applyBorder="1" applyAlignment="1" applyProtection="1">
      <alignment horizontal="center" vertical="center"/>
      <protection locked="0"/>
    </xf>
    <xf numFmtId="1" fontId="0" fillId="0" borderId="13" xfId="0" applyNumberFormat="1" applyFill="1" applyBorder="1" applyAlignment="1" applyProtection="1">
      <alignment horizontal="center" vertical="center"/>
      <protection locked="0"/>
    </xf>
    <xf numFmtId="166" fontId="0" fillId="0" borderId="0" xfId="0" applyNumberFormat="1" applyFill="1" applyBorder="1" applyAlignment="1" applyProtection="1">
      <alignment horizontal="center" vertical="center"/>
      <protection locked="0"/>
    </xf>
    <xf numFmtId="166" fontId="0" fillId="0" borderId="13" xfId="0" applyNumberFormat="1" applyFill="1" applyBorder="1" applyAlignment="1" applyProtection="1">
      <alignment horizontal="center" vertical="center"/>
      <protection locked="0"/>
    </xf>
    <xf numFmtId="166" fontId="0" fillId="0" borderId="24" xfId="0" applyNumberFormat="1" applyFill="1" applyBorder="1" applyAlignment="1" applyProtection="1">
      <alignment horizontal="center" vertical="center"/>
      <protection locked="0"/>
    </xf>
    <xf numFmtId="166" fontId="0" fillId="0" borderId="8" xfId="0" applyNumberFormat="1" applyFill="1" applyBorder="1" applyAlignment="1" applyProtection="1">
      <alignment horizontal="center" vertical="center"/>
      <protection locked="0"/>
    </xf>
    <xf numFmtId="1" fontId="0" fillId="0" borderId="8" xfId="0" applyNumberFormat="1" applyFill="1" applyBorder="1" applyAlignment="1" applyProtection="1">
      <alignment horizontal="center" vertical="center"/>
      <protection locked="0"/>
    </xf>
    <xf numFmtId="1" fontId="0" fillId="0" borderId="33" xfId="0" applyNumberForma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1" fontId="2" fillId="0" borderId="64"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protection locked="0"/>
    </xf>
    <xf numFmtId="1" fontId="2" fillId="0" borderId="77" xfId="0" applyNumberFormat="1" applyFont="1" applyFill="1" applyBorder="1" applyAlignment="1" applyProtection="1">
      <alignment horizontal="center" vertical="center"/>
      <protection locked="0"/>
    </xf>
    <xf numFmtId="1" fontId="2" fillId="0" borderId="6" xfId="0" applyNumberFormat="1" applyFont="1" applyFill="1" applyBorder="1" applyAlignment="1" applyProtection="1">
      <alignment horizontal="center" vertical="center"/>
      <protection locked="0"/>
    </xf>
    <xf numFmtId="1" fontId="2" fillId="0" borderId="40" xfId="0" applyNumberFormat="1" applyFont="1" applyFill="1" applyBorder="1" applyAlignment="1" applyProtection="1">
      <alignment horizontal="center" vertical="center"/>
      <protection locked="0"/>
    </xf>
    <xf numFmtId="1" fontId="2" fillId="0" borderId="28" xfId="0" applyNumberFormat="1" applyFont="1" applyFill="1" applyBorder="1" applyAlignment="1" applyProtection="1">
      <alignment horizontal="center" vertical="center"/>
      <protection locked="0"/>
    </xf>
    <xf numFmtId="166" fontId="2" fillId="0" borderId="58" xfId="0" applyNumberFormat="1" applyFont="1" applyFill="1" applyBorder="1" applyAlignment="1" applyProtection="1">
      <alignment horizontal="center" vertical="center"/>
      <protection locked="0"/>
    </xf>
    <xf numFmtId="1" fontId="4" fillId="0" borderId="0" xfId="0" applyNumberFormat="1" applyFont="1" applyFill="1" applyBorder="1" applyAlignment="1" applyProtection="1">
      <alignment horizontal="center" vertical="center"/>
      <protection locked="0"/>
    </xf>
    <xf numFmtId="1" fontId="4" fillId="0" borderId="64"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vertical="center"/>
      <protection locked="0"/>
    </xf>
    <xf numFmtId="166" fontId="2" fillId="0" borderId="0" xfId="0" applyNumberFormat="1" applyFont="1" applyFill="1" applyBorder="1" applyAlignment="1" applyProtection="1">
      <alignment horizontal="center" vertical="center"/>
      <protection locked="0"/>
    </xf>
    <xf numFmtId="1"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2" fontId="2" fillId="0" borderId="0"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1" fontId="5" fillId="0" borderId="64" xfId="0" applyNumberFormat="1" applyFont="1" applyFill="1" applyBorder="1" applyAlignment="1" applyProtection="1">
      <alignment horizontal="center" vertical="center"/>
      <protection locked="0"/>
    </xf>
    <xf numFmtId="1" fontId="5" fillId="0" borderId="87" xfId="0" applyNumberFormat="1" applyFont="1" applyFill="1" applyBorder="1" applyAlignment="1" applyProtection="1">
      <alignment horizontal="center" vertical="center"/>
      <protection locked="0"/>
    </xf>
    <xf numFmtId="1" fontId="5" fillId="0" borderId="51" xfId="0" applyNumberFormat="1" applyFont="1" applyFill="1" applyBorder="1" applyAlignment="1" applyProtection="1">
      <alignment horizontal="center" vertical="center"/>
      <protection locked="0"/>
    </xf>
    <xf numFmtId="1" fontId="5" fillId="0" borderId="0" xfId="0" applyNumberFormat="1"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2" fillId="0" borderId="0" xfId="0" applyFont="1" applyAlignment="1" applyProtection="1">
      <alignment vertical="center"/>
      <protection locked="0"/>
    </xf>
    <xf numFmtId="0" fontId="10" fillId="0" borderId="54" xfId="0" applyFont="1" applyFill="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2" fillId="0" borderId="0" xfId="0" applyFont="1" applyBorder="1" applyAlignment="1" applyProtection="1">
      <alignment horizontal="center" textRotation="90"/>
      <protection locked="0"/>
    </xf>
    <xf numFmtId="1" fontId="2" fillId="0" borderId="85" xfId="0" applyNumberFormat="1" applyFont="1" applyFill="1" applyBorder="1" applyAlignment="1" applyProtection="1">
      <alignment horizontal="center" vertical="center"/>
      <protection locked="0"/>
    </xf>
    <xf numFmtId="1" fontId="2" fillId="0" borderId="88" xfId="0" applyNumberFormat="1" applyFont="1" applyBorder="1" applyAlignment="1" applyProtection="1">
      <alignment horizontal="center" vertical="center"/>
      <protection locked="0"/>
    </xf>
    <xf numFmtId="1" fontId="2" fillId="0" borderId="88"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center" textRotation="90"/>
      <protection locked="0"/>
    </xf>
    <xf numFmtId="0" fontId="4" fillId="0" borderId="0" xfId="0" applyFont="1" applyAlignment="1" applyProtection="1">
      <alignment vertical="center"/>
      <protection locked="0"/>
    </xf>
    <xf numFmtId="164" fontId="2" fillId="0" borderId="56" xfId="0" applyNumberFormat="1" applyFont="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1" fontId="2" fillId="15" borderId="49" xfId="0" applyNumberFormat="1" applyFont="1" applyFill="1" applyBorder="1" applyAlignment="1" applyProtection="1">
      <alignment horizontal="center" vertical="center"/>
      <protection locked="0"/>
    </xf>
    <xf numFmtId="1" fontId="2" fillId="15" borderId="22"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66" fontId="2" fillId="0" borderId="0" xfId="0" applyNumberFormat="1"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49" fontId="1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xf>
    <xf numFmtId="0" fontId="43" fillId="0" borderId="0" xfId="0" applyFont="1" applyAlignment="1" applyProtection="1">
      <alignment vertical="center"/>
    </xf>
    <xf numFmtId="0" fontId="0" fillId="0" borderId="13" xfId="0" applyFill="1" applyBorder="1" applyAlignment="1" applyProtection="1">
      <alignment horizontal="center" vertical="center"/>
    </xf>
    <xf numFmtId="0" fontId="0" fillId="2" borderId="0" xfId="0" applyFill="1" applyBorder="1" applyAlignment="1" applyProtection="1">
      <alignment horizontal="center" vertical="center"/>
    </xf>
    <xf numFmtId="0" fontId="32" fillId="0" borderId="0" xfId="0" applyFont="1"/>
    <xf numFmtId="0" fontId="2" fillId="0" borderId="19" xfId="0" applyFont="1" applyBorder="1" applyAlignment="1">
      <alignment horizontal="center"/>
    </xf>
    <xf numFmtId="0" fontId="2" fillId="0" borderId="20" xfId="0" applyFont="1" applyBorder="1" applyAlignment="1">
      <alignment horizontal="center"/>
    </xf>
    <xf numFmtId="0" fontId="0" fillId="0" borderId="8" xfId="0" applyNumberFormat="1" applyFill="1" applyBorder="1" applyAlignment="1" applyProtection="1">
      <alignment horizontal="center" vertical="center"/>
      <protection locked="0"/>
    </xf>
    <xf numFmtId="0" fontId="0" fillId="0" borderId="14" xfId="1" applyNumberFormat="1" applyFont="1" applyFill="1" applyBorder="1" applyAlignment="1" applyProtection="1">
      <alignment horizontal="center" vertical="center"/>
      <protection locked="0"/>
    </xf>
    <xf numFmtId="0" fontId="10" fillId="16" borderId="77" xfId="0" applyFont="1" applyFill="1" applyBorder="1" applyAlignment="1" applyProtection="1">
      <alignment horizontal="center" vertical="center"/>
    </xf>
    <xf numFmtId="0" fontId="10" fillId="16" borderId="6" xfId="0" applyFont="1" applyFill="1" applyBorder="1" applyAlignment="1" applyProtection="1">
      <alignment horizontal="center" vertical="center"/>
    </xf>
    <xf numFmtId="0" fontId="10" fillId="16" borderId="40" xfId="0" applyFont="1" applyFill="1" applyBorder="1" applyAlignment="1" applyProtection="1">
      <alignment horizontal="center" vertical="center"/>
    </xf>
    <xf numFmtId="0" fontId="10" fillId="16" borderId="13" xfId="0" applyFont="1" applyFill="1" applyBorder="1" applyAlignment="1" applyProtection="1">
      <alignment horizontal="center" vertical="center"/>
    </xf>
    <xf numFmtId="0" fontId="10" fillId="16" borderId="0" xfId="0" applyFont="1" applyFill="1" applyBorder="1" applyAlignment="1" applyProtection="1">
      <alignment horizontal="center" vertical="center"/>
    </xf>
    <xf numFmtId="0" fontId="10" fillId="16" borderId="24" xfId="0" applyFont="1" applyFill="1" applyBorder="1" applyAlignment="1" applyProtection="1">
      <alignment horizontal="center" vertical="center"/>
    </xf>
    <xf numFmtId="0" fontId="5" fillId="0" borderId="0" xfId="0" applyFont="1" applyBorder="1" applyAlignment="1" applyProtection="1">
      <alignment horizontal="left" vertical="center"/>
    </xf>
    <xf numFmtId="1" fontId="2" fillId="16" borderId="0" xfId="0" applyNumberFormat="1" applyFont="1" applyFill="1" applyBorder="1" applyAlignment="1" applyProtection="1">
      <alignment horizontal="center" vertical="center"/>
    </xf>
    <xf numFmtId="164" fontId="10" fillId="0" borderId="9" xfId="26" applyNumberFormat="1" applyFont="1" applyFill="1" applyBorder="1" applyAlignment="1">
      <alignment horizontal="center"/>
    </xf>
    <xf numFmtId="164" fontId="10" fillId="0" borderId="25" xfId="26" applyNumberFormat="1" applyFont="1" applyFill="1" applyBorder="1" applyAlignment="1">
      <alignment horizontal="center"/>
    </xf>
    <xf numFmtId="0" fontId="10" fillId="0" borderId="24" xfId="0" applyFont="1" applyFill="1" applyBorder="1" applyAlignment="1" applyProtection="1">
      <alignment horizontal="center" vertical="center"/>
    </xf>
    <xf numFmtId="0" fontId="2" fillId="0" borderId="49" xfId="0" applyFont="1" applyBorder="1" applyAlignment="1">
      <alignment horizontal="center"/>
    </xf>
    <xf numFmtId="1" fontId="10" fillId="0" borderId="0" xfId="26" applyNumberFormat="1" applyFont="1" applyFill="1" applyBorder="1" applyAlignment="1">
      <alignment horizontal="center"/>
    </xf>
    <xf numFmtId="166" fontId="2" fillId="0" borderId="0" xfId="0" applyNumberFormat="1"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0" fillId="0" borderId="0" xfId="0" applyFill="1"/>
    <xf numFmtId="0" fontId="2" fillId="0" borderId="9" xfId="26" applyFont="1" applyFill="1" applyBorder="1" applyAlignment="1">
      <alignment horizontal="center"/>
    </xf>
    <xf numFmtId="0" fontId="2" fillId="0" borderId="16" xfId="26" applyFont="1" applyFill="1" applyBorder="1" applyAlignment="1">
      <alignment horizontal="center" vertical="center"/>
    </xf>
    <xf numFmtId="0" fontId="2" fillId="0" borderId="9" xfId="26" applyFont="1" applyFill="1" applyBorder="1" applyAlignment="1">
      <alignment horizontal="center" vertical="center"/>
    </xf>
    <xf numFmtId="0" fontId="10" fillId="0" borderId="26" xfId="26" applyFont="1" applyFill="1" applyBorder="1" applyAlignment="1">
      <alignment horizontal="center"/>
    </xf>
    <xf numFmtId="0" fontId="10" fillId="0" borderId="30" xfId="26" applyFont="1" applyFill="1" applyBorder="1" applyAlignment="1">
      <alignment horizontal="center"/>
    </xf>
    <xf numFmtId="166" fontId="10" fillId="0" borderId="10" xfId="26" applyNumberFormat="1" applyFont="1" applyFill="1" applyBorder="1" applyAlignment="1">
      <alignment horizontal="center"/>
    </xf>
    <xf numFmtId="166" fontId="10" fillId="0" borderId="50" xfId="26" applyNumberFormat="1" applyFont="1" applyFill="1" applyBorder="1" applyAlignment="1">
      <alignment horizontal="center"/>
    </xf>
    <xf numFmtId="166" fontId="10" fillId="0" borderId="22" xfId="26" applyNumberFormat="1" applyFont="1" applyFill="1" applyBorder="1" applyAlignment="1">
      <alignment horizontal="center"/>
    </xf>
    <xf numFmtId="164" fontId="10" fillId="0" borderId="0" xfId="26" applyNumberFormat="1" applyFont="1" applyFill="1" applyBorder="1" applyAlignment="1">
      <alignment horizontal="center"/>
    </xf>
    <xf numFmtId="166" fontId="10" fillId="0" borderId="77" xfId="26" applyNumberFormat="1" applyFont="1" applyFill="1" applyBorder="1" applyAlignment="1">
      <alignment horizontal="center"/>
    </xf>
    <xf numFmtId="166" fontId="10" fillId="0" borderId="34" xfId="26" applyNumberFormat="1" applyFont="1" applyFill="1" applyBorder="1" applyAlignment="1">
      <alignment horizontal="center"/>
    </xf>
    <xf numFmtId="164" fontId="10" fillId="0" borderId="24" xfId="26" applyNumberFormat="1" applyFont="1" applyFill="1" applyBorder="1" applyAlignment="1">
      <alignment horizontal="center"/>
    </xf>
    <xf numFmtId="0" fontId="10" fillId="0" borderId="24" xfId="26" quotePrefix="1" applyNumberFormat="1" applyFont="1" applyFill="1" applyBorder="1" applyAlignment="1">
      <alignment horizontal="center"/>
    </xf>
    <xf numFmtId="166" fontId="10" fillId="0" borderId="21" xfId="26" applyNumberFormat="1" applyFont="1" applyFill="1" applyBorder="1" applyAlignment="1">
      <alignment horizontal="center"/>
    </xf>
    <xf numFmtId="166" fontId="10" fillId="3" borderId="6" xfId="26" applyNumberFormat="1" applyFont="1" applyFill="1" applyBorder="1" applyAlignment="1">
      <alignment horizontal="center"/>
    </xf>
    <xf numFmtId="2" fontId="10" fillId="3" borderId="0" xfId="26" applyNumberFormat="1" applyFont="1" applyFill="1" applyBorder="1" applyAlignment="1">
      <alignment horizontal="center"/>
    </xf>
    <xf numFmtId="166" fontId="8" fillId="17" borderId="12" xfId="26" applyNumberFormat="1" applyFont="1" applyFill="1" applyBorder="1" applyAlignment="1">
      <alignment horizontal="center"/>
    </xf>
    <xf numFmtId="0" fontId="10" fillId="18" borderId="0" xfId="0" applyFont="1" applyFill="1" applyBorder="1" applyAlignment="1" applyProtection="1">
      <alignment horizontal="center" vertical="center"/>
      <protection locked="0"/>
    </xf>
    <xf numFmtId="166" fontId="10" fillId="19" borderId="4" xfId="26" applyNumberFormat="1" applyFont="1" applyFill="1" applyBorder="1" applyAlignment="1">
      <alignment horizontal="center"/>
    </xf>
    <xf numFmtId="1" fontId="2" fillId="18" borderId="6" xfId="0" applyNumberFormat="1" applyFont="1" applyFill="1" applyBorder="1" applyAlignment="1" applyProtection="1">
      <alignment horizontal="center" vertical="center"/>
      <protection locked="0"/>
    </xf>
    <xf numFmtId="166" fontId="0" fillId="18" borderId="0" xfId="0" applyNumberFormat="1" applyFill="1" applyBorder="1" applyAlignment="1" applyProtection="1">
      <alignment horizontal="center" vertical="center"/>
      <protection locked="0"/>
    </xf>
    <xf numFmtId="0" fontId="2" fillId="18" borderId="0" xfId="0" applyFont="1" applyFill="1" applyBorder="1" applyAlignment="1" applyProtection="1">
      <alignment horizontal="center" vertical="center"/>
      <protection locked="0"/>
    </xf>
    <xf numFmtId="1" fontId="0" fillId="18" borderId="0" xfId="0" applyNumberFormat="1" applyFill="1" applyBorder="1" applyAlignment="1" applyProtection="1">
      <alignment horizontal="center" vertical="center"/>
      <protection locked="0"/>
    </xf>
    <xf numFmtId="0" fontId="0" fillId="18" borderId="0" xfId="0" applyFill="1" applyBorder="1" applyAlignment="1" applyProtection="1">
      <alignment horizontal="center" vertical="center"/>
      <protection locked="0"/>
    </xf>
    <xf numFmtId="166" fontId="0" fillId="19" borderId="0" xfId="0" applyNumberFormat="1" applyFill="1" applyAlignment="1">
      <alignment horizontal="center" vertical="center"/>
    </xf>
    <xf numFmtId="0" fontId="10" fillId="18" borderId="31" xfId="0" applyFont="1" applyFill="1" applyBorder="1" applyAlignment="1" applyProtection="1">
      <alignment horizontal="center" vertical="center"/>
      <protection locked="0"/>
    </xf>
    <xf numFmtId="0" fontId="0" fillId="18" borderId="0" xfId="0" applyFill="1" applyAlignment="1" applyProtection="1">
      <alignment vertical="center"/>
      <protection locked="0"/>
    </xf>
    <xf numFmtId="166" fontId="8" fillId="15" borderId="0" xfId="26" applyNumberFormat="1" applyFont="1" applyFill="1"/>
    <xf numFmtId="1" fontId="10" fillId="0" borderId="4" xfId="26" applyNumberFormat="1" applyFont="1" applyFill="1" applyBorder="1" applyAlignment="1">
      <alignment horizontal="center"/>
    </xf>
    <xf numFmtId="1" fontId="10" fillId="0" borderId="17" xfId="26" applyNumberFormat="1" applyFont="1" applyFill="1" applyBorder="1" applyAlignment="1">
      <alignment horizontal="center"/>
    </xf>
    <xf numFmtId="166" fontId="10" fillId="19" borderId="23" xfId="26" applyNumberFormat="1" applyFont="1" applyFill="1" applyBorder="1" applyAlignment="1">
      <alignment horizontal="center"/>
    </xf>
    <xf numFmtId="0" fontId="14" fillId="0" borderId="0" xfId="0" applyFont="1" applyAlignment="1" applyProtection="1">
      <alignment horizontal="center"/>
      <protection locked="0"/>
    </xf>
    <xf numFmtId="0" fontId="14" fillId="19" borderId="0" xfId="0" applyFont="1" applyFill="1" applyAlignment="1" applyProtection="1">
      <alignment horizontal="center"/>
      <protection locked="0"/>
    </xf>
    <xf numFmtId="0" fontId="2" fillId="0" borderId="0" xfId="0" applyFont="1" applyBorder="1" applyAlignment="1">
      <alignment horizontal="center"/>
    </xf>
    <xf numFmtId="0" fontId="5" fillId="0" borderId="33" xfId="0" applyFont="1" applyBorder="1" applyAlignment="1">
      <alignment horizontal="center" vertical="center"/>
    </xf>
    <xf numFmtId="0" fontId="0" fillId="0" borderId="34" xfId="0" applyFill="1" applyBorder="1" applyAlignment="1" applyProtection="1">
      <alignment horizontal="center" vertical="center"/>
      <protection locked="0"/>
    </xf>
    <xf numFmtId="1" fontId="2" fillId="0" borderId="17" xfId="0" applyNumberFormat="1" applyFont="1" applyFill="1" applyBorder="1" applyAlignment="1" applyProtection="1">
      <alignment horizontal="center" vertical="center"/>
      <protection locked="0"/>
    </xf>
    <xf numFmtId="1" fontId="2" fillId="0" borderId="22" xfId="0" applyNumberFormat="1" applyFont="1" applyFill="1" applyBorder="1" applyAlignment="1" applyProtection="1">
      <alignment horizontal="center" vertical="center"/>
      <protection locked="0"/>
    </xf>
    <xf numFmtId="1" fontId="0" fillId="0" borderId="84" xfId="0" applyNumberFormat="1" applyFill="1" applyBorder="1" applyAlignment="1" applyProtection="1">
      <alignment horizontal="center" vertical="center"/>
      <protection locked="0"/>
    </xf>
    <xf numFmtId="1" fontId="0" fillId="0" borderId="42" xfId="0" applyNumberFormat="1" applyFill="1" applyBorder="1" applyAlignment="1" applyProtection="1">
      <alignment horizontal="center" vertical="center"/>
      <protection locked="0"/>
    </xf>
    <xf numFmtId="0" fontId="42" fillId="0" borderId="0" xfId="7"/>
    <xf numFmtId="0" fontId="15" fillId="0" borderId="34" xfId="7" applyFont="1" applyBorder="1" applyProtection="1"/>
    <xf numFmtId="0" fontId="15" fillId="0" borderId="77" xfId="7" applyFont="1" applyBorder="1" applyProtection="1"/>
    <xf numFmtId="0" fontId="33" fillId="0" borderId="0" xfId="7" applyFont="1" applyFill="1" applyProtection="1"/>
    <xf numFmtId="0" fontId="33" fillId="0" borderId="0" xfId="7" applyFont="1" applyFill="1" applyBorder="1" applyAlignment="1" applyProtection="1">
      <alignment horizontal="center"/>
    </xf>
    <xf numFmtId="0" fontId="33" fillId="0" borderId="0" xfId="7" applyFont="1" applyAlignment="1" applyProtection="1">
      <alignment horizontal="left"/>
    </xf>
    <xf numFmtId="0" fontId="33" fillId="0" borderId="0" xfId="7" applyFont="1" applyFill="1" applyBorder="1" applyProtection="1"/>
    <xf numFmtId="0" fontId="33" fillId="0" borderId="33" xfId="7" applyFont="1" applyBorder="1" applyAlignment="1" applyProtection="1">
      <alignment horizontal="center"/>
    </xf>
    <xf numFmtId="0" fontId="33" fillId="0" borderId="34" xfId="7" applyFont="1" applyBorder="1" applyAlignment="1" applyProtection="1">
      <alignment horizontal="center"/>
    </xf>
    <xf numFmtId="0" fontId="33" fillId="0" borderId="31" xfId="7" applyFont="1" applyBorder="1" applyAlignment="1" applyProtection="1">
      <alignment horizontal="center"/>
    </xf>
    <xf numFmtId="0" fontId="33" fillId="0" borderId="44" xfId="7" applyFont="1" applyBorder="1" applyAlignment="1" applyProtection="1">
      <alignment horizontal="center"/>
    </xf>
    <xf numFmtId="0" fontId="33" fillId="0" borderId="28" xfId="7" applyFont="1" applyBorder="1" applyAlignment="1" applyProtection="1">
      <alignment horizontal="center"/>
    </xf>
    <xf numFmtId="0" fontId="33" fillId="0" borderId="1" xfId="7" applyNumberFormat="1" applyFont="1" applyBorder="1" applyAlignment="1" applyProtection="1">
      <alignment horizontal="center"/>
    </xf>
    <xf numFmtId="1" fontId="33" fillId="0" borderId="0" xfId="7" applyNumberFormat="1" applyFont="1" applyFill="1" applyBorder="1" applyAlignment="1" applyProtection="1">
      <alignment horizontal="center"/>
    </xf>
    <xf numFmtId="0" fontId="33" fillId="0" borderId="77" xfId="7" applyFont="1" applyBorder="1" applyProtection="1"/>
    <xf numFmtId="0" fontId="33" fillId="0" borderId="6" xfId="7" applyFont="1" applyFill="1" applyBorder="1" applyProtection="1"/>
    <xf numFmtId="1" fontId="33" fillId="0" borderId="0" xfId="7" applyNumberFormat="1" applyFont="1" applyBorder="1" applyAlignment="1" applyProtection="1">
      <alignment horizontal="center"/>
    </xf>
    <xf numFmtId="0" fontId="15" fillId="0" borderId="0" xfId="7" applyFont="1" applyFill="1" applyBorder="1" applyAlignment="1" applyProtection="1">
      <alignment vertical="center"/>
    </xf>
    <xf numFmtId="0" fontId="33" fillId="0" borderId="0" xfId="7" applyNumberFormat="1" applyFont="1" applyBorder="1" applyAlignment="1" applyProtection="1">
      <alignment horizontal="center"/>
    </xf>
    <xf numFmtId="0" fontId="33" fillId="0" borderId="0" xfId="7" applyFont="1" applyFill="1" applyBorder="1" applyAlignment="1" applyProtection="1">
      <alignment horizontal="center"/>
      <protection locked="0"/>
    </xf>
    <xf numFmtId="2" fontId="5" fillId="0" borderId="7" xfId="0" applyNumberFormat="1" applyFont="1" applyFill="1" applyBorder="1" applyAlignment="1" applyProtection="1">
      <alignment horizontal="center" vertical="center"/>
    </xf>
    <xf numFmtId="2" fontId="5" fillId="0" borderId="28" xfId="0" applyNumberFormat="1" applyFont="1" applyFill="1" applyBorder="1" applyAlignment="1" applyProtection="1">
      <alignment horizontal="center" vertical="center"/>
    </xf>
    <xf numFmtId="166" fontId="33" fillId="0" borderId="0" xfId="7" applyNumberFormat="1" applyFont="1" applyFill="1" applyBorder="1" applyAlignment="1" applyProtection="1">
      <alignment horizontal="center"/>
    </xf>
    <xf numFmtId="0" fontId="42" fillId="0" borderId="0" xfId="7" applyFill="1"/>
    <xf numFmtId="0" fontId="0" fillId="5" borderId="0" xfId="0" applyFill="1" applyAlignment="1" applyProtection="1">
      <alignment vertical="center"/>
    </xf>
    <xf numFmtId="0" fontId="0" fillId="5" borderId="0" xfId="0" applyFill="1" applyAlignment="1" applyProtection="1">
      <alignment horizontal="center" vertical="center"/>
    </xf>
    <xf numFmtId="0" fontId="0" fillId="5" borderId="0" xfId="0" applyFill="1" applyAlignment="1">
      <alignment vertical="center"/>
    </xf>
    <xf numFmtId="0" fontId="0" fillId="6" borderId="7" xfId="0" applyFill="1" applyBorder="1" applyAlignment="1" applyProtection="1">
      <alignment horizontal="center" vertical="center"/>
      <protection locked="0"/>
    </xf>
    <xf numFmtId="0" fontId="10" fillId="5" borderId="0" xfId="0" applyFont="1" applyFill="1" applyAlignment="1" applyProtection="1">
      <alignment horizontal="left" vertical="center"/>
    </xf>
    <xf numFmtId="0" fontId="43" fillId="5" borderId="0" xfId="0" applyFont="1" applyFill="1" applyAlignment="1" applyProtection="1">
      <alignment vertical="center"/>
    </xf>
    <xf numFmtId="0" fontId="0" fillId="5" borderId="0" xfId="0" applyFill="1" applyBorder="1" applyAlignment="1" applyProtection="1">
      <alignment horizontal="center" vertical="center"/>
    </xf>
    <xf numFmtId="0" fontId="10" fillId="5" borderId="0" xfId="0" applyFont="1" applyFill="1" applyAlignment="1">
      <alignment vertical="center"/>
    </xf>
    <xf numFmtId="0" fontId="58" fillId="5" borderId="0" xfId="0" applyFont="1" applyFill="1" applyAlignment="1" applyProtection="1">
      <alignment vertical="center"/>
    </xf>
    <xf numFmtId="0" fontId="10" fillId="0" borderId="0" xfId="7" applyFont="1" applyFill="1" applyBorder="1" applyAlignment="1" applyProtection="1">
      <alignment horizontal="center"/>
    </xf>
    <xf numFmtId="0" fontId="33" fillId="0" borderId="0" xfId="7" applyFont="1" applyFill="1" applyBorder="1" applyAlignment="1" applyProtection="1"/>
    <xf numFmtId="1" fontId="10" fillId="0" borderId="0" xfId="0" applyNumberFormat="1" applyFont="1" applyFill="1" applyBorder="1" applyAlignment="1">
      <alignment horizontal="center" vertical="center"/>
    </xf>
    <xf numFmtId="1" fontId="10" fillId="0" borderId="0" xfId="7" applyNumberFormat="1" applyFont="1" applyFill="1" applyBorder="1" applyAlignment="1" applyProtection="1">
      <alignment horizontal="center"/>
    </xf>
    <xf numFmtId="1" fontId="2" fillId="0" borderId="7" xfId="0" applyNumberFormat="1" applyFont="1" applyFill="1" applyBorder="1" applyAlignment="1" applyProtection="1">
      <alignment horizontal="center" vertical="center"/>
      <protection locked="0"/>
    </xf>
    <xf numFmtId="0" fontId="33" fillId="0" borderId="7" xfId="7" applyFont="1" applyBorder="1" applyAlignment="1" applyProtection="1">
      <alignment horizontal="center"/>
    </xf>
    <xf numFmtId="1" fontId="33" fillId="0" borderId="7" xfId="7" applyNumberFormat="1" applyFont="1" applyBorder="1" applyAlignment="1" applyProtection="1">
      <alignment horizontal="center"/>
    </xf>
    <xf numFmtId="0" fontId="2" fillId="0" borderId="86" xfId="0" applyFont="1" applyFill="1" applyBorder="1" applyAlignment="1" applyProtection="1">
      <alignment horizontal="center" vertical="center"/>
      <protection locked="0"/>
    </xf>
    <xf numFmtId="0" fontId="0" fillId="2" borderId="31" xfId="0"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3" fillId="5" borderId="0" xfId="0" applyFont="1" applyFill="1" applyAlignment="1" applyProtection="1">
      <alignment horizontal="center" vertical="center"/>
    </xf>
    <xf numFmtId="0" fontId="0" fillId="5" borderId="0" xfId="0" applyFill="1" applyAlignment="1" applyProtection="1">
      <alignment vertical="center"/>
      <protection locked="0"/>
    </xf>
    <xf numFmtId="0" fontId="4"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16" fillId="5" borderId="0" xfId="0" applyFont="1" applyFill="1" applyAlignment="1" applyProtection="1">
      <alignment vertical="center"/>
    </xf>
    <xf numFmtId="49" fontId="10" fillId="6" borderId="6" xfId="0" applyNumberFormat="1" applyFont="1" applyFill="1" applyBorder="1" applyAlignment="1" applyProtection="1">
      <alignment horizontal="left" vertical="center"/>
      <protection locked="0"/>
    </xf>
    <xf numFmtId="0" fontId="0" fillId="5" borderId="0" xfId="0" applyFill="1" applyAlignment="1" applyProtection="1">
      <alignment horizontal="right" vertical="center"/>
    </xf>
    <xf numFmtId="0" fontId="2" fillId="5" borderId="0" xfId="0" applyNumberFormat="1" applyFont="1" applyFill="1" applyBorder="1" applyAlignment="1" applyProtection="1">
      <alignment horizontal="center" vertical="center"/>
    </xf>
    <xf numFmtId="49" fontId="2" fillId="5" borderId="0" xfId="0" applyNumberFormat="1" applyFont="1" applyFill="1" applyBorder="1" applyAlignment="1" applyProtection="1">
      <alignment horizontal="center" vertical="center"/>
    </xf>
    <xf numFmtId="49" fontId="0" fillId="5" borderId="0" xfId="0" applyNumberFormat="1" applyFill="1" applyBorder="1" applyAlignment="1" applyProtection="1">
      <alignment horizontal="left" vertical="center"/>
    </xf>
    <xf numFmtId="49" fontId="10" fillId="5" borderId="0" xfId="0" applyNumberFormat="1" applyFont="1" applyFill="1" applyBorder="1" applyAlignment="1" applyProtection="1">
      <alignment horizontal="left" vertical="center"/>
    </xf>
    <xf numFmtId="0" fontId="32" fillId="5" borderId="0" xfId="0" applyFont="1" applyFill="1"/>
    <xf numFmtId="0" fontId="5" fillId="5" borderId="0" xfId="0" applyFont="1" applyFill="1" applyBorder="1" applyAlignment="1" applyProtection="1">
      <alignment vertical="center"/>
    </xf>
    <xf numFmtId="0" fontId="0" fillId="5" borderId="0" xfId="0" applyFill="1" applyBorder="1" applyAlignment="1" applyProtection="1">
      <alignment vertical="center"/>
    </xf>
    <xf numFmtId="0" fontId="5" fillId="5" borderId="0" xfId="0" applyFont="1" applyFill="1" applyBorder="1" applyAlignment="1">
      <alignment vertical="center"/>
    </xf>
    <xf numFmtId="0" fontId="5" fillId="5" borderId="0" xfId="0" applyFont="1" applyFill="1" applyBorder="1" applyAlignment="1" applyProtection="1">
      <alignment vertical="center"/>
      <protection locked="0"/>
    </xf>
    <xf numFmtId="0" fontId="4" fillId="5" borderId="0" xfId="7" applyFont="1" applyFill="1" applyProtection="1"/>
    <xf numFmtId="0" fontId="42" fillId="5" borderId="0" xfId="7" applyFill="1"/>
    <xf numFmtId="0" fontId="15" fillId="5" borderId="34" xfId="7" applyFont="1" applyFill="1" applyBorder="1" applyProtection="1"/>
    <xf numFmtId="0" fontId="33" fillId="5" borderId="33" xfId="7" applyFont="1" applyFill="1" applyBorder="1" applyAlignment="1" applyProtection="1">
      <alignment horizontal="center"/>
    </xf>
    <xf numFmtId="0" fontId="33" fillId="5" borderId="34" xfId="7" applyFont="1" applyFill="1" applyBorder="1" applyAlignment="1" applyProtection="1">
      <alignment horizontal="center"/>
    </xf>
    <xf numFmtId="0" fontId="33" fillId="5" borderId="31" xfId="7" applyFont="1" applyFill="1" applyBorder="1" applyAlignment="1" applyProtection="1">
      <alignment horizontal="center"/>
    </xf>
    <xf numFmtId="0" fontId="33" fillId="5" borderId="44" xfId="7" applyFont="1" applyFill="1" applyBorder="1" applyAlignment="1" applyProtection="1">
      <alignment horizontal="center"/>
    </xf>
    <xf numFmtId="0" fontId="10" fillId="5" borderId="31" xfId="7" applyFont="1" applyFill="1" applyBorder="1" applyAlignment="1" applyProtection="1">
      <alignment horizontal="center"/>
    </xf>
    <xf numFmtId="0" fontId="10" fillId="5" borderId="0" xfId="0" applyFont="1" applyFill="1" applyAlignment="1" applyProtection="1">
      <alignment vertical="center"/>
      <protection locked="0"/>
    </xf>
    <xf numFmtId="0" fontId="15" fillId="5" borderId="77" xfId="7" applyFont="1" applyFill="1" applyBorder="1" applyProtection="1"/>
    <xf numFmtId="0" fontId="33" fillId="5" borderId="28" xfId="7" applyFont="1" applyFill="1" applyBorder="1" applyAlignment="1" applyProtection="1">
      <alignment horizontal="center"/>
    </xf>
    <xf numFmtId="0" fontId="33" fillId="5" borderId="77" xfId="7" applyFont="1" applyFill="1" applyBorder="1" applyAlignment="1" applyProtection="1"/>
    <xf numFmtId="0" fontId="33" fillId="5" borderId="6" xfId="7" applyFont="1" applyFill="1" applyBorder="1" applyAlignment="1" applyProtection="1"/>
    <xf numFmtId="0" fontId="33" fillId="5" borderId="40" xfId="7" applyFont="1" applyFill="1" applyBorder="1" applyAlignment="1" applyProtection="1"/>
    <xf numFmtId="0" fontId="33" fillId="5" borderId="84" xfId="7" applyFont="1" applyFill="1" applyBorder="1" applyProtection="1"/>
    <xf numFmtId="1" fontId="10" fillId="20" borderId="84" xfId="7" applyNumberFormat="1" applyFont="1" applyFill="1" applyBorder="1" applyAlignment="1" applyProtection="1">
      <alignment horizontal="center"/>
    </xf>
    <xf numFmtId="2" fontId="10" fillId="20" borderId="7" xfId="7" applyNumberFormat="1" applyFont="1" applyFill="1" applyBorder="1" applyAlignment="1" applyProtection="1">
      <alignment horizontal="center"/>
    </xf>
    <xf numFmtId="2" fontId="10" fillId="20" borderId="86" xfId="7" applyNumberFormat="1" applyFont="1" applyFill="1" applyBorder="1" applyAlignment="1" applyProtection="1">
      <alignment horizontal="center"/>
    </xf>
    <xf numFmtId="1" fontId="10" fillId="20" borderId="86" xfId="0" applyNumberFormat="1" applyFont="1" applyFill="1" applyBorder="1" applyAlignment="1">
      <alignment horizontal="center" vertical="center"/>
    </xf>
    <xf numFmtId="1" fontId="10" fillId="20" borderId="86" xfId="7" applyNumberFormat="1" applyFont="1" applyFill="1" applyBorder="1" applyAlignment="1" applyProtection="1">
      <alignment horizontal="center"/>
    </xf>
    <xf numFmtId="1" fontId="33" fillId="20" borderId="86" xfId="7" applyNumberFormat="1" applyFont="1" applyFill="1" applyBorder="1" applyAlignment="1" applyProtection="1">
      <alignment horizontal="center"/>
    </xf>
    <xf numFmtId="1" fontId="33" fillId="20" borderId="42" xfId="7" applyNumberFormat="1" applyFont="1" applyFill="1" applyBorder="1" applyAlignment="1" applyProtection="1">
      <alignment horizontal="center"/>
    </xf>
    <xf numFmtId="0" fontId="33" fillId="5" borderId="0" xfId="7" applyFont="1" applyFill="1" applyBorder="1" applyProtection="1"/>
    <xf numFmtId="1" fontId="33" fillId="5" borderId="0" xfId="7" applyNumberFormat="1" applyFont="1" applyFill="1" applyBorder="1" applyAlignment="1" applyProtection="1">
      <alignment horizontal="center"/>
    </xf>
    <xf numFmtId="166" fontId="33" fillId="5" borderId="0" xfId="7" applyNumberFormat="1" applyFont="1" applyFill="1" applyBorder="1" applyAlignment="1" applyProtection="1">
      <alignment horizontal="center"/>
    </xf>
    <xf numFmtId="0" fontId="33" fillId="5" borderId="0" xfId="7" applyFont="1" applyFill="1" applyBorder="1" applyAlignment="1" applyProtection="1">
      <alignment horizontal="center"/>
    </xf>
    <xf numFmtId="0" fontId="33" fillId="5" borderId="0" xfId="7" applyFont="1" applyFill="1" applyProtection="1"/>
    <xf numFmtId="0" fontId="15" fillId="5" borderId="0" xfId="7" applyFont="1" applyFill="1" applyBorder="1" applyAlignment="1" applyProtection="1">
      <alignment vertical="center"/>
    </xf>
    <xf numFmtId="0" fontId="33" fillId="5" borderId="1" xfId="7" applyNumberFormat="1" applyFont="1" applyFill="1" applyBorder="1" applyAlignment="1" applyProtection="1">
      <alignment horizontal="center"/>
    </xf>
    <xf numFmtId="0" fontId="33" fillId="21" borderId="11" xfId="7" applyFont="1" applyFill="1" applyBorder="1" applyAlignment="1" applyProtection="1">
      <alignment horizontal="center"/>
      <protection locked="0"/>
    </xf>
    <xf numFmtId="0" fontId="33" fillId="5" borderId="0" xfId="7" applyFont="1" applyFill="1" applyAlignment="1" applyProtection="1">
      <alignment horizontal="left"/>
    </xf>
    <xf numFmtId="0" fontId="33" fillId="5" borderId="0" xfId="7" applyNumberFormat="1" applyFont="1" applyFill="1" applyBorder="1" applyAlignment="1" applyProtection="1">
      <alignment horizontal="center"/>
    </xf>
    <xf numFmtId="0" fontId="33" fillId="5" borderId="0" xfId="7" applyFont="1" applyFill="1" applyBorder="1" applyAlignment="1" applyProtection="1">
      <alignment horizontal="center"/>
      <protection locked="0"/>
    </xf>
    <xf numFmtId="0" fontId="33" fillId="5" borderId="34" xfId="7" applyFont="1" applyFill="1" applyBorder="1" applyProtection="1"/>
    <xf numFmtId="0" fontId="33" fillId="5" borderId="31" xfId="7" applyFont="1" applyFill="1" applyBorder="1" applyProtection="1"/>
    <xf numFmtId="1" fontId="33" fillId="5" borderId="33" xfId="7" applyNumberFormat="1" applyFont="1" applyFill="1" applyBorder="1" applyAlignment="1" applyProtection="1">
      <alignment horizontal="center"/>
    </xf>
    <xf numFmtId="0" fontId="33" fillId="5" borderId="77" xfId="7" applyFont="1" applyFill="1" applyBorder="1" applyProtection="1"/>
    <xf numFmtId="166" fontId="33" fillId="5" borderId="28" xfId="7" applyNumberFormat="1" applyFont="1" applyFill="1" applyBorder="1" applyAlignment="1" applyProtection="1">
      <alignment horizontal="center"/>
    </xf>
    <xf numFmtId="0" fontId="33" fillId="5" borderId="6" xfId="7" applyFont="1" applyFill="1" applyBorder="1" applyProtection="1"/>
    <xf numFmtId="0" fontId="33" fillId="21" borderId="28" xfId="7" applyFont="1" applyFill="1" applyBorder="1" applyAlignment="1" applyProtection="1">
      <alignment horizontal="center"/>
      <protection locked="0"/>
    </xf>
    <xf numFmtId="1" fontId="33" fillId="21" borderId="28" xfId="7" applyNumberFormat="1" applyFont="1" applyFill="1" applyBorder="1" applyAlignment="1" applyProtection="1">
      <alignment horizontal="center"/>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1" fontId="10" fillId="0" borderId="17" xfId="0" applyNumberFormat="1" applyFont="1" applyFill="1" applyBorder="1" applyAlignment="1" applyProtection="1">
      <alignment horizontal="center" vertical="center"/>
    </xf>
    <xf numFmtId="1" fontId="10" fillId="0" borderId="49" xfId="0" applyNumberFormat="1" applyFont="1" applyFill="1" applyBorder="1" applyAlignment="1" applyProtection="1">
      <alignment horizontal="center" vertical="center"/>
    </xf>
    <xf numFmtId="14" fontId="0" fillId="0" borderId="0" xfId="0" applyNumberFormat="1"/>
    <xf numFmtId="0" fontId="10" fillId="14" borderId="0" xfId="26" applyFont="1" applyFill="1" applyAlignment="1">
      <alignment horizontal="center"/>
    </xf>
    <xf numFmtId="0" fontId="0" fillId="15" borderId="0" xfId="0" applyFill="1"/>
    <xf numFmtId="0" fontId="0" fillId="22" borderId="0" xfId="0" applyFill="1"/>
    <xf numFmtId="2" fontId="5"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hidden="1"/>
    </xf>
    <xf numFmtId="0" fontId="15" fillId="0" borderId="0" xfId="0" applyFont="1" applyAlignment="1" applyProtection="1">
      <alignment vertical="center"/>
      <protection hidden="1"/>
    </xf>
    <xf numFmtId="0" fontId="14" fillId="0" borderId="0" xfId="0" applyFont="1" applyAlignment="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1" fontId="10"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1" fontId="2" fillId="0" borderId="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14" fillId="0" borderId="0" xfId="0"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0" fillId="14" borderId="0" xfId="26" applyFont="1" applyFill="1" applyBorder="1" applyAlignment="1">
      <alignment horizontal="center"/>
    </xf>
    <xf numFmtId="166" fontId="0" fillId="14" borderId="13" xfId="0" applyNumberFormat="1" applyFill="1" applyBorder="1" applyAlignment="1" applyProtection="1">
      <alignment horizontal="center" vertical="center"/>
      <protection locked="0"/>
    </xf>
    <xf numFmtId="0" fontId="0" fillId="14" borderId="0" xfId="0" applyFill="1" applyBorder="1" applyAlignment="1" applyProtection="1">
      <alignment horizontal="center" vertical="center"/>
      <protection locked="0"/>
    </xf>
    <xf numFmtId="0" fontId="43" fillId="0" borderId="0" xfId="0" applyFont="1" applyAlignment="1">
      <alignment vertical="center"/>
    </xf>
    <xf numFmtId="0" fontId="15" fillId="0" borderId="0" xfId="0" applyFont="1" applyBorder="1" applyAlignment="1" applyProtection="1">
      <alignment horizontal="center" vertical="center"/>
      <protection hidden="1"/>
    </xf>
    <xf numFmtId="0" fontId="2" fillId="23" borderId="2" xfId="0" applyFont="1" applyFill="1" applyBorder="1" applyAlignment="1" applyProtection="1">
      <alignment vertical="center"/>
    </xf>
    <xf numFmtId="0" fontId="2" fillId="23" borderId="3" xfId="0" applyFont="1" applyFill="1" applyBorder="1" applyAlignment="1" applyProtection="1">
      <alignment vertical="center"/>
    </xf>
    <xf numFmtId="0" fontId="2" fillId="23" borderId="4" xfId="0" applyFont="1" applyFill="1" applyBorder="1" applyAlignment="1" applyProtection="1">
      <alignment vertical="center"/>
    </xf>
    <xf numFmtId="0" fontId="2" fillId="23" borderId="0" xfId="0" applyFont="1" applyFill="1" applyBorder="1" applyAlignment="1" applyProtection="1">
      <alignment vertical="center"/>
    </xf>
    <xf numFmtId="0" fontId="2" fillId="23" borderId="12" xfId="0" applyFont="1" applyFill="1" applyBorder="1" applyAlignment="1" applyProtection="1">
      <alignment horizontal="center" vertical="center" wrapText="1"/>
    </xf>
    <xf numFmtId="0" fontId="2" fillId="23" borderId="4" xfId="0" applyFont="1" applyFill="1" applyBorder="1" applyAlignment="1" applyProtection="1">
      <alignment horizontal="left" vertical="center"/>
    </xf>
    <xf numFmtId="0" fontId="10" fillId="23" borderId="0" xfId="0" applyFont="1" applyFill="1" applyBorder="1" applyAlignment="1" applyProtection="1">
      <alignment horizontal="left" vertical="center"/>
    </xf>
    <xf numFmtId="0" fontId="10" fillId="23" borderId="0" xfId="0" applyFont="1" applyFill="1" applyBorder="1" applyAlignment="1" applyProtection="1">
      <alignment vertical="center"/>
    </xf>
    <xf numFmtId="0" fontId="0" fillId="23" borderId="3" xfId="0" applyFill="1" applyBorder="1" applyAlignment="1" applyProtection="1">
      <alignment vertical="center"/>
    </xf>
    <xf numFmtId="0" fontId="0" fillId="23" borderId="4" xfId="0" applyFill="1" applyBorder="1" applyAlignment="1" applyProtection="1">
      <alignment vertical="center"/>
    </xf>
    <xf numFmtId="0" fontId="0" fillId="23" borderId="0" xfId="0" applyFill="1" applyBorder="1" applyAlignment="1" applyProtection="1">
      <alignment vertical="center"/>
    </xf>
    <xf numFmtId="0" fontId="2" fillId="23" borderId="8" xfId="0" applyFont="1" applyFill="1" applyBorder="1" applyAlignment="1" applyProtection="1">
      <alignment horizontal="center" vertical="center"/>
    </xf>
    <xf numFmtId="0" fontId="10" fillId="23" borderId="12" xfId="0" applyFont="1" applyFill="1" applyBorder="1" applyAlignment="1" applyProtection="1">
      <alignment horizontal="center" vertical="center"/>
    </xf>
    <xf numFmtId="0" fontId="0" fillId="23" borderId="8" xfId="0" applyFill="1" applyBorder="1" applyAlignment="1" applyProtection="1">
      <alignment horizontal="center" vertical="center"/>
    </xf>
    <xf numFmtId="0" fontId="10" fillId="23" borderId="14" xfId="0" applyFont="1" applyFill="1" applyBorder="1" applyAlignment="1" applyProtection="1">
      <alignment horizontal="center" vertical="center"/>
    </xf>
    <xf numFmtId="0" fontId="5" fillId="23" borderId="13" xfId="0" applyFont="1" applyFill="1" applyBorder="1" applyAlignment="1" applyProtection="1">
      <alignment horizontal="center" vertical="center"/>
    </xf>
    <xf numFmtId="0" fontId="5" fillId="23" borderId="15" xfId="0" applyFont="1" applyFill="1" applyBorder="1" applyAlignment="1" applyProtection="1">
      <alignment horizontal="center" vertical="center"/>
    </xf>
    <xf numFmtId="0" fontId="5" fillId="23" borderId="0" xfId="0" applyFont="1" applyFill="1" applyBorder="1" applyAlignment="1" applyProtection="1">
      <alignment horizontal="center" vertical="center"/>
    </xf>
    <xf numFmtId="0" fontId="0" fillId="23" borderId="17" xfId="0" applyFill="1" applyBorder="1" applyAlignment="1" applyProtection="1">
      <alignment vertical="center"/>
    </xf>
    <xf numFmtId="0" fontId="0" fillId="23" borderId="18" xfId="0" applyFill="1" applyBorder="1" applyAlignment="1" applyProtection="1">
      <alignment vertical="center"/>
    </xf>
    <xf numFmtId="0" fontId="0" fillId="23" borderId="20" xfId="0" applyFill="1" applyBorder="1" applyAlignment="1" applyProtection="1">
      <alignment horizontal="center" vertical="center"/>
    </xf>
    <xf numFmtId="0" fontId="0" fillId="23" borderId="89" xfId="0" applyFill="1" applyBorder="1" applyAlignment="1" applyProtection="1">
      <alignment horizontal="center" vertical="center"/>
    </xf>
    <xf numFmtId="0" fontId="5" fillId="23" borderId="63" xfId="0" applyFont="1" applyFill="1" applyBorder="1" applyAlignment="1" applyProtection="1">
      <alignment horizontal="center" vertical="center"/>
    </xf>
    <xf numFmtId="0" fontId="10" fillId="23" borderId="90" xfId="0" applyFont="1" applyFill="1" applyBorder="1" applyAlignment="1">
      <alignment horizontal="center" vertical="center"/>
    </xf>
    <xf numFmtId="0" fontId="10" fillId="23" borderId="18" xfId="0" applyFont="1" applyFill="1" applyBorder="1" applyAlignment="1">
      <alignment horizontal="center" vertical="center"/>
    </xf>
    <xf numFmtId="0" fontId="10" fillId="23" borderId="49" xfId="0" applyFont="1" applyFill="1" applyBorder="1" applyAlignment="1" applyProtection="1">
      <alignment horizontal="center" vertical="center"/>
    </xf>
    <xf numFmtId="0" fontId="2" fillId="23" borderId="1" xfId="0" applyFont="1" applyFill="1" applyBorder="1" applyAlignment="1" applyProtection="1">
      <alignment vertical="center"/>
    </xf>
    <xf numFmtId="0" fontId="14" fillId="23" borderId="5" xfId="0" applyFont="1" applyFill="1" applyBorder="1" applyAlignment="1" applyProtection="1">
      <alignment vertical="center"/>
    </xf>
    <xf numFmtId="0" fontId="59" fillId="23" borderId="5" xfId="0" applyFont="1" applyFill="1" applyBorder="1" applyAlignment="1" applyProtection="1">
      <alignment horizontal="left" vertical="center"/>
    </xf>
    <xf numFmtId="0" fontId="14" fillId="23" borderId="5" xfId="0" applyFont="1" applyFill="1" applyBorder="1" applyAlignment="1" applyProtection="1">
      <alignment horizontal="center" vertical="center"/>
    </xf>
    <xf numFmtId="0" fontId="2" fillId="23" borderId="5" xfId="0" applyFont="1" applyFill="1" applyBorder="1" applyAlignment="1" applyProtection="1">
      <alignment vertical="center"/>
    </xf>
    <xf numFmtId="0" fontId="2" fillId="24" borderId="88" xfId="0" applyFont="1" applyFill="1" applyBorder="1" applyAlignment="1" applyProtection="1">
      <alignment horizontal="center" vertical="center"/>
    </xf>
    <xf numFmtId="0" fontId="2" fillId="23" borderId="30" xfId="0" applyFont="1" applyFill="1" applyBorder="1" applyAlignment="1" applyProtection="1">
      <alignment vertical="center"/>
    </xf>
    <xf numFmtId="0" fontId="2" fillId="23" borderId="31" xfId="0" applyFont="1" applyFill="1" applyBorder="1" applyAlignment="1" applyProtection="1">
      <alignment vertical="center"/>
    </xf>
    <xf numFmtId="0" fontId="2" fillId="23" borderId="31" xfId="0" applyFont="1" applyFill="1" applyBorder="1" applyAlignment="1" applyProtection="1">
      <alignment horizontal="center" vertical="center"/>
    </xf>
    <xf numFmtId="0" fontId="4" fillId="23" borderId="1" xfId="0" applyFont="1" applyFill="1" applyBorder="1" applyAlignment="1" applyProtection="1">
      <alignment vertical="center"/>
    </xf>
    <xf numFmtId="0" fontId="4" fillId="23" borderId="5" xfId="0" applyFont="1" applyFill="1" applyBorder="1" applyAlignment="1" applyProtection="1">
      <alignment vertical="center"/>
    </xf>
    <xf numFmtId="0" fontId="4" fillId="23" borderId="5" xfId="0" applyFont="1" applyFill="1" applyBorder="1" applyAlignment="1" applyProtection="1">
      <alignment horizontal="center" vertical="center"/>
    </xf>
    <xf numFmtId="0" fontId="2" fillId="24" borderId="52" xfId="0" applyFont="1" applyFill="1" applyBorder="1" applyAlignment="1" applyProtection="1">
      <alignment horizontal="center" vertical="center"/>
    </xf>
    <xf numFmtId="1" fontId="2" fillId="0" borderId="91" xfId="0" applyNumberFormat="1" applyFont="1" applyFill="1" applyBorder="1" applyAlignment="1" applyProtection="1">
      <alignment horizontal="center" vertical="center"/>
    </xf>
    <xf numFmtId="1" fontId="2" fillId="0" borderId="92" xfId="0" applyNumberFormat="1" applyFont="1" applyFill="1" applyBorder="1" applyAlignment="1" applyProtection="1">
      <alignment horizontal="center" vertical="center"/>
    </xf>
    <xf numFmtId="1" fontId="2" fillId="0" borderId="93" xfId="0" applyNumberFormat="1" applyFont="1" applyFill="1" applyBorder="1" applyAlignment="1" applyProtection="1">
      <alignment horizontal="center" vertical="center"/>
    </xf>
    <xf numFmtId="0" fontId="2" fillId="24" borderId="49" xfId="0" applyFont="1" applyFill="1" applyBorder="1" applyAlignment="1" applyProtection="1">
      <alignment horizontal="center" vertical="center"/>
    </xf>
    <xf numFmtId="0" fontId="2" fillId="2" borderId="94" xfId="0" applyFont="1" applyFill="1" applyBorder="1" applyAlignment="1" applyProtection="1">
      <alignment horizontal="center" vertical="center"/>
      <protection locked="0"/>
    </xf>
    <xf numFmtId="0" fontId="2" fillId="2" borderId="95" xfId="0" applyFont="1" applyFill="1" applyBorder="1" applyAlignment="1" applyProtection="1">
      <alignment horizontal="center" vertical="center"/>
      <protection locked="0"/>
    </xf>
    <xf numFmtId="0" fontId="2" fillId="2" borderId="96" xfId="0" applyFont="1" applyFill="1" applyBorder="1" applyAlignment="1" applyProtection="1">
      <alignment horizontal="center" vertical="center"/>
      <protection locked="0"/>
    </xf>
    <xf numFmtId="1" fontId="2" fillId="2" borderId="97" xfId="0" applyNumberFormat="1" applyFont="1" applyFill="1" applyBorder="1" applyAlignment="1" applyProtection="1">
      <alignment horizontal="center" vertical="center"/>
      <protection locked="0"/>
    </xf>
    <xf numFmtId="1" fontId="2" fillId="2" borderId="98" xfId="0" applyNumberFormat="1" applyFont="1" applyFill="1" applyBorder="1" applyAlignment="1" applyProtection="1">
      <alignment horizontal="center" vertical="center"/>
      <protection locked="0"/>
    </xf>
    <xf numFmtId="1" fontId="2" fillId="2" borderId="99" xfId="0" applyNumberFormat="1" applyFont="1" applyFill="1" applyBorder="1" applyAlignment="1" applyProtection="1">
      <alignment horizontal="center" vertical="center"/>
      <protection locked="0"/>
    </xf>
    <xf numFmtId="1" fontId="2" fillId="2" borderId="91" xfId="0" applyNumberFormat="1" applyFont="1" applyFill="1" applyBorder="1" applyAlignment="1" applyProtection="1">
      <alignment horizontal="center" vertical="center"/>
      <protection locked="0"/>
    </xf>
    <xf numFmtId="1" fontId="2" fillId="2" borderId="92" xfId="0" applyNumberFormat="1" applyFont="1" applyFill="1" applyBorder="1" applyAlignment="1" applyProtection="1">
      <alignment horizontal="center" vertical="center"/>
      <protection locked="0"/>
    </xf>
    <xf numFmtId="1" fontId="2" fillId="2" borderId="93" xfId="0" applyNumberFormat="1" applyFont="1" applyFill="1" applyBorder="1" applyAlignment="1" applyProtection="1">
      <alignment horizontal="center" vertical="center"/>
      <protection locked="0"/>
    </xf>
    <xf numFmtId="0" fontId="2" fillId="4" borderId="92" xfId="0" applyFont="1" applyFill="1" applyBorder="1" applyAlignment="1" applyProtection="1">
      <alignment horizontal="center" vertical="center"/>
    </xf>
    <xf numFmtId="0" fontId="0" fillId="2" borderId="100" xfId="0" applyFill="1" applyBorder="1" applyAlignment="1" applyProtection="1">
      <alignment horizontal="center" vertical="center"/>
      <protection locked="0"/>
    </xf>
    <xf numFmtId="0" fontId="0" fillId="2" borderId="101" xfId="0" applyFill="1" applyBorder="1" applyAlignment="1" applyProtection="1">
      <alignment horizontal="center" vertical="center"/>
      <protection locked="0"/>
    </xf>
    <xf numFmtId="0" fontId="0" fillId="2" borderId="102" xfId="0" applyFill="1" applyBorder="1" applyAlignment="1" applyProtection="1">
      <alignment horizontal="center" vertical="center"/>
      <protection locked="0"/>
    </xf>
    <xf numFmtId="0" fontId="0" fillId="2" borderId="103" xfId="0" applyFill="1" applyBorder="1" applyAlignment="1" applyProtection="1">
      <alignment horizontal="center" vertical="center"/>
      <protection locked="0"/>
    </xf>
    <xf numFmtId="0" fontId="0" fillId="2" borderId="104" xfId="0" applyFill="1" applyBorder="1" applyAlignment="1" applyProtection="1">
      <alignment horizontal="center" vertical="center"/>
      <protection locked="0"/>
    </xf>
    <xf numFmtId="0" fontId="0" fillId="2" borderId="105" xfId="0" applyFill="1" applyBorder="1" applyAlignment="1" applyProtection="1">
      <alignment horizontal="center" vertical="center"/>
      <protection locked="0"/>
    </xf>
    <xf numFmtId="0" fontId="0" fillId="2" borderId="106" xfId="0" applyFill="1" applyBorder="1" applyAlignment="1" applyProtection="1">
      <alignment horizontal="center" vertical="center"/>
      <protection locked="0"/>
    </xf>
    <xf numFmtId="0" fontId="0" fillId="2" borderId="107" xfId="0" applyFill="1" applyBorder="1" applyAlignment="1" applyProtection="1">
      <alignment horizontal="center" vertical="center"/>
      <protection locked="0"/>
    </xf>
    <xf numFmtId="0" fontId="0" fillId="2" borderId="108" xfId="0" applyFill="1" applyBorder="1" applyAlignment="1" applyProtection="1">
      <alignment horizontal="center" vertical="center"/>
      <protection locked="0"/>
    </xf>
    <xf numFmtId="0" fontId="0" fillId="2" borderId="109" xfId="0" applyFill="1" applyBorder="1" applyAlignment="1" applyProtection="1">
      <alignment horizontal="center" vertical="center"/>
      <protection locked="0"/>
    </xf>
    <xf numFmtId="0" fontId="0" fillId="2" borderId="110" xfId="0" applyFill="1" applyBorder="1" applyAlignment="1" applyProtection="1">
      <alignment horizontal="center" vertical="center"/>
      <protection locked="0"/>
    </xf>
    <xf numFmtId="0" fontId="0" fillId="2" borderId="111" xfId="0" applyFill="1" applyBorder="1" applyAlignment="1" applyProtection="1">
      <alignment horizontal="center" vertical="center"/>
      <protection locked="0"/>
    </xf>
    <xf numFmtId="0" fontId="0" fillId="2" borderId="112" xfId="0" applyFill="1" applyBorder="1" applyAlignment="1" applyProtection="1">
      <alignment horizontal="center" vertical="center"/>
      <protection locked="0"/>
    </xf>
    <xf numFmtId="1" fontId="0" fillId="0" borderId="113" xfId="0" applyNumberFormat="1" applyFill="1" applyBorder="1" applyAlignment="1" applyProtection="1">
      <alignment horizontal="center" vertical="center"/>
      <protection hidden="1"/>
    </xf>
    <xf numFmtId="1" fontId="2" fillId="0" borderId="92" xfId="0" applyNumberFormat="1" applyFont="1" applyBorder="1" applyAlignment="1" applyProtection="1">
      <alignment horizontal="center" vertical="center"/>
    </xf>
    <xf numFmtId="1" fontId="2" fillId="13" borderId="92" xfId="0" applyNumberFormat="1" applyFont="1" applyFill="1" applyBorder="1" applyAlignment="1" applyProtection="1">
      <alignment horizontal="center" vertical="center"/>
      <protection locked="0"/>
    </xf>
    <xf numFmtId="0" fontId="2" fillId="23" borderId="24" xfId="0" applyFont="1" applyFill="1" applyBorder="1" applyAlignment="1" applyProtection="1">
      <alignment horizontal="center" vertical="center"/>
    </xf>
    <xf numFmtId="0" fontId="2" fillId="23" borderId="9" xfId="0" applyFont="1" applyFill="1" applyBorder="1" applyAlignment="1" applyProtection="1">
      <alignment horizontal="center" vertical="center"/>
    </xf>
    <xf numFmtId="0" fontId="2" fillId="23" borderId="5" xfId="0" applyFont="1" applyFill="1" applyBorder="1" applyAlignment="1" applyProtection="1">
      <alignment horizontal="center" vertical="center"/>
    </xf>
    <xf numFmtId="0" fontId="15" fillId="22" borderId="1" xfId="0" applyFont="1" applyFill="1" applyBorder="1" applyAlignment="1" applyProtection="1">
      <alignment vertical="center"/>
    </xf>
    <xf numFmtId="0" fontId="15" fillId="22" borderId="5" xfId="0" applyFont="1" applyFill="1" applyBorder="1" applyAlignment="1" applyProtection="1">
      <alignment vertical="center"/>
    </xf>
    <xf numFmtId="0" fontId="15" fillId="22" borderId="11" xfId="0" applyFont="1" applyFill="1" applyBorder="1" applyAlignment="1" applyProtection="1">
      <alignment vertical="center"/>
    </xf>
    <xf numFmtId="0" fontId="10" fillId="22" borderId="5" xfId="0" applyFont="1" applyFill="1" applyBorder="1" applyAlignment="1" applyProtection="1">
      <alignment horizontal="center" vertical="center"/>
    </xf>
    <xf numFmtId="0" fontId="2" fillId="22" borderId="11" xfId="0" applyFont="1" applyFill="1" applyBorder="1" applyAlignment="1" applyProtection="1">
      <alignment horizontal="center" vertical="center"/>
    </xf>
    <xf numFmtId="0" fontId="2" fillId="24" borderId="114" xfId="0" applyFont="1" applyFill="1" applyBorder="1" applyAlignment="1" applyProtection="1">
      <alignment horizontal="center" vertical="center"/>
    </xf>
    <xf numFmtId="0" fontId="2" fillId="24" borderId="64" xfId="0" applyFont="1" applyFill="1" applyBorder="1" applyAlignment="1" applyProtection="1">
      <alignment horizontal="center" vertical="center"/>
    </xf>
    <xf numFmtId="0" fontId="4" fillId="22" borderId="1" xfId="0" applyFont="1" applyFill="1" applyBorder="1" applyAlignment="1" applyProtection="1">
      <alignment vertical="center"/>
    </xf>
    <xf numFmtId="0" fontId="0" fillId="22" borderId="5" xfId="0" applyFill="1" applyBorder="1" applyAlignment="1" applyProtection="1">
      <alignment vertical="center"/>
    </xf>
    <xf numFmtId="0" fontId="0" fillId="22" borderId="5" xfId="0" applyFill="1" applyBorder="1" applyAlignment="1" applyProtection="1">
      <alignment horizontal="center" vertical="center"/>
    </xf>
    <xf numFmtId="0" fontId="2" fillId="22" borderId="64" xfId="0" applyFont="1" applyFill="1" applyBorder="1" applyAlignment="1" applyProtection="1">
      <alignment horizontal="center" vertical="center" wrapText="1"/>
    </xf>
    <xf numFmtId="0" fontId="2" fillId="22" borderId="5" xfId="0" applyFont="1" applyFill="1" applyBorder="1" applyAlignment="1" applyProtection="1">
      <alignment vertical="center"/>
    </xf>
    <xf numFmtId="0" fontId="2" fillId="2" borderId="115" xfId="0" applyFont="1" applyFill="1" applyBorder="1" applyAlignment="1" applyProtection="1">
      <alignment horizontal="center" vertical="center"/>
      <protection locked="0"/>
    </xf>
    <xf numFmtId="0" fontId="2" fillId="2" borderId="116" xfId="0" applyFont="1" applyFill="1" applyBorder="1" applyAlignment="1" applyProtection="1">
      <alignment horizontal="center" vertical="center"/>
      <protection locked="0"/>
    </xf>
    <xf numFmtId="0" fontId="2" fillId="2" borderId="117" xfId="0" applyFont="1" applyFill="1" applyBorder="1" applyAlignment="1" applyProtection="1">
      <alignment horizontal="center" vertical="center"/>
      <protection locked="0"/>
    </xf>
    <xf numFmtId="0" fontId="2" fillId="4" borderId="97" xfId="0" applyFont="1" applyFill="1" applyBorder="1" applyAlignment="1" applyProtection="1">
      <alignment horizontal="center" vertical="center"/>
    </xf>
    <xf numFmtId="0" fontId="2" fillId="4" borderId="98" xfId="0" applyFont="1" applyFill="1" applyBorder="1" applyAlignment="1" applyProtection="1">
      <alignment horizontal="center" vertical="center"/>
    </xf>
    <xf numFmtId="0" fontId="2" fillId="4" borderId="99" xfId="0" applyFont="1" applyFill="1" applyBorder="1" applyAlignment="1" applyProtection="1">
      <alignment horizontal="center" vertical="center"/>
    </xf>
    <xf numFmtId="0" fontId="2" fillId="0" borderId="97" xfId="0" applyFont="1" applyFill="1" applyBorder="1" applyAlignment="1" applyProtection="1">
      <alignment horizontal="center" vertical="center"/>
    </xf>
    <xf numFmtId="0" fontId="2" fillId="0" borderId="98" xfId="0" applyFont="1" applyFill="1" applyBorder="1" applyAlignment="1" applyProtection="1">
      <alignment horizontal="center" vertical="center"/>
    </xf>
    <xf numFmtId="1" fontId="0" fillId="4" borderId="113" xfId="0" applyNumberFormat="1" applyFill="1" applyBorder="1" applyAlignment="1" applyProtection="1">
      <alignment horizontal="center" vertical="center"/>
      <protection hidden="1"/>
    </xf>
    <xf numFmtId="0" fontId="0" fillId="0" borderId="0" xfId="0" applyAlignment="1">
      <alignment horizontal="center" vertical="center"/>
    </xf>
    <xf numFmtId="0" fontId="10" fillId="0" borderId="0" xfId="0" applyFont="1" applyAlignment="1">
      <alignment horizontal="left" vertical="center"/>
    </xf>
    <xf numFmtId="0" fontId="0" fillId="0" borderId="24" xfId="0" applyBorder="1" applyAlignment="1">
      <alignment horizontal="center" vertical="center"/>
    </xf>
    <xf numFmtId="166" fontId="0" fillId="0" borderId="24" xfId="0" applyNumberFormat="1" applyBorder="1" applyAlignment="1">
      <alignment horizontal="center" vertical="center"/>
    </xf>
    <xf numFmtId="0" fontId="0" fillId="0" borderId="13" xfId="0" applyBorder="1" applyAlignment="1">
      <alignment horizontal="center" vertical="center"/>
    </xf>
    <xf numFmtId="166" fontId="0" fillId="0" borderId="13" xfId="0" applyNumberFormat="1" applyBorder="1" applyAlignment="1">
      <alignment horizontal="center" vertical="center"/>
    </xf>
    <xf numFmtId="0" fontId="0" fillId="0" borderId="31" xfId="0" applyBorder="1" applyAlignment="1">
      <alignment horizontal="center" vertical="center"/>
    </xf>
    <xf numFmtId="166" fontId="0" fillId="0" borderId="34" xfId="0" applyNumberFormat="1" applyBorder="1" applyAlignment="1">
      <alignment horizontal="center" vertical="center"/>
    </xf>
    <xf numFmtId="166" fontId="0" fillId="0" borderId="31" xfId="0" applyNumberFormat="1" applyBorder="1" applyAlignment="1">
      <alignment horizontal="center" vertical="center"/>
    </xf>
    <xf numFmtId="166" fontId="0" fillId="18" borderId="31" xfId="0" applyNumberFormat="1" applyFill="1" applyBorder="1" applyAlignment="1">
      <alignment horizontal="center" vertical="center"/>
    </xf>
    <xf numFmtId="0" fontId="0" fillId="18" borderId="31" xfId="0" applyFill="1" applyBorder="1" applyAlignment="1">
      <alignment horizontal="center" vertical="center"/>
    </xf>
    <xf numFmtId="166" fontId="0" fillId="0" borderId="44" xfId="0" applyNumberFormat="1" applyBorder="1" applyAlignment="1">
      <alignment horizontal="center" vertical="center"/>
    </xf>
    <xf numFmtId="166" fontId="0" fillId="25" borderId="31" xfId="0" applyNumberFormat="1" applyFill="1" applyBorder="1" applyAlignment="1">
      <alignment horizontal="center" vertical="center"/>
    </xf>
    <xf numFmtId="0" fontId="0" fillId="0" borderId="6" xfId="0" applyBorder="1" applyAlignment="1">
      <alignment horizontal="center" vertical="center"/>
    </xf>
    <xf numFmtId="166" fontId="0" fillId="0" borderId="77" xfId="0" applyNumberFormat="1" applyBorder="1" applyAlignment="1">
      <alignment horizontal="center" vertical="center"/>
    </xf>
    <xf numFmtId="166" fontId="0" fillId="0" borderId="6" xfId="0" applyNumberFormat="1" applyBorder="1" applyAlignment="1">
      <alignment horizontal="center" vertical="center"/>
    </xf>
    <xf numFmtId="166" fontId="0" fillId="0" borderId="6" xfId="0" applyNumberFormat="1" applyFill="1" applyBorder="1" applyAlignment="1">
      <alignment horizontal="center" vertical="center"/>
    </xf>
    <xf numFmtId="0" fontId="0" fillId="0" borderId="6" xfId="0" applyFill="1" applyBorder="1" applyAlignment="1">
      <alignment horizontal="center" vertical="center"/>
    </xf>
    <xf numFmtId="166" fontId="0" fillId="0" borderId="40" xfId="0" applyNumberFormat="1" applyBorder="1" applyAlignment="1">
      <alignment horizontal="center" vertical="center"/>
    </xf>
    <xf numFmtId="0" fontId="0" fillId="0" borderId="77" xfId="0" applyBorder="1" applyAlignment="1">
      <alignment horizontal="center" vertical="center"/>
    </xf>
    <xf numFmtId="0" fontId="0" fillId="0" borderId="40" xfId="0" applyBorder="1" applyAlignment="1">
      <alignment horizontal="center" vertical="center"/>
    </xf>
    <xf numFmtId="0" fontId="0" fillId="15" borderId="31" xfId="0" applyFill="1" applyBorder="1" applyAlignment="1">
      <alignment horizontal="center" vertical="center"/>
    </xf>
    <xf numFmtId="0" fontId="0" fillId="19" borderId="0" xfId="0" applyFill="1" applyAlignment="1">
      <alignment horizontal="center" vertical="center"/>
    </xf>
    <xf numFmtId="0" fontId="0" fillId="15" borderId="0" xfId="0" applyFill="1" applyAlignment="1">
      <alignment horizontal="center" vertical="center"/>
    </xf>
    <xf numFmtId="0" fontId="0" fillId="25" borderId="0" xfId="0" applyFill="1" applyAlignment="1">
      <alignment horizontal="center" vertical="center"/>
    </xf>
    <xf numFmtId="0" fontId="0" fillId="0" borderId="0" xfId="0" applyAlignment="1">
      <alignment horizontal="left" vertical="center"/>
    </xf>
    <xf numFmtId="0" fontId="0" fillId="26" borderId="0" xfId="0" applyFill="1" applyAlignment="1">
      <alignment horizontal="center" vertical="center"/>
    </xf>
    <xf numFmtId="0" fontId="10" fillId="0" borderId="0" xfId="0" applyFont="1" applyAlignment="1">
      <alignment horizontal="right" vertical="center"/>
    </xf>
    <xf numFmtId="0" fontId="0" fillId="0" borderId="34" xfId="0" applyBorder="1"/>
    <xf numFmtId="0" fontId="10" fillId="0" borderId="31" xfId="0" applyFont="1" applyBorder="1" applyAlignment="1">
      <alignment horizontal="center" vertical="center"/>
    </xf>
    <xf numFmtId="0" fontId="10" fillId="0" borderId="44" xfId="0" applyFont="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2" fontId="0" fillId="0" borderId="13" xfId="0" applyNumberFormat="1" applyBorder="1" applyAlignment="1">
      <alignment horizontal="center" vertical="center"/>
    </xf>
    <xf numFmtId="0" fontId="10" fillId="0" borderId="0" xfId="0" applyFont="1" applyBorder="1" applyAlignment="1">
      <alignment horizontal="right" vertical="center"/>
    </xf>
    <xf numFmtId="0" fontId="0" fillId="0" borderId="77" xfId="0" applyBorder="1"/>
    <xf numFmtId="0" fontId="0" fillId="0" borderId="44" xfId="0" applyBorder="1" applyAlignment="1">
      <alignment horizontal="center" vertical="center"/>
    </xf>
    <xf numFmtId="0" fontId="10" fillId="0" borderId="6" xfId="0" applyFont="1" applyBorder="1" applyAlignment="1">
      <alignment horizontal="right" vertical="center"/>
    </xf>
    <xf numFmtId="2" fontId="0" fillId="0" borderId="40" xfId="0" applyNumberFormat="1" applyBorder="1" applyAlignment="1">
      <alignment horizontal="center" vertical="center"/>
    </xf>
    <xf numFmtId="0" fontId="10" fillId="0" borderId="33"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28" xfId="0" applyBorder="1" applyAlignment="1">
      <alignment horizontal="center" vertical="center"/>
    </xf>
    <xf numFmtId="166" fontId="0" fillId="0" borderId="28" xfId="0" applyNumberFormat="1" applyBorder="1" applyAlignment="1">
      <alignment horizontal="center" vertical="center"/>
    </xf>
    <xf numFmtId="0" fontId="10" fillId="0" borderId="6" xfId="0" applyFont="1" applyBorder="1" applyAlignment="1">
      <alignment horizontal="center" vertical="center"/>
    </xf>
    <xf numFmtId="166" fontId="0" fillId="0" borderId="31" xfId="0" applyNumberFormat="1" applyFill="1" applyBorder="1" applyAlignment="1">
      <alignment horizontal="center" vertical="center"/>
    </xf>
    <xf numFmtId="166" fontId="0" fillId="18" borderId="0" xfId="0" applyNumberFormat="1" applyFill="1" applyAlignment="1">
      <alignment horizontal="center" vertical="center"/>
    </xf>
    <xf numFmtId="166" fontId="0" fillId="0" borderId="0" xfId="0" applyNumberFormat="1" applyBorder="1" applyAlignment="1">
      <alignment horizontal="center" vertical="center"/>
    </xf>
    <xf numFmtId="166" fontId="0" fillId="5" borderId="31" xfId="0" applyNumberFormat="1" applyFill="1" applyBorder="1" applyAlignment="1">
      <alignment horizontal="center" vertical="center"/>
    </xf>
    <xf numFmtId="2" fontId="0" fillId="25" borderId="0" xfId="0" applyNumberFormat="1" applyFill="1" applyBorder="1" applyAlignment="1">
      <alignment horizontal="center" vertical="center"/>
    </xf>
    <xf numFmtId="0" fontId="10" fillId="0" borderId="0" xfId="0" applyFont="1" applyAlignment="1">
      <alignment horizontal="center"/>
    </xf>
    <xf numFmtId="166" fontId="10" fillId="18" borderId="6" xfId="0" applyNumberFormat="1" applyFont="1" applyFill="1" applyBorder="1" applyAlignment="1">
      <alignment horizontal="center" vertical="center"/>
    </xf>
    <xf numFmtId="166" fontId="0" fillId="19" borderId="31" xfId="0" applyNumberFormat="1" applyFill="1" applyBorder="1" applyAlignment="1">
      <alignment horizontal="center" vertical="center"/>
    </xf>
    <xf numFmtId="0" fontId="0" fillId="0" borderId="64" xfId="0"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0" xfId="0" applyFont="1" applyAlignment="1" applyProtection="1">
      <alignment vertical="center"/>
    </xf>
    <xf numFmtId="165" fontId="0" fillId="0" borderId="24" xfId="0" applyNumberFormat="1" applyFill="1" applyBorder="1" applyAlignment="1" applyProtection="1">
      <alignment horizontal="center" vertical="center"/>
      <protection locked="0"/>
    </xf>
    <xf numFmtId="165" fontId="0" fillId="0" borderId="13" xfId="0" applyNumberFormat="1" applyFill="1" applyBorder="1" applyAlignment="1" applyProtection="1">
      <alignment horizontal="center" vertical="center"/>
      <protection locked="0"/>
    </xf>
    <xf numFmtId="1" fontId="4" fillId="23" borderId="64" xfId="0" applyNumberFormat="1" applyFont="1" applyFill="1" applyBorder="1" applyAlignment="1" applyProtection="1">
      <alignment horizontal="center" vertical="center"/>
    </xf>
    <xf numFmtId="0" fontId="4" fillId="23" borderId="1" xfId="0" applyFont="1" applyFill="1" applyBorder="1" applyAlignment="1" applyProtection="1">
      <alignment horizontal="center" vertical="center"/>
    </xf>
    <xf numFmtId="0" fontId="4" fillId="23" borderId="64" xfId="0" applyFont="1" applyFill="1" applyBorder="1" applyAlignment="1" applyProtection="1">
      <alignment horizontal="center" vertical="center"/>
    </xf>
    <xf numFmtId="0" fontId="4" fillId="23" borderId="11" xfId="0" applyFont="1" applyFill="1" applyBorder="1" applyAlignment="1" applyProtection="1">
      <alignment horizontal="center" vertical="center"/>
    </xf>
    <xf numFmtId="1" fontId="2" fillId="23" borderId="49" xfId="0" applyNumberFormat="1" applyFont="1" applyFill="1" applyBorder="1" applyAlignment="1" applyProtection="1">
      <alignment horizontal="center" vertical="center"/>
    </xf>
    <xf numFmtId="0" fontId="33" fillId="23" borderId="84" xfId="7" applyFont="1" applyFill="1" applyBorder="1" applyProtection="1"/>
    <xf numFmtId="1" fontId="10" fillId="23" borderId="84" xfId="7" applyNumberFormat="1" applyFont="1" applyFill="1" applyBorder="1" applyAlignment="1" applyProtection="1">
      <alignment horizontal="center"/>
    </xf>
    <xf numFmtId="2" fontId="10" fillId="23" borderId="86" xfId="7" applyNumberFormat="1" applyFont="1" applyFill="1" applyBorder="1" applyAlignment="1" applyProtection="1">
      <alignment horizontal="center"/>
    </xf>
    <xf numFmtId="2" fontId="10" fillId="23" borderId="42" xfId="7" applyNumberFormat="1" applyFont="1" applyFill="1" applyBorder="1" applyAlignment="1" applyProtection="1">
      <alignment horizontal="center"/>
    </xf>
    <xf numFmtId="0" fontId="2" fillId="2" borderId="106" xfId="0" applyFont="1" applyFill="1" applyBorder="1" applyAlignment="1" applyProtection="1">
      <alignment horizontal="center" vertical="center"/>
      <protection locked="0"/>
    </xf>
    <xf numFmtId="0" fontId="2" fillId="0" borderId="110" xfId="0" applyFont="1" applyBorder="1" applyAlignment="1" applyProtection="1">
      <alignment horizontal="center" vertical="center"/>
    </xf>
    <xf numFmtId="0" fontId="2" fillId="2" borderId="102" xfId="0" applyFont="1" applyFill="1" applyBorder="1" applyAlignment="1" applyProtection="1">
      <alignment horizontal="center" vertical="center"/>
      <protection locked="0"/>
    </xf>
    <xf numFmtId="0" fontId="2" fillId="0" borderId="111" xfId="0" applyFont="1" applyBorder="1" applyAlignment="1" applyProtection="1">
      <alignment horizontal="center" vertical="center"/>
    </xf>
    <xf numFmtId="1" fontId="2" fillId="4" borderId="118" xfId="0" applyNumberFormat="1" applyFont="1" applyFill="1" applyBorder="1" applyAlignment="1" applyProtection="1">
      <alignment horizontal="center" vertical="center"/>
    </xf>
    <xf numFmtId="0" fontId="2" fillId="4" borderId="118" xfId="0" applyFont="1" applyFill="1" applyBorder="1" applyAlignment="1" applyProtection="1">
      <alignment horizontal="center" vertical="center"/>
    </xf>
    <xf numFmtId="0" fontId="2" fillId="0" borderId="99" xfId="0" applyFont="1" applyFill="1" applyBorder="1" applyAlignment="1" applyProtection="1">
      <alignment horizontal="center" vertical="center"/>
    </xf>
    <xf numFmtId="0" fontId="2" fillId="23" borderId="0" xfId="0" applyFont="1" applyFill="1" applyBorder="1" applyAlignment="1" applyProtection="1">
      <alignment horizontal="center" vertical="center"/>
    </xf>
    <xf numFmtId="0" fontId="2" fillId="23" borderId="5" xfId="0" applyFont="1" applyFill="1" applyBorder="1" applyAlignment="1" applyProtection="1">
      <alignment horizontal="center" vertical="center"/>
    </xf>
    <xf numFmtId="0" fontId="2" fillId="23" borderId="11" xfId="0" applyFont="1" applyFill="1" applyBorder="1" applyAlignment="1" applyProtection="1">
      <alignment horizontal="center" vertical="center"/>
    </xf>
    <xf numFmtId="0" fontId="2" fillId="23" borderId="24" xfId="0" applyFont="1" applyFill="1" applyBorder="1" applyAlignment="1" applyProtection="1">
      <alignment horizontal="center" vertical="center"/>
    </xf>
    <xf numFmtId="0" fontId="2" fillId="23" borderId="9" xfId="0" applyFont="1" applyFill="1" applyBorder="1" applyAlignment="1" applyProtection="1">
      <alignment horizontal="center" vertical="center"/>
    </xf>
    <xf numFmtId="0" fontId="2" fillId="2" borderId="119" xfId="0" applyFont="1" applyFill="1" applyBorder="1" applyAlignment="1" applyProtection="1">
      <alignment horizontal="center" vertical="center"/>
      <protection locked="0"/>
    </xf>
    <xf numFmtId="2" fontId="10" fillId="23" borderId="7" xfId="7" applyNumberFormat="1" applyFont="1" applyFill="1" applyBorder="1" applyAlignment="1" applyProtection="1">
      <alignment horizontal="center"/>
    </xf>
    <xf numFmtId="1" fontId="2" fillId="13" borderId="91" xfId="0" applyNumberFormat="1" applyFont="1" applyFill="1" applyBorder="1" applyAlignment="1" applyProtection="1">
      <alignment horizontal="center" vertical="center"/>
      <protection locked="0"/>
    </xf>
    <xf numFmtId="1" fontId="2" fillId="2" borderId="120" xfId="0" applyNumberFormat="1" applyFont="1" applyFill="1" applyBorder="1" applyAlignment="1" applyProtection="1">
      <alignment horizontal="center" vertical="center"/>
      <protection locked="0"/>
    </xf>
    <xf numFmtId="1" fontId="2" fillId="2" borderId="121" xfId="0" applyNumberFormat="1" applyFont="1" applyFill="1" applyBorder="1" applyAlignment="1" applyProtection="1">
      <alignment horizontal="center" vertical="center"/>
      <protection locked="0"/>
    </xf>
    <xf numFmtId="1" fontId="2" fillId="2" borderId="122" xfId="0" applyNumberFormat="1" applyFont="1" applyFill="1" applyBorder="1" applyAlignment="1" applyProtection="1">
      <alignment horizontal="center" vertical="center"/>
      <protection locked="0"/>
    </xf>
    <xf numFmtId="0" fontId="10" fillId="2" borderId="123" xfId="0" applyFont="1" applyFill="1" applyBorder="1" applyAlignment="1" applyProtection="1">
      <alignment horizontal="center" vertical="center"/>
      <protection locked="0"/>
    </xf>
    <xf numFmtId="0" fontId="10" fillId="2" borderId="124" xfId="0" applyFont="1" applyFill="1" applyBorder="1" applyAlignment="1" applyProtection="1">
      <alignment horizontal="center" vertical="center"/>
      <protection locked="0"/>
    </xf>
    <xf numFmtId="0" fontId="10" fillId="2" borderId="125" xfId="0" applyFont="1" applyFill="1" applyBorder="1" applyAlignment="1" applyProtection="1">
      <alignment horizontal="center" vertical="center"/>
      <protection locked="0"/>
    </xf>
    <xf numFmtId="0" fontId="2" fillId="0" borderId="126" xfId="0" applyFont="1" applyBorder="1" applyAlignment="1">
      <alignment horizontal="center"/>
    </xf>
    <xf numFmtId="0" fontId="2" fillId="0" borderId="127" xfId="0" applyFont="1" applyBorder="1" applyAlignment="1">
      <alignment horizontal="center"/>
    </xf>
    <xf numFmtId="49" fontId="2" fillId="14" borderId="0" xfId="26" applyNumberFormat="1" applyFont="1" applyFill="1"/>
    <xf numFmtId="0" fontId="33" fillId="27" borderId="128" xfId="7" applyFont="1" applyFill="1" applyBorder="1" applyAlignment="1" applyProtection="1">
      <alignment horizontal="center"/>
      <protection locked="0"/>
    </xf>
    <xf numFmtId="2" fontId="33" fillId="0" borderId="129" xfId="7" applyNumberFormat="1" applyFont="1" applyBorder="1" applyAlignment="1" applyProtection="1">
      <alignment horizontal="center"/>
    </xf>
    <xf numFmtId="2" fontId="33" fillId="27" borderId="129" xfId="7" applyNumberFormat="1" applyFont="1" applyFill="1" applyBorder="1" applyAlignment="1" applyProtection="1">
      <alignment horizontal="center"/>
      <protection locked="0"/>
    </xf>
    <xf numFmtId="0" fontId="33" fillId="0" borderId="84" xfId="7" applyFont="1" applyBorder="1" applyProtection="1"/>
    <xf numFmtId="0" fontId="33" fillId="0" borderId="86" xfId="7" applyFont="1" applyFill="1" applyBorder="1" applyProtection="1"/>
    <xf numFmtId="1" fontId="33" fillId="0" borderId="130" xfId="7" applyNumberFormat="1" applyFont="1" applyBorder="1" applyAlignment="1" applyProtection="1">
      <alignment horizontal="center"/>
    </xf>
    <xf numFmtId="0" fontId="2" fillId="13" borderId="111" xfId="0" applyFont="1" applyFill="1" applyBorder="1" applyAlignment="1" applyProtection="1">
      <alignment horizontal="center" vertical="center"/>
      <protection locked="0"/>
    </xf>
    <xf numFmtId="1" fontId="2" fillId="0" borderId="113" xfId="0" applyNumberFormat="1" applyFont="1" applyFill="1" applyBorder="1" applyAlignment="1" applyProtection="1">
      <alignment horizontal="center" vertical="center"/>
      <protection hidden="1"/>
    </xf>
    <xf numFmtId="0" fontId="2" fillId="2" borderId="107" xfId="0" applyFont="1" applyFill="1" applyBorder="1" applyAlignment="1" applyProtection="1">
      <alignment horizontal="center" vertical="center"/>
      <protection locked="0"/>
    </xf>
    <xf numFmtId="0" fontId="2" fillId="2" borderId="108" xfId="0" applyFont="1" applyFill="1" applyBorder="1" applyAlignment="1" applyProtection="1">
      <alignment horizontal="center" vertical="center"/>
      <protection locked="0"/>
    </xf>
    <xf numFmtId="0" fontId="2" fillId="2" borderId="104" xfId="0" applyFont="1" applyFill="1" applyBorder="1" applyAlignment="1" applyProtection="1">
      <alignment horizontal="center" vertical="center"/>
      <protection locked="0"/>
    </xf>
    <xf numFmtId="0" fontId="2" fillId="2" borderId="109" xfId="0" applyFont="1" applyFill="1" applyBorder="1" applyAlignment="1" applyProtection="1">
      <alignment horizontal="center" vertical="center"/>
      <protection locked="0"/>
    </xf>
    <xf numFmtId="0" fontId="2" fillId="2" borderId="110" xfId="0" applyFont="1" applyFill="1" applyBorder="1" applyAlignment="1" applyProtection="1">
      <alignment horizontal="center" vertical="center"/>
      <protection locked="0"/>
    </xf>
    <xf numFmtId="0" fontId="2" fillId="2" borderId="112" xfId="0" applyFont="1" applyFill="1" applyBorder="1" applyAlignment="1" applyProtection="1">
      <alignment horizontal="center" vertical="center"/>
      <protection locked="0"/>
    </xf>
    <xf numFmtId="0" fontId="2" fillId="2" borderId="103" xfId="0" applyFont="1" applyFill="1" applyBorder="1" applyAlignment="1" applyProtection="1">
      <alignment horizontal="center" vertical="center"/>
      <protection locked="0"/>
    </xf>
    <xf numFmtId="0" fontId="2" fillId="2" borderId="105" xfId="0" applyFont="1" applyFill="1" applyBorder="1" applyAlignment="1" applyProtection="1">
      <alignment horizontal="center" vertical="center"/>
      <protection locked="0"/>
    </xf>
    <xf numFmtId="0" fontId="2" fillId="0" borderId="0" xfId="0" applyFont="1" applyFill="1" applyAlignment="1" applyProtection="1">
      <alignment vertical="center"/>
      <protection hidden="1"/>
    </xf>
    <xf numFmtId="0" fontId="10" fillId="0" borderId="0" xfId="0" applyFont="1" applyFill="1" applyAlignment="1" applyProtection="1">
      <alignment horizontal="center" vertical="center"/>
    </xf>
    <xf numFmtId="0" fontId="0" fillId="0" borderId="0" xfId="0" applyFill="1" applyAlignment="1">
      <alignment vertical="center"/>
    </xf>
    <xf numFmtId="0" fontId="0" fillId="0" borderId="0" xfId="0" applyFill="1" applyAlignment="1" applyProtection="1">
      <alignment vertical="center"/>
      <protection hidden="1"/>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2" fillId="0" borderId="5"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60" fillId="0" borderId="0" xfId="0" applyFont="1"/>
    <xf numFmtId="0" fontId="60" fillId="0" borderId="0" xfId="0" applyFont="1" applyAlignment="1">
      <alignment horizontal="center"/>
    </xf>
    <xf numFmtId="0" fontId="2" fillId="0" borderId="1" xfId="0" applyFont="1" applyBorder="1" applyAlignment="1">
      <alignment horizontal="center"/>
    </xf>
    <xf numFmtId="0" fontId="2" fillId="0" borderId="64" xfId="0" applyFont="1" applyBorder="1" applyAlignment="1">
      <alignment horizontal="center"/>
    </xf>
    <xf numFmtId="0" fontId="0" fillId="0" borderId="0" xfId="0" applyProtection="1"/>
    <xf numFmtId="0" fontId="42" fillId="0" borderId="0" xfId="7" applyProtection="1"/>
    <xf numFmtId="0" fontId="10" fillId="0" borderId="24" xfId="0" applyFont="1" applyFill="1" applyBorder="1" applyAlignment="1">
      <alignment horizontal="center"/>
    </xf>
    <xf numFmtId="0" fontId="10" fillId="0" borderId="0" xfId="0" applyFont="1" applyFill="1" applyBorder="1" applyAlignment="1">
      <alignment horizontal="center"/>
    </xf>
    <xf numFmtId="0" fontId="10" fillId="0" borderId="13" xfId="0" applyFont="1" applyFill="1" applyBorder="1" applyAlignment="1">
      <alignment horizontal="center"/>
    </xf>
    <xf numFmtId="166" fontId="10" fillId="19" borderId="24" xfId="0" applyNumberFormat="1" applyFont="1" applyFill="1" applyBorder="1" applyAlignment="1">
      <alignment horizontal="center"/>
    </xf>
    <xf numFmtId="166" fontId="10" fillId="0" borderId="8" xfId="0" applyNumberFormat="1" applyFont="1" applyFill="1" applyBorder="1" applyAlignment="1">
      <alignment horizontal="center"/>
    </xf>
    <xf numFmtId="0" fontId="14" fillId="19" borderId="8" xfId="0" applyFont="1" applyFill="1" applyBorder="1" applyAlignment="1" applyProtection="1">
      <alignment horizontal="center"/>
      <protection locked="0"/>
    </xf>
    <xf numFmtId="0" fontId="14" fillId="19" borderId="13" xfId="0" applyFont="1" applyFill="1" applyBorder="1" applyAlignment="1" applyProtection="1">
      <alignment horizontal="center"/>
      <protection locked="0"/>
    </xf>
    <xf numFmtId="166" fontId="0" fillId="19" borderId="0" xfId="0" applyNumberFormat="1" applyFill="1" applyBorder="1" applyAlignment="1">
      <alignment horizontal="center" vertical="center"/>
    </xf>
    <xf numFmtId="166" fontId="0" fillId="19" borderId="13" xfId="0" applyNumberFormat="1" applyFill="1" applyBorder="1" applyAlignment="1">
      <alignment horizontal="center" vertical="center"/>
    </xf>
    <xf numFmtId="166" fontId="10" fillId="19" borderId="8" xfId="0" applyNumberFormat="1" applyFont="1" applyFill="1" applyBorder="1" applyAlignment="1">
      <alignment horizontal="center"/>
    </xf>
    <xf numFmtId="0" fontId="14" fillId="19" borderId="24" xfId="0" applyFont="1" applyFill="1" applyBorder="1" applyAlignment="1" applyProtection="1">
      <alignment horizontal="center"/>
      <protection locked="0"/>
    </xf>
    <xf numFmtId="166" fontId="0" fillId="19" borderId="24" xfId="0" applyNumberFormat="1" applyFill="1" applyBorder="1" applyAlignment="1">
      <alignment horizontal="center" vertical="center"/>
    </xf>
    <xf numFmtId="166" fontId="10" fillId="2" borderId="91" xfId="0" applyNumberFormat="1" applyFont="1" applyFill="1" applyBorder="1" applyAlignment="1" applyProtection="1">
      <alignment horizontal="center" vertical="center"/>
      <protection locked="0"/>
    </xf>
    <xf numFmtId="166" fontId="10" fillId="13" borderId="131" xfId="0" applyNumberFormat="1" applyFont="1" applyFill="1" applyBorder="1" applyAlignment="1" applyProtection="1">
      <alignment horizontal="center" vertical="center"/>
      <protection locked="0"/>
    </xf>
    <xf numFmtId="166" fontId="10" fillId="2" borderId="94" xfId="0" applyNumberFormat="1" applyFont="1" applyFill="1" applyBorder="1" applyAlignment="1" applyProtection="1">
      <alignment horizontal="center" vertical="center"/>
      <protection locked="0"/>
    </xf>
    <xf numFmtId="166" fontId="0" fillId="2" borderId="132" xfId="0" applyNumberFormat="1" applyFill="1" applyBorder="1" applyAlignment="1" applyProtection="1">
      <alignment horizontal="center" vertical="center"/>
      <protection locked="0"/>
    </xf>
    <xf numFmtId="166" fontId="0" fillId="2" borderId="133" xfId="0" applyNumberFormat="1" applyFill="1" applyBorder="1" applyAlignment="1" applyProtection="1">
      <alignment horizontal="center" vertical="center"/>
      <protection locked="0"/>
    </xf>
    <xf numFmtId="166" fontId="0" fillId="2" borderId="131" xfId="0" applyNumberFormat="1" applyFill="1" applyBorder="1" applyAlignment="1" applyProtection="1">
      <alignment horizontal="center" vertical="center"/>
      <protection locked="0"/>
    </xf>
    <xf numFmtId="166" fontId="0" fillId="2" borderId="94" xfId="0" applyNumberFormat="1" applyFill="1" applyBorder="1" applyAlignment="1" applyProtection="1">
      <alignment horizontal="center" vertical="center"/>
      <protection locked="0"/>
    </xf>
    <xf numFmtId="166" fontId="0" fillId="2" borderId="97" xfId="0" applyNumberFormat="1" applyFill="1" applyBorder="1" applyAlignment="1" applyProtection="1">
      <alignment horizontal="center" vertical="center"/>
      <protection locked="0"/>
    </xf>
    <xf numFmtId="166" fontId="0" fillId="2" borderId="91" xfId="0" applyNumberFormat="1" applyFill="1" applyBorder="1" applyAlignment="1" applyProtection="1">
      <alignment horizontal="center" vertical="center"/>
      <protection locked="0"/>
    </xf>
    <xf numFmtId="166" fontId="10" fillId="2" borderId="92" xfId="0" applyNumberFormat="1" applyFont="1" applyFill="1" applyBorder="1" applyAlignment="1" applyProtection="1">
      <alignment horizontal="center" vertical="center"/>
      <protection locked="0"/>
    </xf>
    <xf numFmtId="166" fontId="10" fillId="13" borderId="134" xfId="0" applyNumberFormat="1" applyFont="1" applyFill="1" applyBorder="1" applyAlignment="1" applyProtection="1">
      <alignment horizontal="center" vertical="center"/>
      <protection locked="0"/>
    </xf>
    <xf numFmtId="166" fontId="10" fillId="2" borderId="95" xfId="0" applyNumberFormat="1" applyFont="1" applyFill="1" applyBorder="1" applyAlignment="1" applyProtection="1">
      <alignment horizontal="center" vertical="center"/>
      <protection locked="0"/>
    </xf>
    <xf numFmtId="166" fontId="0" fillId="2" borderId="135" xfId="0" applyNumberFormat="1" applyFill="1" applyBorder="1" applyAlignment="1" applyProtection="1">
      <alignment horizontal="center" vertical="center"/>
      <protection locked="0"/>
    </xf>
    <xf numFmtId="166" fontId="10" fillId="2" borderId="111" xfId="0" applyNumberFormat="1" applyFont="1" applyFill="1" applyBorder="1" applyAlignment="1" applyProtection="1">
      <alignment horizontal="center" vertical="center"/>
      <protection locked="0"/>
    </xf>
    <xf numFmtId="166" fontId="0" fillId="2" borderId="134" xfId="0" applyNumberFormat="1" applyFill="1" applyBorder="1" applyAlignment="1" applyProtection="1">
      <alignment horizontal="center" vertical="center"/>
      <protection locked="0"/>
    </xf>
    <xf numFmtId="166" fontId="0" fillId="2" borderId="95" xfId="0" applyNumberFormat="1" applyFill="1" applyBorder="1" applyAlignment="1" applyProtection="1">
      <alignment horizontal="center" vertical="center"/>
      <protection locked="0"/>
    </xf>
    <xf numFmtId="166" fontId="0" fillId="2" borderId="98" xfId="0" applyNumberFormat="1" applyFill="1" applyBorder="1" applyAlignment="1" applyProtection="1">
      <alignment horizontal="center" vertical="center"/>
      <protection locked="0"/>
    </xf>
    <xf numFmtId="166" fontId="0" fillId="2" borderId="92" xfId="0" applyNumberFormat="1" applyFill="1" applyBorder="1" applyAlignment="1" applyProtection="1">
      <alignment horizontal="center" vertical="center"/>
      <protection locked="0"/>
    </xf>
    <xf numFmtId="166" fontId="10" fillId="2" borderId="93" xfId="0" applyNumberFormat="1" applyFont="1" applyFill="1" applyBorder="1" applyAlignment="1" applyProtection="1">
      <alignment horizontal="center" vertical="center"/>
      <protection locked="0"/>
    </xf>
    <xf numFmtId="166" fontId="10" fillId="13" borderId="136" xfId="0" applyNumberFormat="1" applyFont="1" applyFill="1" applyBorder="1" applyAlignment="1" applyProtection="1">
      <alignment horizontal="center" vertical="center"/>
      <protection locked="0"/>
    </xf>
    <xf numFmtId="166" fontId="10" fillId="2" borderId="96" xfId="0" applyNumberFormat="1" applyFont="1" applyFill="1" applyBorder="1" applyAlignment="1" applyProtection="1">
      <alignment horizontal="center" vertical="center"/>
      <protection locked="0"/>
    </xf>
    <xf numFmtId="166" fontId="0" fillId="2" borderId="137" xfId="0" applyNumberFormat="1" applyFill="1" applyBorder="1" applyAlignment="1" applyProtection="1">
      <alignment horizontal="center" vertical="center"/>
      <protection locked="0"/>
    </xf>
    <xf numFmtId="166" fontId="0" fillId="2" borderId="138" xfId="0" applyNumberFormat="1" applyFill="1" applyBorder="1" applyAlignment="1" applyProtection="1">
      <alignment horizontal="center" vertical="center"/>
      <protection locked="0"/>
    </xf>
    <xf numFmtId="166" fontId="0" fillId="2" borderId="136" xfId="0" applyNumberFormat="1" applyFill="1" applyBorder="1" applyAlignment="1" applyProtection="1">
      <alignment horizontal="center" vertical="center"/>
      <protection locked="0"/>
    </xf>
    <xf numFmtId="166" fontId="0" fillId="2" borderId="96" xfId="0" applyNumberFormat="1" applyFill="1" applyBorder="1" applyAlignment="1" applyProtection="1">
      <alignment horizontal="center" vertical="center"/>
      <protection locked="0"/>
    </xf>
    <xf numFmtId="166" fontId="0" fillId="2" borderId="99" xfId="0" applyNumberFormat="1" applyFill="1" applyBorder="1" applyAlignment="1" applyProtection="1">
      <alignment horizontal="center" vertical="center"/>
      <protection locked="0"/>
    </xf>
    <xf numFmtId="166" fontId="0" fillId="2" borderId="93" xfId="0" applyNumberFormat="1" applyFill="1" applyBorder="1" applyAlignment="1" applyProtection="1">
      <alignment horizontal="center" vertical="center"/>
      <protection locked="0"/>
    </xf>
    <xf numFmtId="0" fontId="4" fillId="15" borderId="1" xfId="0" applyFont="1" applyFill="1" applyBorder="1" applyAlignment="1" applyProtection="1">
      <alignment vertical="center"/>
    </xf>
    <xf numFmtId="0" fontId="4" fillId="15" borderId="5" xfId="0" applyFont="1" applyFill="1" applyBorder="1" applyAlignment="1" applyProtection="1">
      <alignment vertical="center"/>
    </xf>
    <xf numFmtId="0" fontId="4" fillId="15" borderId="5" xfId="0" applyFont="1" applyFill="1" applyBorder="1" applyAlignment="1" applyProtection="1">
      <alignment horizontal="center" vertical="center"/>
    </xf>
    <xf numFmtId="0" fontId="10" fillId="0" borderId="0" xfId="7" applyFont="1" applyFill="1" applyBorder="1" applyAlignment="1" applyProtection="1"/>
    <xf numFmtId="0" fontId="61" fillId="0" borderId="0" xfId="7" applyFont="1" applyFill="1" applyAlignment="1">
      <alignment vertical="center"/>
    </xf>
    <xf numFmtId="0" fontId="10" fillId="0" borderId="28" xfId="7" applyFont="1" applyBorder="1" applyAlignment="1" applyProtection="1">
      <alignment horizontal="center" vertical="center"/>
    </xf>
    <xf numFmtId="0" fontId="0" fillId="0" borderId="48" xfId="0" applyBorder="1" applyAlignment="1" applyProtection="1">
      <alignment horizontal="center" vertical="center"/>
    </xf>
    <xf numFmtId="0" fontId="2" fillId="0" borderId="2" xfId="7" applyFont="1" applyBorder="1" applyProtection="1"/>
    <xf numFmtId="0" fontId="10" fillId="0" borderId="139" xfId="7" applyFont="1" applyBorder="1" applyAlignment="1" applyProtection="1">
      <alignment horizontal="center" vertical="center"/>
    </xf>
    <xf numFmtId="0" fontId="10" fillId="0" borderId="140"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16" xfId="7" applyFont="1" applyBorder="1" applyAlignment="1" applyProtection="1">
      <alignment horizontal="center" vertical="center"/>
    </xf>
    <xf numFmtId="0" fontId="2" fillId="0" borderId="26" xfId="7" applyFont="1" applyBorder="1" applyProtection="1"/>
    <xf numFmtId="0" fontId="10" fillId="23" borderId="141" xfId="7" applyFont="1" applyFill="1" applyBorder="1" applyAlignment="1" applyProtection="1">
      <alignment vertical="center"/>
    </xf>
    <xf numFmtId="0" fontId="10" fillId="0" borderId="54" xfId="7" applyFont="1" applyFill="1" applyBorder="1" applyAlignment="1" applyProtection="1">
      <alignment vertical="center"/>
    </xf>
    <xf numFmtId="0" fontId="10" fillId="0" borderId="17" xfId="7" applyFont="1" applyFill="1" applyBorder="1" applyAlignment="1" applyProtection="1">
      <alignment vertical="center"/>
    </xf>
    <xf numFmtId="0" fontId="10" fillId="0" borderId="55" xfId="7" applyFont="1" applyFill="1" applyBorder="1" applyAlignment="1" applyProtection="1">
      <alignment vertical="center"/>
    </xf>
    <xf numFmtId="0" fontId="2" fillId="13" borderId="142" xfId="0" applyFont="1" applyFill="1" applyBorder="1" applyAlignment="1" applyProtection="1">
      <alignment horizontal="center" vertical="center"/>
      <protection locked="0"/>
    </xf>
    <xf numFmtId="0" fontId="2" fillId="13" borderId="87" xfId="7" applyFont="1" applyFill="1" applyBorder="1" applyAlignment="1" applyProtection="1">
      <alignment horizontal="center"/>
      <protection locked="0"/>
    </xf>
    <xf numFmtId="0" fontId="5" fillId="0" borderId="1" xfId="0" applyFont="1" applyBorder="1" applyAlignment="1" applyProtection="1">
      <alignment vertical="center"/>
    </xf>
    <xf numFmtId="0" fontId="5" fillId="0" borderId="5" xfId="0" applyFont="1" applyBorder="1" applyAlignment="1" applyProtection="1">
      <alignment vertical="center"/>
    </xf>
    <xf numFmtId="0" fontId="5" fillId="0" borderId="5" xfId="0" applyFont="1" applyBorder="1" applyAlignment="1" applyProtection="1">
      <alignment horizontal="center" vertical="center"/>
    </xf>
    <xf numFmtId="0" fontId="5" fillId="0" borderId="1" xfId="0" applyFont="1" applyFill="1" applyBorder="1" applyAlignment="1" applyProtection="1">
      <alignment vertical="center"/>
    </xf>
    <xf numFmtId="1" fontId="2" fillId="0" borderId="92" xfId="0" applyNumberFormat="1" applyFont="1" applyBorder="1" applyAlignment="1" applyProtection="1">
      <alignment horizontal="center" vertical="center"/>
      <protection hidden="1"/>
    </xf>
    <xf numFmtId="1" fontId="2" fillId="0" borderId="64" xfId="0" applyNumberFormat="1" applyFont="1" applyFill="1" applyBorder="1" applyAlignment="1" applyProtection="1">
      <alignment horizontal="center" vertical="center"/>
      <protection hidden="1"/>
    </xf>
    <xf numFmtId="2" fontId="5" fillId="0" borderId="7" xfId="0" applyNumberFormat="1" applyFont="1" applyFill="1" applyBorder="1" applyAlignment="1" applyProtection="1">
      <alignment horizontal="center" vertical="center"/>
      <protection hidden="1"/>
    </xf>
    <xf numFmtId="2" fontId="5" fillId="0" borderId="42" xfId="0" applyNumberFormat="1" applyFont="1" applyBorder="1" applyAlignment="1" applyProtection="1">
      <alignment horizontal="center" vertical="center"/>
      <protection hidden="1"/>
    </xf>
    <xf numFmtId="2" fontId="5" fillId="0" borderId="28" xfId="0" applyNumberFormat="1" applyFont="1" applyFill="1" applyBorder="1" applyAlignment="1" applyProtection="1">
      <alignment horizontal="center" vertical="center"/>
      <protection hidden="1"/>
    </xf>
    <xf numFmtId="0" fontId="10" fillId="0" borderId="1" xfId="7" applyNumberFormat="1" applyFont="1" applyBorder="1" applyAlignment="1" applyProtection="1">
      <alignment horizontal="center"/>
      <protection hidden="1"/>
    </xf>
    <xf numFmtId="1" fontId="10" fillId="23" borderId="143" xfId="7" applyNumberFormat="1" applyFont="1" applyFill="1" applyBorder="1" applyAlignment="1" applyProtection="1">
      <alignment horizontal="center" vertical="center"/>
      <protection hidden="1"/>
    </xf>
    <xf numFmtId="2" fontId="10" fillId="23" borderId="36" xfId="7" applyNumberFormat="1" applyFont="1" applyFill="1" applyBorder="1" applyAlignment="1" applyProtection="1">
      <alignment horizontal="center" vertical="center"/>
      <protection hidden="1"/>
    </xf>
    <xf numFmtId="2" fontId="10" fillId="23" borderId="37" xfId="7" applyNumberFormat="1" applyFont="1" applyFill="1" applyBorder="1" applyAlignment="1" applyProtection="1">
      <alignment horizontal="center" vertical="center"/>
      <protection hidden="1"/>
    </xf>
    <xf numFmtId="2" fontId="10" fillId="23" borderId="144" xfId="7" applyNumberFormat="1" applyFont="1" applyFill="1" applyBorder="1" applyAlignment="1" applyProtection="1">
      <alignment horizontal="center" vertical="center"/>
      <protection hidden="1"/>
    </xf>
    <xf numFmtId="1" fontId="10" fillId="0" borderId="59" xfId="7" applyNumberFormat="1" applyFont="1" applyFill="1" applyBorder="1" applyAlignment="1" applyProtection="1">
      <alignment horizontal="center" vertical="center"/>
      <protection hidden="1"/>
    </xf>
    <xf numFmtId="2" fontId="10" fillId="0" borderId="51" xfId="7" applyNumberFormat="1" applyFont="1" applyFill="1" applyBorder="1" applyAlignment="1" applyProtection="1">
      <alignment horizontal="center" vertical="center"/>
      <protection hidden="1"/>
    </xf>
    <xf numFmtId="1" fontId="2" fillId="0" borderId="49" xfId="0" applyNumberFormat="1" applyFont="1" applyFill="1" applyBorder="1" applyAlignment="1" applyProtection="1">
      <alignment horizontal="center" vertical="center"/>
      <protection hidden="1"/>
    </xf>
    <xf numFmtId="1" fontId="4" fillId="0" borderId="64" xfId="0" applyNumberFormat="1" applyFont="1" applyFill="1" applyBorder="1" applyAlignment="1" applyProtection="1">
      <alignment horizontal="center" vertical="center"/>
      <protection hidden="1"/>
    </xf>
    <xf numFmtId="1" fontId="2" fillId="0" borderId="91" xfId="0" applyNumberFormat="1" applyFont="1" applyFill="1" applyBorder="1" applyAlignment="1" applyProtection="1">
      <alignment horizontal="center" vertical="center"/>
      <protection hidden="1"/>
    </xf>
    <xf numFmtId="1" fontId="2" fillId="0" borderId="92" xfId="0" applyNumberFormat="1" applyFont="1" applyFill="1" applyBorder="1" applyAlignment="1" applyProtection="1">
      <alignment horizontal="center" vertical="center"/>
      <protection hidden="1"/>
    </xf>
    <xf numFmtId="1" fontId="2" fillId="0" borderId="93" xfId="0" applyNumberFormat="1" applyFont="1" applyFill="1" applyBorder="1" applyAlignment="1" applyProtection="1">
      <alignment horizontal="center" vertical="center"/>
      <protection hidden="1"/>
    </xf>
    <xf numFmtId="1" fontId="2" fillId="0" borderId="97" xfId="0" applyNumberFormat="1" applyFont="1" applyFill="1" applyBorder="1" applyAlignment="1" applyProtection="1">
      <alignment horizontal="center" vertical="center"/>
      <protection hidden="1"/>
    </xf>
    <xf numFmtId="1" fontId="2" fillId="0" borderId="98" xfId="0" applyNumberFormat="1" applyFont="1" applyFill="1" applyBorder="1" applyAlignment="1" applyProtection="1">
      <alignment horizontal="center" vertical="center"/>
      <protection hidden="1"/>
    </xf>
    <xf numFmtId="1" fontId="2" fillId="0" borderId="99" xfId="0" applyNumberFormat="1" applyFont="1" applyFill="1" applyBorder="1" applyAlignment="1" applyProtection="1">
      <alignment horizontal="center" vertical="center"/>
      <protection hidden="1"/>
    </xf>
    <xf numFmtId="1" fontId="5" fillId="0" borderId="64" xfId="0" applyNumberFormat="1" applyFont="1" applyFill="1" applyBorder="1" applyAlignment="1" applyProtection="1">
      <alignment horizontal="center" vertical="center"/>
      <protection hidden="1"/>
    </xf>
    <xf numFmtId="1" fontId="5" fillId="0" borderId="11"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1" fontId="2" fillId="0" borderId="12" xfId="0" applyNumberFormat="1" applyFont="1" applyFill="1" applyBorder="1" applyAlignment="1" applyProtection="1">
      <alignment horizontal="center" vertical="center"/>
      <protection hidden="1"/>
    </xf>
    <xf numFmtId="0" fontId="4" fillId="15" borderId="1" xfId="0" applyFont="1" applyFill="1" applyBorder="1" applyAlignment="1" applyProtection="1">
      <alignment horizontal="center" vertical="center"/>
      <protection hidden="1"/>
    </xf>
    <xf numFmtId="0" fontId="4" fillId="15" borderId="64" xfId="0" applyFont="1" applyFill="1" applyBorder="1" applyAlignment="1" applyProtection="1">
      <alignment horizontal="center" vertical="center"/>
      <protection hidden="1"/>
    </xf>
    <xf numFmtId="49" fontId="10" fillId="0" borderId="0" xfId="0" applyNumberFormat="1" applyFont="1" applyFill="1" applyBorder="1" applyAlignment="1" applyProtection="1">
      <alignment horizontal="left" vertical="center"/>
      <protection hidden="1"/>
    </xf>
    <xf numFmtId="49" fontId="0" fillId="0" borderId="0" xfId="0" applyNumberFormat="1" applyFill="1" applyBorder="1" applyAlignment="1" applyProtection="1">
      <alignment horizontal="left" vertical="center"/>
      <protection hidden="1"/>
    </xf>
    <xf numFmtId="0" fontId="32" fillId="0" borderId="0" xfId="0" applyFont="1" applyProtection="1">
      <protection hidden="1"/>
    </xf>
    <xf numFmtId="0" fontId="43" fillId="0" borderId="0" xfId="0" applyFont="1" applyAlignment="1" applyProtection="1">
      <alignment vertical="center"/>
      <protection hidden="1"/>
    </xf>
    <xf numFmtId="1" fontId="4" fillId="23" borderId="64" xfId="0" applyNumberFormat="1" applyFont="1" applyFill="1" applyBorder="1" applyAlignment="1" applyProtection="1">
      <alignment horizontal="center" vertical="center"/>
      <protection hidden="1"/>
    </xf>
    <xf numFmtId="0" fontId="5" fillId="0" borderId="0" xfId="0" applyFont="1" applyBorder="1" applyAlignment="1" applyProtection="1">
      <alignment vertical="center"/>
    </xf>
    <xf numFmtId="0" fontId="14" fillId="0" borderId="0" xfId="0" applyFont="1" applyFill="1" applyAlignment="1" applyProtection="1">
      <alignment horizontal="center"/>
      <protection locked="0"/>
    </xf>
    <xf numFmtId="166" fontId="0" fillId="0" borderId="0" xfId="0" applyNumberFormat="1" applyFill="1" applyAlignment="1">
      <alignment horizontal="center" vertical="center"/>
    </xf>
    <xf numFmtId="166" fontId="10" fillId="22" borderId="23" xfId="26" applyNumberFormat="1" applyFont="1" applyFill="1" applyBorder="1" applyAlignment="1">
      <alignment horizontal="center"/>
    </xf>
    <xf numFmtId="2" fontId="10" fillId="16" borderId="24" xfId="0" applyNumberFormat="1" applyFont="1" applyFill="1" applyBorder="1" applyAlignment="1" applyProtection="1">
      <alignment horizontal="center" vertical="center"/>
    </xf>
    <xf numFmtId="166" fontId="10" fillId="22" borderId="24" xfId="0" applyNumberFormat="1" applyFont="1" applyFill="1" applyBorder="1" applyAlignment="1">
      <alignment horizontal="center"/>
    </xf>
    <xf numFmtId="166" fontId="10" fillId="22" borderId="0" xfId="0" applyNumberFormat="1" applyFont="1" applyFill="1" applyBorder="1" applyAlignment="1">
      <alignment horizontal="center"/>
    </xf>
    <xf numFmtId="166" fontId="10" fillId="22" borderId="13" xfId="0" applyNumberFormat="1" applyFont="1" applyFill="1" applyBorder="1" applyAlignment="1">
      <alignment horizontal="center"/>
    </xf>
    <xf numFmtId="0" fontId="43" fillId="0" borderId="0"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1" fontId="2" fillId="0" borderId="0" xfId="0" applyNumberFormat="1" applyFont="1" applyBorder="1" applyAlignment="1" applyProtection="1">
      <alignment horizontal="center" vertical="center"/>
      <protection hidden="1"/>
    </xf>
    <xf numFmtId="0" fontId="59" fillId="23" borderId="5" xfId="0" applyFont="1" applyFill="1" applyBorder="1" applyAlignment="1" applyProtection="1">
      <alignment horizontal="left" vertical="center"/>
      <protection hidden="1"/>
    </xf>
    <xf numFmtId="0" fontId="2" fillId="0" borderId="1"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166" fontId="5" fillId="0" borderId="0" xfId="0" applyNumberFormat="1" applyFont="1" applyBorder="1" applyAlignment="1" applyProtection="1">
      <alignment horizontal="left" vertical="center"/>
      <protection hidden="1"/>
    </xf>
    <xf numFmtId="1" fontId="2" fillId="0" borderId="145" xfId="0" applyNumberFormat="1" applyFont="1" applyBorder="1" applyAlignment="1" applyProtection="1">
      <alignment horizontal="center" vertical="center"/>
      <protection hidden="1"/>
    </xf>
    <xf numFmtId="1" fontId="2" fillId="0" borderId="146" xfId="0" applyNumberFormat="1" applyFont="1" applyBorder="1" applyAlignment="1" applyProtection="1">
      <alignment horizontal="center" vertical="center"/>
      <protection hidden="1"/>
    </xf>
    <xf numFmtId="1" fontId="2" fillId="0" borderId="147" xfId="0" applyNumberFormat="1" applyFont="1" applyBorder="1" applyAlignment="1" applyProtection="1">
      <alignment horizontal="center" vertical="center"/>
      <protection hidden="1"/>
    </xf>
    <xf numFmtId="0" fontId="2" fillId="2" borderId="148" xfId="0" applyFont="1" applyFill="1" applyBorder="1" applyAlignment="1" applyProtection="1">
      <alignment horizontal="center" vertical="center"/>
      <protection locked="0"/>
    </xf>
    <xf numFmtId="1" fontId="0" fillId="4" borderId="88" xfId="0" applyNumberForma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0" fillId="0" borderId="0" xfId="0" applyAlignment="1" applyProtection="1">
      <alignment vertical="center"/>
      <protection locked="0" hidden="1"/>
    </xf>
    <xf numFmtId="0" fontId="0" fillId="0" borderId="0" xfId="0" applyFill="1" applyAlignment="1" applyProtection="1">
      <alignment vertical="center"/>
      <protection locked="0" hidden="1"/>
    </xf>
    <xf numFmtId="0" fontId="58" fillId="0" borderId="0" xfId="0" applyFont="1" applyAlignment="1" applyProtection="1">
      <alignment vertical="center"/>
      <protection hidden="1"/>
    </xf>
    <xf numFmtId="0" fontId="0" fillId="0" borderId="64" xfId="0" applyBorder="1" applyAlignment="1" applyProtection="1">
      <alignment vertical="center"/>
      <protection locked="0" hidden="1"/>
    </xf>
    <xf numFmtId="0" fontId="10" fillId="0" borderId="7" xfId="0" applyFont="1" applyBorder="1" applyAlignment="1" applyProtection="1">
      <alignment vertical="center"/>
      <protection locked="0" hidden="1"/>
    </xf>
    <xf numFmtId="2" fontId="0" fillId="0" borderId="0" xfId="0" applyNumberFormat="1" applyAlignment="1" applyProtection="1">
      <alignment vertical="center"/>
      <protection locked="0" hidden="1"/>
    </xf>
    <xf numFmtId="0" fontId="0" fillId="0" borderId="0" xfId="0" applyFill="1" applyBorder="1" applyAlignment="1" applyProtection="1">
      <alignment vertical="center"/>
      <protection locked="0" hidden="1"/>
    </xf>
    <xf numFmtId="0" fontId="15" fillId="0" borderId="0" xfId="0" applyFont="1" applyAlignment="1" applyProtection="1">
      <alignment vertical="center"/>
      <protection locked="0" hidden="1"/>
    </xf>
    <xf numFmtId="0" fontId="15" fillId="0" borderId="0" xfId="0" applyFont="1" applyFill="1" applyAlignment="1" applyProtection="1">
      <alignment vertical="center"/>
      <protection locked="0" hidden="1"/>
    </xf>
    <xf numFmtId="0" fontId="14" fillId="0" borderId="0" xfId="0" applyFont="1" applyAlignment="1" applyProtection="1">
      <alignment vertical="center"/>
      <protection locked="0" hidden="1"/>
    </xf>
    <xf numFmtId="0" fontId="14" fillId="0" borderId="0" xfId="0" applyFont="1" applyFill="1" applyAlignment="1" applyProtection="1">
      <alignment vertical="center"/>
      <protection locked="0" hidden="1"/>
    </xf>
    <xf numFmtId="0" fontId="0" fillId="0" borderId="0" xfId="0" applyFill="1" applyBorder="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2" fillId="0" borderId="0" xfId="0" applyFont="1" applyFill="1" applyBorder="1" applyAlignment="1" applyProtection="1">
      <alignment horizontal="left" vertical="center"/>
      <protection locked="0" hidden="1"/>
    </xf>
    <xf numFmtId="0" fontId="2" fillId="0" borderId="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10" fillId="0" borderId="34" xfId="0" applyFont="1" applyFill="1" applyBorder="1" applyAlignment="1" applyProtection="1">
      <alignment horizontal="center" vertical="center"/>
      <protection locked="0" hidden="1"/>
    </xf>
    <xf numFmtId="0" fontId="10" fillId="0" borderId="31" xfId="0" applyFont="1" applyFill="1" applyBorder="1" applyAlignment="1" applyProtection="1">
      <alignment horizontal="center" vertical="center"/>
      <protection locked="0" hidden="1"/>
    </xf>
    <xf numFmtId="0" fontId="10" fillId="0" borderId="44" xfId="0" applyFont="1" applyFill="1" applyBorder="1" applyAlignment="1" applyProtection="1">
      <alignment horizontal="center" vertical="center"/>
      <protection locked="0" hidden="1"/>
    </xf>
    <xf numFmtId="0" fontId="10" fillId="18" borderId="31" xfId="0" applyFont="1" applyFill="1" applyBorder="1" applyAlignment="1" applyProtection="1">
      <alignment horizontal="center" vertical="center"/>
      <protection locked="0" hidden="1"/>
    </xf>
    <xf numFmtId="0" fontId="0" fillId="0" borderId="31" xfId="0" applyFill="1" applyBorder="1" applyAlignment="1" applyProtection="1">
      <alignment horizontal="center" vertical="center"/>
      <protection locked="0" hidden="1"/>
    </xf>
    <xf numFmtId="0" fontId="0" fillId="0" borderId="44" xfId="0" applyFill="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10" fillId="0" borderId="24" xfId="0" applyFont="1" applyFill="1" applyBorder="1" applyAlignment="1" applyProtection="1">
      <alignment horizontal="center" vertical="center"/>
      <protection locked="0" hidden="1"/>
    </xf>
    <xf numFmtId="0" fontId="0" fillId="18" borderId="0" xfId="0" applyFill="1" applyBorder="1" applyAlignment="1" applyProtection="1">
      <alignment horizontal="center" vertical="center"/>
      <protection locked="0" hidden="1"/>
    </xf>
    <xf numFmtId="0" fontId="10" fillId="18" borderId="0" xfId="0" applyFont="1" applyFill="1" applyBorder="1" applyAlignment="1" applyProtection="1">
      <alignment horizontal="center" vertical="center"/>
      <protection locked="0" hidden="1"/>
    </xf>
    <xf numFmtId="0" fontId="10" fillId="0" borderId="8" xfId="0" applyFont="1" applyFill="1" applyBorder="1" applyAlignment="1" applyProtection="1">
      <alignment horizontal="center" vertical="center"/>
      <protection locked="0" hidden="1"/>
    </xf>
    <xf numFmtId="0" fontId="0" fillId="0" borderId="8" xfId="0" applyFill="1" applyBorder="1" applyAlignment="1" applyProtection="1">
      <alignment horizontal="center" vertical="center"/>
      <protection locked="0" hidden="1"/>
    </xf>
    <xf numFmtId="0" fontId="0" fillId="0" borderId="24" xfId="0" applyBorder="1" applyAlignment="1" applyProtection="1">
      <alignment vertical="center"/>
      <protection locked="0" hidden="1"/>
    </xf>
    <xf numFmtId="0" fontId="0" fillId="0" borderId="0" xfId="0" applyBorder="1" applyAlignment="1" applyProtection="1">
      <alignment vertical="center"/>
      <protection locked="0" hidden="1"/>
    </xf>
    <xf numFmtId="0" fontId="0" fillId="0" borderId="13" xfId="0" applyBorder="1" applyAlignment="1" applyProtection="1">
      <alignment vertical="center"/>
      <protection locked="0" hidden="1"/>
    </xf>
    <xf numFmtId="0" fontId="0" fillId="0" borderId="34"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18" borderId="0" xfId="0" applyFill="1" applyAlignment="1" applyProtection="1">
      <alignment vertical="center"/>
      <protection locked="0" hidden="1"/>
    </xf>
    <xf numFmtId="0" fontId="10" fillId="0" borderId="77" xfId="0" applyFont="1" applyFill="1" applyBorder="1" applyAlignment="1" applyProtection="1">
      <alignment horizontal="center" vertical="center"/>
      <protection locked="0" hidden="1"/>
    </xf>
    <xf numFmtId="0" fontId="10" fillId="0" borderId="40" xfId="0" applyFont="1" applyFill="1" applyBorder="1" applyAlignment="1" applyProtection="1">
      <alignment horizontal="center" vertical="center"/>
      <protection locked="0" hidden="1"/>
    </xf>
    <xf numFmtId="0" fontId="10" fillId="0" borderId="6" xfId="0" applyFont="1" applyFill="1" applyBorder="1" applyAlignment="1" applyProtection="1">
      <alignment horizontal="center" vertical="center"/>
      <protection locked="0" hidden="1"/>
    </xf>
    <xf numFmtId="0" fontId="10" fillId="0" borderId="28" xfId="0" applyFont="1" applyFill="1" applyBorder="1" applyAlignment="1" applyProtection="1">
      <alignment horizontal="center" vertical="center"/>
      <protection locked="0" hidden="1"/>
    </xf>
    <xf numFmtId="1" fontId="0" fillId="0" borderId="0" xfId="0" applyNumberFormat="1" applyFill="1" applyBorder="1" applyAlignment="1" applyProtection="1">
      <alignment horizontal="center" vertical="center"/>
      <protection locked="0" hidden="1"/>
    </xf>
    <xf numFmtId="0" fontId="0" fillId="0" borderId="8" xfId="0" applyNumberFormat="1" applyFill="1" applyBorder="1" applyAlignment="1" applyProtection="1">
      <alignment horizontal="center" vertical="center"/>
      <protection locked="0" hidden="1"/>
    </xf>
    <xf numFmtId="0" fontId="0" fillId="0" borderId="14" xfId="1" applyNumberFormat="1" applyFont="1" applyFill="1" applyBorder="1" applyAlignment="1" applyProtection="1">
      <alignment horizontal="center" vertical="center"/>
      <protection locked="0" hidden="1"/>
    </xf>
    <xf numFmtId="1" fontId="0" fillId="0" borderId="24" xfId="0" applyNumberFormat="1" applyFill="1" applyBorder="1" applyAlignment="1" applyProtection="1">
      <alignment horizontal="center" vertical="center"/>
      <protection locked="0" hidden="1"/>
    </xf>
    <xf numFmtId="1" fontId="0" fillId="0" borderId="13" xfId="0" applyNumberFormat="1" applyFill="1" applyBorder="1" applyAlignment="1" applyProtection="1">
      <alignment horizontal="center" vertical="center"/>
      <protection locked="0" hidden="1"/>
    </xf>
    <xf numFmtId="166" fontId="0" fillId="18" borderId="0" xfId="0" applyNumberFormat="1" applyFill="1" applyBorder="1" applyAlignment="1" applyProtection="1">
      <alignment horizontal="center" vertical="center"/>
      <protection locked="0" hidden="1"/>
    </xf>
    <xf numFmtId="166" fontId="0" fillId="0" borderId="0" xfId="0" applyNumberFormat="1" applyFill="1" applyBorder="1" applyAlignment="1" applyProtection="1">
      <alignment horizontal="center" vertical="center"/>
      <protection locked="0" hidden="1"/>
    </xf>
    <xf numFmtId="166" fontId="0" fillId="0" borderId="13" xfId="0" applyNumberFormat="1" applyFill="1" applyBorder="1" applyAlignment="1" applyProtection="1">
      <alignment horizontal="center" vertical="center"/>
      <protection locked="0" hidden="1"/>
    </xf>
    <xf numFmtId="165" fontId="0" fillId="0" borderId="24" xfId="0" applyNumberFormat="1" applyFill="1" applyBorder="1" applyAlignment="1" applyProtection="1">
      <alignment horizontal="center" vertical="center"/>
      <protection locked="0" hidden="1"/>
    </xf>
    <xf numFmtId="165" fontId="0" fillId="0" borderId="13" xfId="0" applyNumberFormat="1" applyFill="1" applyBorder="1" applyAlignment="1" applyProtection="1">
      <alignment horizontal="center" vertical="center"/>
      <protection locked="0" hidden="1"/>
    </xf>
    <xf numFmtId="166" fontId="0" fillId="0" borderId="24" xfId="0" applyNumberFormat="1" applyFill="1" applyBorder="1" applyAlignment="1" applyProtection="1">
      <alignment horizontal="center" vertical="center"/>
      <protection locked="0" hidden="1"/>
    </xf>
    <xf numFmtId="166" fontId="0" fillId="0" borderId="8" xfId="0" applyNumberFormat="1" applyFill="1" applyBorder="1" applyAlignment="1" applyProtection="1">
      <alignment horizontal="center" vertical="center"/>
      <protection locked="0" hidden="1"/>
    </xf>
    <xf numFmtId="1" fontId="0" fillId="0" borderId="8" xfId="0" applyNumberFormat="1" applyFill="1" applyBorder="1" applyAlignment="1" applyProtection="1">
      <alignment horizontal="center" vertical="center"/>
      <protection locked="0" hidden="1"/>
    </xf>
    <xf numFmtId="166" fontId="0" fillId="14" borderId="13" xfId="0" applyNumberFormat="1" applyFill="1" applyBorder="1" applyAlignment="1" applyProtection="1">
      <alignment horizontal="center" vertical="center"/>
      <protection locked="0" hidden="1"/>
    </xf>
    <xf numFmtId="1" fontId="0" fillId="0" borderId="34" xfId="0" applyNumberFormat="1" applyFill="1" applyBorder="1" applyAlignment="1" applyProtection="1">
      <alignment horizontal="center" vertical="center"/>
      <protection locked="0" hidden="1"/>
    </xf>
    <xf numFmtId="1" fontId="0" fillId="0" borderId="44" xfId="0" applyNumberFormat="1" applyFill="1" applyBorder="1" applyAlignment="1" applyProtection="1">
      <alignment horizontal="center" vertical="center"/>
      <protection locked="0" hidden="1"/>
    </xf>
    <xf numFmtId="1" fontId="0" fillId="18" borderId="0" xfId="0" applyNumberFormat="1" applyFill="1" applyBorder="1" applyAlignment="1" applyProtection="1">
      <alignment horizontal="center" vertical="center"/>
      <protection locked="0" hidden="1"/>
    </xf>
    <xf numFmtId="0" fontId="0" fillId="14" borderId="0" xfId="0" applyFill="1" applyBorder="1" applyAlignment="1" applyProtection="1">
      <alignment horizontal="center" vertical="center"/>
      <protection locked="0" hidden="1"/>
    </xf>
    <xf numFmtId="1" fontId="0" fillId="0" borderId="33" xfId="0" applyNumberFormat="1" applyFill="1" applyBorder="1" applyAlignment="1" applyProtection="1">
      <alignment horizontal="center" vertical="center"/>
      <protection locked="0" hidden="1"/>
    </xf>
    <xf numFmtId="0" fontId="0" fillId="4" borderId="8" xfId="0" applyFill="1" applyBorder="1" applyAlignment="1" applyProtection="1">
      <alignment horizontal="center" vertical="center"/>
      <protection locked="0" hidden="1"/>
    </xf>
    <xf numFmtId="1" fontId="0" fillId="4" borderId="24" xfId="0" applyNumberFormat="1" applyFill="1" applyBorder="1" applyAlignment="1" applyProtection="1">
      <alignment horizontal="center" vertical="center"/>
      <protection locked="0" hidden="1"/>
    </xf>
    <xf numFmtId="1" fontId="0" fillId="4" borderId="13" xfId="0" applyNumberFormat="1" applyFill="1" applyBorder="1" applyAlignment="1" applyProtection="1">
      <alignment horizontal="center" vertical="center"/>
      <protection locked="0" hidden="1"/>
    </xf>
    <xf numFmtId="1" fontId="0" fillId="0" borderId="86" xfId="0" applyNumberFormat="1" applyFill="1" applyBorder="1" applyAlignment="1" applyProtection="1">
      <alignment horizontal="center" vertical="center"/>
      <protection locked="0" hidden="1"/>
    </xf>
    <xf numFmtId="1" fontId="0" fillId="0" borderId="42" xfId="0" applyNumberForma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protection locked="0" hidden="1"/>
    </xf>
    <xf numFmtId="0" fontId="2" fillId="0" borderId="24" xfId="0" applyFont="1" applyFill="1" applyBorder="1" applyAlignment="1" applyProtection="1">
      <alignment horizontal="center" vertical="center"/>
      <protection locked="0" hidden="1"/>
    </xf>
    <xf numFmtId="0" fontId="2" fillId="18" borderId="0" xfId="0" applyFont="1" applyFill="1" applyBorder="1" applyAlignment="1" applyProtection="1">
      <alignment horizontal="center" vertical="center"/>
      <protection locked="0" hidden="1"/>
    </xf>
    <xf numFmtId="0" fontId="2" fillId="0" borderId="8" xfId="0" applyFont="1" applyFill="1" applyBorder="1" applyAlignment="1" applyProtection="1">
      <alignment horizontal="center" vertical="center"/>
      <protection locked="0" hidden="1"/>
    </xf>
    <xf numFmtId="0" fontId="2" fillId="4" borderId="8" xfId="0" applyFont="1" applyFill="1" applyBorder="1" applyAlignment="1" applyProtection="1">
      <alignment horizontal="center" vertical="center"/>
      <protection locked="0" hidden="1"/>
    </xf>
    <xf numFmtId="1" fontId="2" fillId="0" borderId="18" xfId="0" applyNumberFormat="1" applyFont="1" applyFill="1" applyBorder="1" applyAlignment="1" applyProtection="1">
      <alignment horizontal="center" vertical="center"/>
      <protection locked="0" hidden="1"/>
    </xf>
    <xf numFmtId="1" fontId="2" fillId="0" borderId="22" xfId="0" applyNumberFormat="1" applyFont="1" applyFill="1" applyBorder="1" applyAlignment="1" applyProtection="1">
      <alignment horizontal="center" vertical="center"/>
      <protection locked="0" hidden="1"/>
    </xf>
    <xf numFmtId="0" fontId="2" fillId="0" borderId="28" xfId="0" applyFont="1" applyFill="1" applyBorder="1" applyAlignment="1" applyProtection="1">
      <alignment horizontal="center" vertical="center"/>
      <protection locked="0" hidden="1"/>
    </xf>
    <xf numFmtId="1" fontId="2" fillId="0" borderId="64"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center" vertical="center"/>
      <protection locked="0" hidden="1"/>
    </xf>
    <xf numFmtId="1" fontId="2" fillId="0" borderId="77" xfId="0" applyNumberFormat="1" applyFont="1" applyFill="1" applyBorder="1" applyAlignment="1" applyProtection="1">
      <alignment horizontal="center" vertical="center"/>
      <protection locked="0" hidden="1"/>
    </xf>
    <xf numFmtId="1" fontId="2" fillId="0" borderId="6" xfId="0" applyNumberFormat="1" applyFont="1" applyFill="1" applyBorder="1" applyAlignment="1" applyProtection="1">
      <alignment horizontal="center" vertical="center"/>
      <protection locked="0" hidden="1"/>
    </xf>
    <xf numFmtId="1" fontId="2" fillId="0" borderId="40" xfId="0" applyNumberFormat="1" applyFont="1" applyFill="1" applyBorder="1" applyAlignment="1" applyProtection="1">
      <alignment horizontal="center" vertical="center"/>
      <protection locked="0" hidden="1"/>
    </xf>
    <xf numFmtId="1" fontId="2" fillId="18" borderId="6" xfId="0" applyNumberFormat="1" applyFont="1" applyFill="1" applyBorder="1" applyAlignment="1" applyProtection="1">
      <alignment horizontal="center" vertical="center"/>
      <protection locked="0" hidden="1"/>
    </xf>
    <xf numFmtId="1" fontId="2" fillId="0" borderId="28" xfId="0" applyNumberFormat="1" applyFont="1" applyFill="1" applyBorder="1" applyAlignment="1" applyProtection="1">
      <alignment horizontal="center" vertical="center"/>
      <protection locked="0" hidden="1"/>
    </xf>
    <xf numFmtId="166" fontId="2" fillId="0" borderId="58" xfId="0" applyNumberFormat="1" applyFont="1" applyFill="1" applyBorder="1" applyAlignment="1" applyProtection="1">
      <alignment horizontal="center" vertical="center"/>
      <protection locked="0" hidden="1"/>
    </xf>
    <xf numFmtId="1"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locked="0" hidden="1"/>
    </xf>
    <xf numFmtId="1" fontId="4" fillId="0" borderId="64" xfId="0" applyNumberFormat="1"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protection locked="0" hidden="1"/>
    </xf>
    <xf numFmtId="166" fontId="4" fillId="0" borderId="0" xfId="0" applyNumberFormat="1" applyFont="1" applyFill="1" applyBorder="1" applyAlignment="1" applyProtection="1">
      <alignment horizontal="center" vertical="center"/>
      <protection locked="0" hidden="1"/>
    </xf>
    <xf numFmtId="0" fontId="4" fillId="4" borderId="8" xfId="0" applyFont="1" applyFill="1" applyBorder="1" applyAlignment="1" applyProtection="1">
      <alignment horizontal="center" vertical="center"/>
      <protection locked="0" hidden="1"/>
    </xf>
    <xf numFmtId="166" fontId="2" fillId="0" borderId="0"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center" vertical="center"/>
      <protection hidden="1"/>
    </xf>
    <xf numFmtId="1" fontId="5" fillId="0" borderId="0" xfId="0" applyNumberFormat="1" applyFont="1" applyFill="1" applyBorder="1" applyAlignment="1" applyProtection="1">
      <alignment horizontal="center" vertical="center"/>
      <protection locked="0" hidden="1"/>
    </xf>
    <xf numFmtId="2" fontId="5" fillId="0" borderId="0" xfId="0" applyNumberFormat="1"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166" fontId="5" fillId="0" borderId="0" xfId="0" applyNumberFormat="1"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2" fontId="2" fillId="0" borderId="0" xfId="0" applyNumberFormat="1" applyFont="1" applyFill="1" applyBorder="1" applyAlignment="1" applyProtection="1">
      <alignment horizontal="center" vertical="center"/>
      <protection locked="0" hidden="1"/>
    </xf>
    <xf numFmtId="1" fontId="2" fillId="0" borderId="0" xfId="0" applyNumberFormat="1" applyFont="1" applyFill="1" applyBorder="1" applyAlignment="1" applyProtection="1">
      <alignment horizontal="left" vertical="center"/>
      <protection locked="0" hidden="1"/>
    </xf>
    <xf numFmtId="1" fontId="10" fillId="4" borderId="24" xfId="0" applyNumberFormat="1" applyFont="1" applyFill="1" applyBorder="1" applyAlignment="1" applyProtection="1">
      <alignment horizontal="center" vertical="center"/>
      <protection locked="0" hidden="1"/>
    </xf>
    <xf numFmtId="1" fontId="10" fillId="4" borderId="13" xfId="0" applyNumberFormat="1" applyFont="1" applyFill="1" applyBorder="1" applyAlignment="1" applyProtection="1">
      <alignment horizontal="center" vertical="center"/>
      <protection locked="0" hidden="1"/>
    </xf>
    <xf numFmtId="0" fontId="2" fillId="0" borderId="7" xfId="0" applyFont="1" applyFill="1" applyBorder="1" applyAlignment="1" applyProtection="1">
      <alignment horizontal="center" vertical="center"/>
      <protection locked="0" hidden="1"/>
    </xf>
    <xf numFmtId="0" fontId="10" fillId="0" borderId="7" xfId="7" applyFont="1" applyFill="1" applyBorder="1" applyAlignment="1" applyProtection="1">
      <alignment horizontal="center" vertical="center"/>
      <protection hidden="1"/>
    </xf>
    <xf numFmtId="1" fontId="10" fillId="0" borderId="7" xfId="7" applyNumberFormat="1" applyFont="1" applyFill="1" applyBorder="1" applyAlignment="1" applyProtection="1">
      <alignment horizontal="center" vertical="center"/>
      <protection hidden="1"/>
    </xf>
    <xf numFmtId="0" fontId="2" fillId="0" borderId="86" xfId="0" applyFont="1" applyFill="1" applyBorder="1" applyAlignment="1" applyProtection="1">
      <alignment horizontal="center" vertical="center"/>
      <protection locked="0" hidden="1"/>
    </xf>
    <xf numFmtId="1" fontId="2" fillId="0" borderId="7" xfId="0" applyNumberFormat="1" applyFont="1" applyFill="1" applyBorder="1" applyAlignment="1" applyProtection="1">
      <alignment horizontal="center" vertical="center"/>
      <protection locked="0" hidden="1"/>
    </xf>
    <xf numFmtId="1" fontId="10" fillId="0" borderId="24" xfId="0" applyNumberFormat="1" applyFont="1" applyFill="1" applyBorder="1" applyAlignment="1" applyProtection="1">
      <alignment horizontal="center" vertical="center"/>
      <protection locked="0" hidden="1"/>
    </xf>
    <xf numFmtId="1" fontId="10" fillId="0" borderId="13" xfId="0" applyNumberFormat="1" applyFont="1" applyFill="1" applyBorder="1" applyAlignment="1" applyProtection="1">
      <alignment horizontal="center" vertical="center"/>
      <protection locked="0" hidden="1"/>
    </xf>
    <xf numFmtId="0" fontId="0" fillId="4" borderId="8" xfId="0" applyFill="1" applyBorder="1" applyAlignment="1" applyProtection="1">
      <alignment vertical="center"/>
      <protection locked="0" hidden="1"/>
    </xf>
    <xf numFmtId="0" fontId="2" fillId="0" borderId="77" xfId="0" applyFont="1" applyFill="1" applyBorder="1" applyAlignment="1" applyProtection="1">
      <alignment horizontal="center" vertical="center"/>
      <protection locked="0" hidden="1"/>
    </xf>
    <xf numFmtId="0" fontId="2" fillId="0" borderId="40" xfId="0" applyFont="1" applyFill="1" applyBorder="1" applyAlignment="1" applyProtection="1">
      <alignment horizontal="center" vertical="center"/>
      <protection locked="0" hidden="1"/>
    </xf>
    <xf numFmtId="0" fontId="14" fillId="0" borderId="0" xfId="0" applyFont="1" applyFill="1" applyBorder="1" applyAlignment="1" applyProtection="1">
      <alignment horizontal="center" vertical="center"/>
      <protection locked="0" hidden="1"/>
    </xf>
    <xf numFmtId="1" fontId="5" fillId="0" borderId="64" xfId="0" applyNumberFormat="1" applyFont="1" applyFill="1" applyBorder="1" applyAlignment="1" applyProtection="1">
      <alignment horizontal="center" vertical="center"/>
      <protection locked="0" hidden="1"/>
    </xf>
    <xf numFmtId="1" fontId="5" fillId="0" borderId="87" xfId="0" applyNumberFormat="1" applyFont="1" applyFill="1" applyBorder="1" applyAlignment="1" applyProtection="1">
      <alignment horizontal="center" vertical="center"/>
      <protection locked="0" hidden="1"/>
    </xf>
    <xf numFmtId="1" fontId="5" fillId="0" borderId="51" xfId="0" applyNumberFormat="1" applyFont="1" applyFill="1" applyBorder="1" applyAlignment="1" applyProtection="1">
      <alignment horizontal="center" vertical="center"/>
      <protection locked="0" hidden="1"/>
    </xf>
    <xf numFmtId="1" fontId="5" fillId="0" borderId="0" xfId="0" applyNumberFormat="1" applyFont="1" applyFill="1" applyBorder="1" applyAlignment="1" applyProtection="1">
      <alignment horizontal="left" vertical="center"/>
      <protection locked="0" hidden="1"/>
    </xf>
    <xf numFmtId="0" fontId="5" fillId="0" borderId="0" xfId="0" applyFont="1" applyFill="1" applyBorder="1" applyAlignment="1" applyProtection="1">
      <alignment horizontal="left" vertical="center"/>
      <protection locked="0" hidden="1"/>
    </xf>
    <xf numFmtId="0" fontId="2" fillId="0" borderId="0" xfId="0" applyFont="1" applyAlignment="1" applyProtection="1">
      <alignment vertical="center"/>
      <protection locked="0" hidden="1"/>
    </xf>
    <xf numFmtId="166" fontId="2" fillId="0" borderId="0" xfId="0" applyNumberFormat="1" applyFont="1" applyFill="1" applyBorder="1" applyAlignment="1" applyProtection="1">
      <alignment horizontal="center" vertical="center" wrapText="1"/>
      <protection locked="0" hidden="1"/>
    </xf>
    <xf numFmtId="0" fontId="10" fillId="0" borderId="54" xfId="0" applyFont="1" applyFill="1" applyBorder="1" applyAlignment="1" applyProtection="1">
      <alignment horizontal="center" vertical="center"/>
      <protection locked="0" hidden="1"/>
    </xf>
    <xf numFmtId="0" fontId="10" fillId="0" borderId="56" xfId="0" applyFont="1" applyBorder="1" applyAlignment="1" applyProtection="1">
      <alignment horizontal="center" vertical="center"/>
      <protection locked="0" hidden="1"/>
    </xf>
    <xf numFmtId="0" fontId="2" fillId="0" borderId="0" xfId="0" applyFont="1" applyBorder="1" applyAlignment="1" applyProtection="1">
      <alignment horizontal="center" textRotation="90"/>
      <protection locked="0" hidden="1"/>
    </xf>
    <xf numFmtId="1" fontId="2" fillId="0" borderId="85" xfId="0" applyNumberFormat="1" applyFont="1" applyFill="1" applyBorder="1" applyAlignment="1" applyProtection="1">
      <alignment horizontal="center" vertical="center"/>
      <protection locked="0" hidden="1"/>
    </xf>
    <xf numFmtId="1" fontId="2" fillId="0" borderId="88" xfId="0" applyNumberFormat="1" applyFont="1" applyBorder="1" applyAlignment="1" applyProtection="1">
      <alignment horizontal="center" vertical="center"/>
      <protection locked="0" hidden="1"/>
    </xf>
    <xf numFmtId="0" fontId="4" fillId="0" borderId="0" xfId="0" applyFont="1" applyBorder="1" applyAlignment="1" applyProtection="1">
      <alignment horizontal="center" textRotation="90"/>
      <protection locked="0" hidden="1"/>
    </xf>
    <xf numFmtId="0" fontId="4" fillId="0" borderId="0" xfId="0" applyFont="1" applyAlignment="1" applyProtection="1">
      <alignment vertical="center"/>
      <protection locked="0" hidden="1"/>
    </xf>
    <xf numFmtId="164" fontId="2" fillId="0" borderId="56" xfId="0" applyNumberFormat="1" applyFont="1" applyBorder="1" applyAlignment="1" applyProtection="1">
      <alignment horizontal="center" vertical="center"/>
      <protection locked="0" hidden="1"/>
    </xf>
    <xf numFmtId="0" fontId="2" fillId="0" borderId="62" xfId="0" applyFont="1" applyFill="1" applyBorder="1" applyAlignment="1" applyProtection="1">
      <alignment horizontal="center" vertical="center"/>
      <protection locked="0" hidden="1"/>
    </xf>
    <xf numFmtId="1" fontId="2" fillId="15" borderId="49" xfId="0" applyNumberFormat="1" applyFont="1" applyFill="1" applyBorder="1" applyAlignment="1" applyProtection="1">
      <alignment horizontal="center" vertical="center"/>
      <protection locked="0" hidden="1"/>
    </xf>
    <xf numFmtId="1" fontId="2" fillId="15" borderId="22" xfId="0" applyNumberFormat="1"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locked="0" hidden="1"/>
    </xf>
    <xf numFmtId="166" fontId="2" fillId="0" borderId="0" xfId="0" applyNumberFormat="1" applyFont="1" applyBorder="1" applyAlignment="1" applyProtection="1">
      <alignment horizontal="center" vertical="center"/>
      <protection locked="0" hidden="1"/>
    </xf>
    <xf numFmtId="0" fontId="5" fillId="0" borderId="0" xfId="0" applyFont="1" applyBorder="1" applyAlignment="1" applyProtection="1">
      <alignment vertical="center"/>
      <protection locked="0" hidden="1"/>
    </xf>
    <xf numFmtId="0" fontId="5" fillId="0" borderId="0" xfId="0" applyFont="1" applyFill="1" applyBorder="1" applyAlignment="1" applyProtection="1">
      <alignment vertical="center"/>
      <protection locked="0" hidden="1"/>
    </xf>
    <xf numFmtId="0" fontId="0" fillId="0" borderId="0" xfId="0" applyProtection="1">
      <protection locked="0" hidden="1"/>
    </xf>
    <xf numFmtId="0" fontId="0" fillId="0" borderId="0" xfId="0" applyProtection="1">
      <protection hidden="1"/>
    </xf>
    <xf numFmtId="0" fontId="4" fillId="0" borderId="0" xfId="0" applyFont="1" applyProtection="1">
      <protection locked="0" hidden="1"/>
    </xf>
    <xf numFmtId="0" fontId="4" fillId="0" borderId="0" xfId="0" applyFont="1" applyProtection="1">
      <protection hidden="1"/>
    </xf>
    <xf numFmtId="0" fontId="10" fillId="0" borderId="0" xfId="0" applyFont="1" applyAlignment="1" applyProtection="1">
      <alignment horizontal="center"/>
      <protection locked="0" hidden="1"/>
    </xf>
    <xf numFmtId="0" fontId="2" fillId="4" borderId="49" xfId="0" applyFont="1" applyFill="1" applyBorder="1" applyAlignment="1" applyProtection="1">
      <alignment horizontal="center" vertical="center"/>
      <protection hidden="1"/>
    </xf>
    <xf numFmtId="1" fontId="2" fillId="16" borderId="92" xfId="0" applyNumberFormat="1" applyFont="1" applyFill="1" applyBorder="1" applyAlignment="1" applyProtection="1">
      <alignment horizontal="center" vertical="center"/>
      <protection hidden="1"/>
    </xf>
    <xf numFmtId="0" fontId="2" fillId="2" borderId="149" xfId="0" applyFont="1" applyFill="1" applyBorder="1" applyAlignment="1" applyProtection="1">
      <alignment horizontal="center" vertical="center"/>
      <protection locked="0"/>
    </xf>
    <xf numFmtId="0" fontId="2" fillId="0" borderId="150" xfId="0" applyFont="1" applyBorder="1" applyAlignment="1" applyProtection="1">
      <alignment horizontal="center" vertical="center"/>
    </xf>
    <xf numFmtId="0" fontId="2" fillId="2" borderId="151" xfId="0" applyFont="1" applyFill="1" applyBorder="1" applyAlignment="1" applyProtection="1">
      <alignment horizontal="center" vertical="center"/>
      <protection locked="0"/>
    </xf>
    <xf numFmtId="0" fontId="2" fillId="0" borderId="69"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52" xfId="0" applyFont="1" applyBorder="1" applyAlignment="1" applyProtection="1">
      <alignment horizontal="center" vertical="center"/>
    </xf>
    <xf numFmtId="0" fontId="2" fillId="13" borderId="90" xfId="0" applyFont="1" applyFill="1" applyBorder="1" applyAlignment="1" applyProtection="1">
      <alignment horizontal="center" vertical="center"/>
      <protection locked="0"/>
    </xf>
    <xf numFmtId="0" fontId="2" fillId="13" borderId="151" xfId="0" applyFont="1" applyFill="1" applyBorder="1" applyAlignment="1" applyProtection="1">
      <alignment horizontal="center" vertical="center"/>
      <protection locked="0"/>
    </xf>
    <xf numFmtId="0" fontId="2" fillId="23" borderId="85" xfId="0" applyFont="1" applyFill="1" applyBorder="1" applyAlignment="1" applyProtection="1">
      <alignment vertical="center"/>
    </xf>
    <xf numFmtId="0" fontId="2" fillId="23" borderId="86" xfId="0" applyFont="1" applyFill="1" applyBorder="1" applyAlignment="1" applyProtection="1">
      <alignment vertical="center"/>
    </xf>
    <xf numFmtId="0" fontId="2" fillId="23" borderId="86" xfId="0" applyFont="1" applyFill="1" applyBorder="1" applyAlignment="1" applyProtection="1">
      <alignment horizontal="center" vertical="center"/>
    </xf>
    <xf numFmtId="0" fontId="10" fillId="0" borderId="34" xfId="0" applyFont="1" applyFill="1" applyBorder="1" applyAlignment="1" applyProtection="1">
      <alignment horizontal="center" vertical="center"/>
      <protection locked="0" hidden="1"/>
    </xf>
    <xf numFmtId="0" fontId="10" fillId="0" borderId="31" xfId="0" applyFont="1" applyFill="1" applyBorder="1" applyAlignment="1" applyProtection="1">
      <alignment horizontal="center" vertical="center"/>
      <protection locked="0" hidden="1"/>
    </xf>
    <xf numFmtId="0" fontId="10" fillId="0" borderId="44" xfId="0" applyFont="1" applyFill="1" applyBorder="1" applyAlignment="1" applyProtection="1">
      <alignment horizontal="center" vertical="center"/>
      <protection locked="0" hidden="1"/>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4" xfId="0" applyFill="1" applyBorder="1" applyAlignment="1" applyProtection="1">
      <alignment horizontal="left" vertical="center"/>
    </xf>
    <xf numFmtId="0" fontId="0" fillId="0" borderId="0" xfId="0" applyFill="1" applyBorder="1" applyAlignment="1" applyProtection="1">
      <alignment horizontal="left" vertical="center"/>
    </xf>
    <xf numFmtId="0" fontId="20" fillId="23" borderId="85" xfId="0" applyFont="1" applyFill="1" applyBorder="1" applyAlignment="1" applyProtection="1">
      <alignment horizontal="left" vertical="center"/>
      <protection hidden="1"/>
    </xf>
    <xf numFmtId="0" fontId="20" fillId="23" borderId="86" xfId="0" applyFont="1" applyFill="1" applyBorder="1" applyAlignment="1" applyProtection="1">
      <alignment horizontal="left" vertical="center"/>
      <protection hidden="1"/>
    </xf>
    <xf numFmtId="0" fontId="20" fillId="23" borderId="155" xfId="0" applyFont="1" applyFill="1" applyBorder="1" applyAlignment="1" applyProtection="1">
      <alignment horizontal="left" vertical="center"/>
      <protection hidden="1"/>
    </xf>
    <xf numFmtId="0" fontId="2" fillId="23" borderId="3" xfId="0" applyFont="1" applyFill="1" applyBorder="1" applyAlignment="1" applyProtection="1">
      <alignment horizontal="center" vertical="center"/>
    </xf>
    <xf numFmtId="0" fontId="2" fillId="23" borderId="140" xfId="0" applyFont="1" applyFill="1" applyBorder="1" applyAlignment="1" applyProtection="1">
      <alignment horizontal="center" vertical="center"/>
    </xf>
    <xf numFmtId="0" fontId="2" fillId="23" borderId="153" xfId="0" applyFont="1" applyFill="1" applyBorder="1" applyAlignment="1" applyProtection="1">
      <alignment horizontal="center" vertical="center"/>
    </xf>
    <xf numFmtId="0" fontId="2" fillId="23" borderId="2" xfId="0" applyFont="1" applyFill="1" applyBorder="1" applyAlignment="1" applyProtection="1">
      <alignment horizontal="center" vertical="center"/>
    </xf>
    <xf numFmtId="0" fontId="2" fillId="23" borderId="16" xfId="0" applyFont="1" applyFill="1" applyBorder="1" applyAlignment="1" applyProtection="1">
      <alignment horizontal="center" vertical="center"/>
    </xf>
    <xf numFmtId="0" fontId="2" fillId="23" borderId="0" xfId="0" applyFont="1" applyFill="1" applyBorder="1" applyAlignment="1" applyProtection="1">
      <alignment horizontal="center" vertical="center"/>
    </xf>
    <xf numFmtId="0" fontId="2" fillId="23" borderId="13" xfId="0" applyFont="1" applyFill="1" applyBorder="1" applyAlignment="1" applyProtection="1">
      <alignment horizontal="center" vertical="center"/>
    </xf>
    <xf numFmtId="0" fontId="10" fillId="0" borderId="0" xfId="0" applyFont="1" applyFill="1" applyBorder="1" applyAlignment="1" applyProtection="1">
      <alignment horizontal="center" vertical="center"/>
      <protection locked="0" hidden="1"/>
    </xf>
    <xf numFmtId="0" fontId="10" fillId="0" borderId="13" xfId="0" applyFont="1" applyFill="1" applyBorder="1" applyAlignment="1" applyProtection="1">
      <alignment horizontal="center" vertical="center"/>
      <protection locked="0" hidden="1"/>
    </xf>
    <xf numFmtId="0" fontId="16" fillId="0" borderId="0" xfId="0" applyFont="1" applyAlignment="1" applyProtection="1">
      <alignment horizontal="center" vertical="center"/>
    </xf>
    <xf numFmtId="0" fontId="2" fillId="23" borderId="2" xfId="0" applyFont="1" applyFill="1" applyBorder="1" applyAlignment="1" applyProtection="1">
      <alignment horizontal="left" vertical="center"/>
    </xf>
    <xf numFmtId="0" fontId="2" fillId="23" borderId="3" xfId="0" applyFont="1" applyFill="1" applyBorder="1" applyAlignment="1" applyProtection="1">
      <alignment horizontal="left" vertical="center"/>
    </xf>
    <xf numFmtId="0" fontId="2" fillId="23" borderId="153" xfId="0" applyFont="1" applyFill="1" applyBorder="1" applyAlignment="1" applyProtection="1">
      <alignment horizontal="left" vertical="center"/>
    </xf>
    <xf numFmtId="0" fontId="2" fillId="23" borderId="4" xfId="0" applyFont="1" applyFill="1" applyBorder="1" applyAlignment="1" applyProtection="1">
      <alignment horizontal="left" vertical="center"/>
    </xf>
    <xf numFmtId="0" fontId="2" fillId="23" borderId="0" xfId="0" applyFont="1" applyFill="1" applyBorder="1" applyAlignment="1" applyProtection="1">
      <alignment horizontal="left" vertical="center"/>
    </xf>
    <xf numFmtId="0" fontId="2" fillId="23" borderId="13" xfId="0" applyFont="1" applyFill="1" applyBorder="1" applyAlignment="1" applyProtection="1">
      <alignment horizontal="left" vertical="center"/>
    </xf>
    <xf numFmtId="0" fontId="2" fillId="23" borderId="17" xfId="0" applyFont="1" applyFill="1" applyBorder="1" applyAlignment="1" applyProtection="1">
      <alignment horizontal="left" vertical="center"/>
    </xf>
    <xf numFmtId="0" fontId="2" fillId="23" borderId="18" xfId="0" applyFont="1" applyFill="1" applyBorder="1" applyAlignment="1" applyProtection="1">
      <alignment horizontal="left" vertical="center"/>
    </xf>
    <xf numFmtId="0" fontId="2" fillId="23" borderId="63" xfId="0" applyFont="1" applyFill="1" applyBorder="1" applyAlignment="1" applyProtection="1">
      <alignment horizontal="left" vertical="center"/>
    </xf>
    <xf numFmtId="0" fontId="10" fillId="0" borderId="85" xfId="0" applyFont="1" applyBorder="1" applyAlignment="1" applyProtection="1">
      <alignment horizontal="left" vertical="center"/>
    </xf>
    <xf numFmtId="0" fontId="10" fillId="0" borderId="86" xfId="0" applyFont="1" applyBorder="1" applyAlignment="1" applyProtection="1">
      <alignment horizontal="left" vertical="center"/>
    </xf>
    <xf numFmtId="0" fontId="10" fillId="0" borderId="42" xfId="0" applyFont="1" applyBorder="1" applyAlignment="1" applyProtection="1">
      <alignment horizontal="left" vertical="center"/>
    </xf>
    <xf numFmtId="0" fontId="10" fillId="0" borderId="141" xfId="7" applyFont="1" applyFill="1" applyBorder="1" applyAlignment="1" applyProtection="1">
      <alignment horizontal="left" vertical="center"/>
    </xf>
    <xf numFmtId="0" fontId="10" fillId="0" borderId="37" xfId="7" applyFont="1" applyFill="1" applyBorder="1" applyAlignment="1" applyProtection="1">
      <alignment horizontal="left" vertical="center"/>
    </xf>
    <xf numFmtId="0" fontId="14" fillId="0" borderId="0" xfId="0" applyFont="1" applyBorder="1" applyAlignment="1" applyProtection="1">
      <alignment horizontal="center" vertical="center"/>
    </xf>
    <xf numFmtId="0" fontId="15" fillId="22" borderId="1" xfId="0" applyFont="1" applyFill="1" applyBorder="1" applyAlignment="1" applyProtection="1">
      <alignment horizontal="left" vertical="center"/>
    </xf>
    <xf numFmtId="0" fontId="15" fillId="22" borderId="5" xfId="0" applyFont="1" applyFill="1" applyBorder="1" applyAlignment="1" applyProtection="1">
      <alignment horizontal="left" vertical="center"/>
    </xf>
    <xf numFmtId="0" fontId="15" fillId="22" borderId="11" xfId="0" applyFont="1" applyFill="1" applyBorder="1" applyAlignment="1" applyProtection="1">
      <alignment horizontal="left" vertical="center"/>
    </xf>
    <xf numFmtId="0" fontId="2" fillId="13" borderId="95" xfId="0" applyFont="1" applyFill="1" applyBorder="1" applyAlignment="1" applyProtection="1">
      <alignment horizontal="center" vertical="center"/>
      <protection locked="0"/>
    </xf>
    <xf numFmtId="0" fontId="2" fillId="13" borderId="111" xfId="0" applyFont="1" applyFill="1" applyBorder="1" applyAlignment="1" applyProtection="1">
      <alignment horizontal="center" vertical="center"/>
      <protection locked="0"/>
    </xf>
    <xf numFmtId="0" fontId="14" fillId="0" borderId="7" xfId="0" applyFont="1" applyFill="1" applyBorder="1" applyAlignment="1" applyProtection="1">
      <alignment horizontal="left" vertical="center"/>
    </xf>
    <xf numFmtId="0" fontId="14" fillId="0" borderId="84" xfId="0" applyFont="1" applyFill="1" applyBorder="1" applyAlignment="1" applyProtection="1">
      <alignment horizontal="left" vertical="center"/>
    </xf>
    <xf numFmtId="0" fontId="2" fillId="0" borderId="42" xfId="0" applyFont="1" applyFill="1" applyBorder="1" applyAlignment="1" applyProtection="1">
      <alignment horizontal="center" vertical="center"/>
    </xf>
    <xf numFmtId="0" fontId="2" fillId="0" borderId="84" xfId="0" applyFont="1" applyFill="1" applyBorder="1" applyAlignment="1" applyProtection="1">
      <alignment horizontal="center" vertical="center"/>
    </xf>
    <xf numFmtId="0" fontId="31" fillId="0" borderId="0" xfId="0" applyFont="1" applyAlignment="1" applyProtection="1">
      <alignment horizontal="center" vertical="center"/>
    </xf>
    <xf numFmtId="49" fontId="10" fillId="2" borderId="86" xfId="0" applyNumberFormat="1" applyFont="1" applyFill="1" applyBorder="1" applyAlignment="1" applyProtection="1">
      <alignment horizontal="left" vertical="center"/>
      <protection locked="0"/>
    </xf>
    <xf numFmtId="49" fontId="0" fillId="2" borderId="86" xfId="0" applyNumberFormat="1" applyFill="1" applyBorder="1" applyAlignment="1" applyProtection="1">
      <alignment horizontal="left" vertical="center"/>
      <protection locked="0"/>
    </xf>
    <xf numFmtId="0" fontId="0" fillId="2" borderId="33"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2" fillId="23" borderId="24" xfId="0" applyFont="1" applyFill="1" applyBorder="1" applyAlignment="1" applyProtection="1">
      <alignment horizontal="center" vertical="center"/>
    </xf>
    <xf numFmtId="0" fontId="2" fillId="23" borderId="9" xfId="0" applyFont="1" applyFill="1" applyBorder="1" applyAlignment="1" applyProtection="1">
      <alignment horizontal="center" vertical="center"/>
    </xf>
    <xf numFmtId="0" fontId="62" fillId="0" borderId="0" xfId="0" applyFont="1" applyAlignment="1" applyProtection="1">
      <alignment horizontal="left" vertical="center"/>
    </xf>
    <xf numFmtId="0" fontId="2" fillId="13" borderId="96" xfId="0" applyFont="1" applyFill="1" applyBorder="1" applyAlignment="1" applyProtection="1">
      <alignment horizontal="center" vertical="center"/>
      <protection locked="0"/>
    </xf>
    <xf numFmtId="0" fontId="2" fillId="13" borderId="138" xfId="0" applyFont="1" applyFill="1" applyBorder="1" applyAlignment="1" applyProtection="1">
      <alignment horizontal="center" vertical="center"/>
      <protection locked="0"/>
    </xf>
    <xf numFmtId="0" fontId="10" fillId="0" borderId="154" xfId="0" applyFont="1" applyBorder="1" applyAlignment="1" applyProtection="1">
      <alignment horizontal="left" vertical="center"/>
    </xf>
    <xf numFmtId="0" fontId="10" fillId="0" borderId="7" xfId="0" applyFont="1" applyBorder="1" applyAlignment="1" applyProtection="1">
      <alignment horizontal="left" vertical="center"/>
    </xf>
    <xf numFmtId="0" fontId="2" fillId="23" borderId="21" xfId="0" applyFont="1" applyFill="1" applyBorder="1" applyAlignment="1" applyProtection="1">
      <alignment horizontal="center" vertical="center"/>
    </xf>
    <xf numFmtId="0" fontId="2" fillId="23" borderId="18" xfId="0" applyFont="1" applyFill="1" applyBorder="1" applyAlignment="1" applyProtection="1">
      <alignment horizontal="center" vertical="center"/>
    </xf>
    <xf numFmtId="0" fontId="2" fillId="13" borderId="117" xfId="0"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10" fillId="0" borderId="0" xfId="0" applyFont="1" applyAlignment="1">
      <alignment horizontal="left" vertical="center"/>
    </xf>
    <xf numFmtId="0" fontId="0" fillId="0" borderId="13" xfId="0" applyFill="1" applyBorder="1" applyAlignment="1" applyProtection="1">
      <alignment horizontal="left" vertical="center"/>
    </xf>
    <xf numFmtId="0" fontId="10" fillId="0" borderId="77" xfId="7" applyFont="1" applyBorder="1" applyAlignment="1" applyProtection="1">
      <alignment horizontal="center" vertical="center"/>
    </xf>
    <xf numFmtId="0" fontId="10" fillId="0" borderId="6" xfId="7" applyFont="1" applyBorder="1" applyAlignment="1" applyProtection="1">
      <alignment horizontal="center" vertical="center"/>
    </xf>
    <xf numFmtId="0" fontId="10" fillId="0" borderId="10" xfId="7" applyFont="1" applyBorder="1" applyAlignment="1" applyProtection="1">
      <alignment horizontal="center" vertical="center"/>
    </xf>
    <xf numFmtId="0" fontId="0" fillId="0" borderId="26" xfId="0" applyFill="1" applyBorder="1" applyAlignment="1" applyProtection="1">
      <alignment horizontal="left" vertical="center"/>
      <protection hidden="1"/>
    </xf>
    <xf numFmtId="0" fontId="0" fillId="0" borderId="6" xfId="0" applyFill="1" applyBorder="1" applyAlignment="1" applyProtection="1">
      <alignment horizontal="left" vertical="center"/>
      <protection hidden="1"/>
    </xf>
    <xf numFmtId="0" fontId="2" fillId="13" borderId="116" xfId="0" applyFont="1" applyFill="1" applyBorder="1" applyAlignment="1" applyProtection="1">
      <alignment horizontal="center" vertical="center"/>
      <protection locked="0"/>
    </xf>
    <xf numFmtId="0" fontId="2" fillId="13" borderId="94" xfId="0" applyFont="1" applyFill="1" applyBorder="1" applyAlignment="1" applyProtection="1">
      <alignment horizontal="center" vertical="center"/>
      <protection locked="0"/>
    </xf>
    <xf numFmtId="0" fontId="2" fillId="13" borderId="133" xfId="0" applyFont="1" applyFill="1" applyBorder="1" applyAlignment="1" applyProtection="1">
      <alignment horizontal="center" vertical="center"/>
      <protection locked="0"/>
    </xf>
    <xf numFmtId="0" fontId="2" fillId="23" borderId="86" xfId="0" applyFont="1" applyFill="1" applyBorder="1" applyAlignment="1" applyProtection="1">
      <alignment horizontal="center" vertical="center"/>
    </xf>
    <xf numFmtId="0" fontId="2" fillId="23" borderId="155" xfId="0" applyFont="1" applyFill="1" applyBorder="1" applyAlignment="1" applyProtection="1">
      <alignment horizontal="center" vertical="center"/>
    </xf>
    <xf numFmtId="0" fontId="10" fillId="0" borderId="4"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3" xfId="0" applyFont="1" applyBorder="1" applyAlignment="1" applyProtection="1">
      <alignment horizontal="left" vertical="center"/>
    </xf>
    <xf numFmtId="0" fontId="10" fillId="0" borderId="57"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84" xfId="0" applyFont="1" applyBorder="1" applyAlignment="1" applyProtection="1">
      <alignment horizontal="left" vertical="center"/>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10" fillId="0" borderId="24" xfId="0" applyFont="1" applyFill="1" applyBorder="1" applyAlignment="1" applyProtection="1">
      <alignment horizontal="center" vertical="center"/>
      <protection locked="0" hidden="1"/>
    </xf>
    <xf numFmtId="0" fontId="14" fillId="0" borderId="58" xfId="0" applyFont="1" applyFill="1" applyBorder="1" applyAlignment="1" applyProtection="1">
      <alignment horizontal="left" vertical="center"/>
    </xf>
    <xf numFmtId="0" fontId="14" fillId="0" borderId="60" xfId="0" applyFont="1" applyFill="1" applyBorder="1" applyAlignment="1" applyProtection="1">
      <alignment horizontal="left" vertical="center"/>
    </xf>
    <xf numFmtId="0" fontId="39" fillId="0" borderId="84" xfId="0" applyFont="1" applyFill="1" applyBorder="1" applyAlignment="1" applyProtection="1">
      <alignment horizontal="left" vertical="center"/>
    </xf>
    <xf numFmtId="0" fontId="39" fillId="0" borderId="42" xfId="0" applyFont="1" applyFill="1" applyBorder="1" applyAlignment="1" applyProtection="1">
      <alignment horizontal="left" vertical="center"/>
    </xf>
    <xf numFmtId="0" fontId="2" fillId="13" borderId="115" xfId="0" applyFont="1" applyFill="1" applyBorder="1" applyAlignment="1" applyProtection="1">
      <alignment horizontal="center" vertical="center"/>
      <protection locked="0"/>
    </xf>
    <xf numFmtId="0" fontId="0" fillId="0" borderId="4"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14" fillId="0" borderId="36" xfId="0" applyFont="1" applyFill="1" applyBorder="1" applyAlignment="1" applyProtection="1">
      <alignment horizontal="left" vertical="center"/>
    </xf>
    <xf numFmtId="0" fontId="14" fillId="0" borderId="143" xfId="0" applyFont="1" applyFill="1" applyBorder="1" applyAlignment="1" applyProtection="1">
      <alignment horizontal="left" vertical="center"/>
    </xf>
    <xf numFmtId="0" fontId="2" fillId="13" borderId="135" xfId="0" applyFont="1" applyFill="1" applyBorder="1" applyAlignment="1" applyProtection="1">
      <alignment horizontal="center" vertical="center"/>
      <protection locked="0"/>
    </xf>
    <xf numFmtId="0" fontId="2" fillId="13" borderId="134" xfId="0" applyFont="1" applyFill="1" applyBorder="1" applyAlignment="1" applyProtection="1">
      <alignment horizontal="center" vertical="center"/>
      <protection locked="0"/>
    </xf>
    <xf numFmtId="0" fontId="2" fillId="13" borderId="98" xfId="0" applyFont="1" applyFill="1" applyBorder="1" applyAlignment="1" applyProtection="1">
      <alignment horizontal="center" vertical="center"/>
      <protection locked="0"/>
    </xf>
    <xf numFmtId="0" fontId="10" fillId="0" borderId="58" xfId="0" applyFont="1" applyBorder="1" applyAlignment="1" applyProtection="1">
      <alignment horizontal="left" vertical="center"/>
    </xf>
    <xf numFmtId="0" fontId="2" fillId="0" borderId="157" xfId="0" applyFont="1" applyFill="1" applyBorder="1" applyAlignment="1" applyProtection="1">
      <alignment horizontal="center" vertical="center"/>
    </xf>
    <xf numFmtId="0" fontId="2" fillId="0" borderId="143" xfId="0" applyFont="1" applyFill="1" applyBorder="1" applyAlignment="1" applyProtection="1">
      <alignment horizontal="center" vertical="center"/>
    </xf>
    <xf numFmtId="0" fontId="2" fillId="0" borderId="0" xfId="0" applyFont="1" applyBorder="1" applyAlignment="1" applyProtection="1">
      <alignment horizontal="center" textRotation="90"/>
      <protection locked="0" hidden="1"/>
    </xf>
    <xf numFmtId="0" fontId="10" fillId="0" borderId="54" xfId="0" applyFont="1" applyBorder="1" applyAlignment="1" applyProtection="1">
      <alignment horizontal="left" vertical="center"/>
    </xf>
    <xf numFmtId="0" fontId="10" fillId="0" borderId="55" xfId="0" applyFont="1" applyBorder="1" applyAlignment="1" applyProtection="1">
      <alignment horizontal="left" vertical="center"/>
    </xf>
    <xf numFmtId="0" fontId="43" fillId="22" borderId="5" xfId="0" applyFont="1" applyFill="1" applyBorder="1" applyAlignment="1" applyProtection="1">
      <alignment horizontal="center" vertical="center" wrapText="1"/>
    </xf>
    <xf numFmtId="0" fontId="43" fillId="22" borderId="11" xfId="0" applyFont="1" applyFill="1" applyBorder="1" applyAlignment="1" applyProtection="1">
      <alignment horizontal="center" vertical="center" wrapText="1"/>
    </xf>
    <xf numFmtId="0" fontId="2" fillId="13" borderId="132" xfId="0" applyFont="1" applyFill="1" applyBorder="1" applyAlignment="1" applyProtection="1">
      <alignment horizontal="center" vertical="center"/>
      <protection locked="0"/>
    </xf>
    <xf numFmtId="0" fontId="2" fillId="13" borderId="131" xfId="0" applyFont="1" applyFill="1" applyBorder="1" applyAlignment="1" applyProtection="1">
      <alignment horizontal="center" vertical="center"/>
      <protection locked="0"/>
    </xf>
    <xf numFmtId="0" fontId="2" fillId="13" borderId="97" xfId="0" applyFont="1" applyFill="1" applyBorder="1" applyAlignment="1" applyProtection="1">
      <alignment horizontal="center" vertical="center"/>
      <protection locked="0"/>
    </xf>
    <xf numFmtId="0" fontId="10" fillId="0" borderId="156" xfId="0" applyFont="1" applyBorder="1" applyAlignment="1" applyProtection="1">
      <alignment horizontal="left" vertical="center"/>
    </xf>
    <xf numFmtId="0" fontId="10" fillId="0" borderId="143" xfId="0" applyFont="1" applyBorder="1" applyAlignment="1" applyProtection="1">
      <alignment horizontal="left" vertical="center"/>
    </xf>
    <xf numFmtId="0" fontId="2" fillId="23" borderId="1" xfId="0" applyFont="1" applyFill="1" applyBorder="1" applyAlignment="1" applyProtection="1">
      <alignment horizontal="left" vertical="center"/>
    </xf>
    <xf numFmtId="0" fontId="2" fillId="23" borderId="5" xfId="0" applyFont="1" applyFill="1" applyBorder="1" applyAlignment="1" applyProtection="1">
      <alignment horizontal="left" vertical="center"/>
    </xf>
    <xf numFmtId="0" fontId="2" fillId="23" borderId="11" xfId="0" applyFont="1" applyFill="1" applyBorder="1" applyAlignment="1" applyProtection="1">
      <alignment horizontal="left" vertical="center"/>
    </xf>
    <xf numFmtId="0" fontId="2" fillId="0" borderId="61"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10" fillId="0" borderId="36" xfId="0" applyFont="1" applyBorder="1" applyAlignment="1" applyProtection="1">
      <alignment horizontal="left" vertical="center"/>
    </xf>
    <xf numFmtId="0" fontId="2" fillId="13" borderId="137" xfId="0" applyFont="1" applyFill="1" applyBorder="1" applyAlignment="1" applyProtection="1">
      <alignment horizontal="center" vertical="center"/>
      <protection locked="0"/>
    </xf>
    <xf numFmtId="0" fontId="2" fillId="13" borderId="136" xfId="0" applyFont="1" applyFill="1" applyBorder="1" applyAlignment="1" applyProtection="1">
      <alignment horizontal="center" vertical="center"/>
      <protection locked="0"/>
    </xf>
    <xf numFmtId="0" fontId="2" fillId="13" borderId="99" xfId="0" applyFont="1" applyFill="1" applyBorder="1" applyAlignment="1" applyProtection="1">
      <alignment horizontal="center" vertical="center"/>
      <protection locked="0"/>
    </xf>
    <xf numFmtId="0" fontId="10" fillId="0" borderId="141" xfId="0" applyFont="1" applyBorder="1" applyAlignment="1" applyProtection="1">
      <alignment horizontal="left" vertical="center"/>
    </xf>
    <xf numFmtId="0" fontId="10" fillId="0" borderId="37" xfId="0" applyFont="1" applyBorder="1" applyAlignment="1" applyProtection="1">
      <alignment horizontal="left" vertical="center"/>
    </xf>
    <xf numFmtId="0" fontId="2" fillId="0" borderId="0" xfId="0" applyFont="1" applyBorder="1" applyAlignment="1" applyProtection="1">
      <alignment horizontal="center" textRotation="90"/>
      <protection locked="0"/>
    </xf>
    <xf numFmtId="0" fontId="2" fillId="23" borderId="5" xfId="0" applyFont="1" applyFill="1" applyBorder="1" applyAlignment="1" applyProtection="1">
      <alignment horizontal="center" vertical="center"/>
    </xf>
    <xf numFmtId="0" fontId="2" fillId="23" borderId="11" xfId="0" applyFont="1" applyFill="1" applyBorder="1" applyAlignment="1" applyProtection="1">
      <alignment horizontal="center" vertical="center"/>
    </xf>
    <xf numFmtId="0" fontId="33" fillId="0" borderId="77" xfId="7" applyFont="1" applyBorder="1" applyAlignment="1" applyProtection="1">
      <alignment horizontal="center"/>
    </xf>
    <xf numFmtId="0" fontId="33" fillId="0" borderId="6" xfId="7" applyFont="1" applyBorder="1" applyAlignment="1" applyProtection="1">
      <alignment horizontal="center"/>
    </xf>
    <xf numFmtId="0" fontId="33" fillId="0" borderId="40" xfId="7" applyFont="1" applyBorder="1" applyAlignment="1" applyProtection="1">
      <alignment horizont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23" borderId="30" xfId="0" applyFont="1" applyFill="1" applyBorder="1" applyAlignment="1" applyProtection="1">
      <alignment horizontal="left" vertical="center"/>
    </xf>
    <xf numFmtId="0" fontId="2" fillId="23" borderId="31" xfId="0" applyFont="1" applyFill="1" applyBorder="1" applyAlignment="1" applyProtection="1">
      <alignment horizontal="left" vertical="center"/>
    </xf>
    <xf numFmtId="0" fontId="2" fillId="23" borderId="50" xfId="0" applyFont="1" applyFill="1" applyBorder="1" applyAlignment="1" applyProtection="1">
      <alignment horizontal="left" vertical="center"/>
    </xf>
    <xf numFmtId="0" fontId="0" fillId="0" borderId="85" xfId="0" applyFill="1" applyBorder="1" applyAlignment="1" applyProtection="1">
      <alignment horizontal="left" vertical="center"/>
    </xf>
    <xf numFmtId="0" fontId="0" fillId="0" borderId="86" xfId="0" applyFill="1" applyBorder="1" applyAlignment="1" applyProtection="1">
      <alignment horizontal="left" vertical="center"/>
    </xf>
    <xf numFmtId="0" fontId="0" fillId="0" borderId="26" xfId="0" applyFill="1" applyBorder="1" applyAlignment="1" applyProtection="1">
      <alignment horizontal="left" vertical="center"/>
    </xf>
    <xf numFmtId="0" fontId="0" fillId="0" borderId="6" xfId="0" applyFill="1" applyBorder="1" applyAlignment="1" applyProtection="1">
      <alignment horizontal="left" vertical="center"/>
    </xf>
    <xf numFmtId="0" fontId="2" fillId="23" borderId="34" xfId="0" applyFont="1" applyFill="1" applyBorder="1" applyAlignment="1" applyProtection="1">
      <alignment horizontal="center" vertical="center"/>
    </xf>
    <xf numFmtId="0" fontId="2" fillId="23" borderId="50" xfId="0" applyFont="1" applyFill="1" applyBorder="1" applyAlignment="1" applyProtection="1">
      <alignment horizontal="center" vertical="center"/>
    </xf>
    <xf numFmtId="0" fontId="10" fillId="0" borderId="24"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34"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2" fillId="0" borderId="1"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6"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0" fontId="10" fillId="0" borderId="5" xfId="0" applyFont="1" applyBorder="1" applyAlignment="1">
      <alignment horizontal="center"/>
    </xf>
    <xf numFmtId="0" fontId="10" fillId="0" borderId="1" xfId="0" applyFont="1" applyBorder="1" applyAlignment="1">
      <alignment horizontal="center"/>
    </xf>
    <xf numFmtId="0" fontId="10" fillId="0" borderId="11" xfId="0" applyFont="1" applyBorder="1" applyAlignment="1">
      <alignment horizontal="center"/>
    </xf>
    <xf numFmtId="0" fontId="10" fillId="13" borderId="158" xfId="0" applyFont="1" applyFill="1" applyBorder="1" applyAlignment="1" applyProtection="1">
      <alignment horizontal="center"/>
      <protection locked="0"/>
    </xf>
    <xf numFmtId="0" fontId="10" fillId="13" borderId="159" xfId="0" applyFont="1" applyFill="1" applyBorder="1" applyAlignment="1" applyProtection="1">
      <alignment horizontal="center"/>
      <protection locked="0"/>
    </xf>
    <xf numFmtId="0" fontId="10" fillId="13" borderId="160" xfId="0" applyFont="1" applyFill="1" applyBorder="1" applyAlignment="1" applyProtection="1">
      <alignment horizontal="center"/>
      <protection locked="0"/>
    </xf>
    <xf numFmtId="0" fontId="10" fillId="13" borderId="161" xfId="0" applyFont="1" applyFill="1" applyBorder="1" applyAlignment="1" applyProtection="1">
      <alignment horizontal="center"/>
      <protection locked="0"/>
    </xf>
    <xf numFmtId="0" fontId="10" fillId="0" borderId="4" xfId="0" applyFont="1" applyBorder="1" applyAlignment="1">
      <alignment horizontal="center"/>
    </xf>
    <xf numFmtId="0" fontId="10" fillId="0" borderId="0" xfId="0" applyFont="1" applyBorder="1" applyAlignment="1">
      <alignment horizontal="center"/>
    </xf>
    <xf numFmtId="0" fontId="10" fillId="0" borderId="34" xfId="0" applyFont="1" applyBorder="1" applyAlignment="1">
      <alignment horizontal="center"/>
    </xf>
    <xf numFmtId="0" fontId="0" fillId="0" borderId="44" xfId="0" applyBorder="1" applyAlignment="1">
      <alignment horizont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6" xfId="0" applyBorder="1" applyAlignment="1" applyProtection="1">
      <alignment horizontal="center"/>
    </xf>
    <xf numFmtId="0" fontId="10" fillId="0" borderId="31" xfId="0" applyFont="1" applyBorder="1" applyAlignment="1">
      <alignment horizontal="center"/>
    </xf>
    <xf numFmtId="0" fontId="10" fillId="0" borderId="44" xfId="0" applyFont="1" applyBorder="1" applyAlignment="1">
      <alignment horizontal="center"/>
    </xf>
    <xf numFmtId="0" fontId="10" fillId="13" borderId="162" xfId="0" applyFont="1" applyFill="1" applyBorder="1" applyAlignment="1" applyProtection="1">
      <alignment horizontal="center"/>
      <protection locked="0"/>
    </xf>
    <xf numFmtId="0" fontId="10" fillId="13" borderId="67" xfId="0" applyFont="1" applyFill="1" applyBorder="1" applyAlignment="1" applyProtection="1">
      <alignment horizontal="center"/>
      <protection locked="0"/>
    </xf>
    <xf numFmtId="0" fontId="31" fillId="5" borderId="0" xfId="0" applyFont="1" applyFill="1" applyAlignment="1" applyProtection="1">
      <alignment horizontal="center" vertical="center"/>
    </xf>
    <xf numFmtId="49" fontId="10" fillId="6" borderId="6" xfId="0" applyNumberFormat="1" applyFont="1" applyFill="1" applyBorder="1" applyAlignment="1" applyProtection="1">
      <alignment horizontal="left" vertical="center"/>
      <protection locked="0"/>
    </xf>
    <xf numFmtId="49" fontId="0" fillId="6" borderId="6" xfId="0" applyNumberFormat="1" applyFill="1" applyBorder="1" applyAlignment="1" applyProtection="1">
      <alignment horizontal="left" vertical="center"/>
      <protection locked="0"/>
    </xf>
    <xf numFmtId="49" fontId="10" fillId="6" borderId="86" xfId="0" applyNumberFormat="1" applyFont="1" applyFill="1" applyBorder="1" applyAlignment="1" applyProtection="1">
      <alignment horizontal="left" vertical="center"/>
      <protection locked="0"/>
    </xf>
    <xf numFmtId="49" fontId="0" fillId="6" borderId="86" xfId="0" applyNumberFormat="1" applyFill="1" applyBorder="1" applyAlignment="1" applyProtection="1">
      <alignment horizontal="left" vertical="center"/>
      <protection locked="0"/>
    </xf>
    <xf numFmtId="0" fontId="33" fillId="5" borderId="77" xfId="7" applyFont="1" applyFill="1" applyBorder="1" applyAlignment="1" applyProtection="1">
      <alignment horizontal="center"/>
    </xf>
    <xf numFmtId="0" fontId="33" fillId="5" borderId="6" xfId="7" applyFont="1" applyFill="1" applyBorder="1" applyAlignment="1" applyProtection="1">
      <alignment horizontal="center"/>
    </xf>
    <xf numFmtId="0" fontId="33" fillId="5" borderId="40" xfId="7" applyFont="1" applyFill="1" applyBorder="1" applyAlignment="1" applyProtection="1">
      <alignment horizontal="center"/>
    </xf>
    <xf numFmtId="0" fontId="10" fillId="0" borderId="34" xfId="0" applyFont="1" applyFill="1" applyBorder="1" applyAlignment="1">
      <alignment horizontal="center"/>
    </xf>
    <xf numFmtId="0" fontId="10" fillId="0" borderId="31" xfId="0" applyFont="1" applyFill="1" applyBorder="1" applyAlignment="1">
      <alignment horizontal="center"/>
    </xf>
    <xf numFmtId="0" fontId="10" fillId="0" borderId="44" xfId="0" applyFont="1" applyFill="1" applyBorder="1" applyAlignment="1">
      <alignment horizontal="center"/>
    </xf>
    <xf numFmtId="0" fontId="10" fillId="0" borderId="24" xfId="0" applyFont="1" applyFill="1" applyBorder="1" applyAlignment="1">
      <alignment horizontal="center"/>
    </xf>
    <xf numFmtId="0" fontId="10" fillId="0" borderId="0" xfId="0" applyFont="1" applyFill="1" applyBorder="1" applyAlignment="1">
      <alignment horizontal="center"/>
    </xf>
    <xf numFmtId="0" fontId="10" fillId="0" borderId="13" xfId="0" applyFont="1" applyFill="1" applyBorder="1" applyAlignment="1">
      <alignment horizontal="center"/>
    </xf>
    <xf numFmtId="0" fontId="2" fillId="0" borderId="0" xfId="26" applyFont="1" applyFill="1" applyBorder="1" applyAlignment="1">
      <alignment horizontal="center"/>
    </xf>
    <xf numFmtId="0" fontId="2" fillId="0" borderId="9" xfId="26" applyFont="1" applyFill="1" applyBorder="1" applyAlignment="1">
      <alignment horizontal="center"/>
    </xf>
    <xf numFmtId="0" fontId="2" fillId="0" borderId="2" xfId="26" applyFont="1" applyFill="1" applyBorder="1" applyAlignment="1">
      <alignment horizontal="center"/>
    </xf>
    <xf numFmtId="0" fontId="2" fillId="0" borderId="3" xfId="26" applyFont="1" applyFill="1" applyBorder="1" applyAlignment="1">
      <alignment horizontal="center"/>
    </xf>
    <xf numFmtId="0" fontId="2" fillId="0" borderId="16" xfId="26" applyFont="1" applyFill="1" applyBorder="1" applyAlignment="1">
      <alignment horizontal="center"/>
    </xf>
    <xf numFmtId="0" fontId="2" fillId="0" borderId="3" xfId="26" applyFont="1" applyFill="1" applyBorder="1" applyAlignment="1">
      <alignment horizontal="center" vertical="center"/>
    </xf>
    <xf numFmtId="0" fontId="2" fillId="0" borderId="16" xfId="26" applyFont="1" applyFill="1" applyBorder="1" applyAlignment="1">
      <alignment horizontal="center" vertical="center"/>
    </xf>
    <xf numFmtId="0" fontId="2" fillId="0" borderId="4" xfId="26" applyFont="1" applyFill="1" applyBorder="1" applyAlignment="1">
      <alignment horizontal="center"/>
    </xf>
    <xf numFmtId="0" fontId="2" fillId="0" borderId="0" xfId="26" applyFont="1" applyFill="1" applyBorder="1" applyAlignment="1">
      <alignment horizontal="center" vertical="center"/>
    </xf>
    <xf numFmtId="0" fontId="2" fillId="0" borderId="9" xfId="26" applyFont="1" applyFill="1" applyBorder="1" applyAlignment="1">
      <alignment horizontal="center" vertical="center"/>
    </xf>
    <xf numFmtId="0" fontId="56" fillId="0" borderId="48" xfId="0" applyFont="1" applyBorder="1" applyAlignment="1">
      <alignment horizontal="center" textRotation="90"/>
    </xf>
    <xf numFmtId="0" fontId="56" fillId="0" borderId="12" xfId="0" applyFont="1" applyBorder="1" applyAlignment="1">
      <alignment horizontal="center" textRotation="90"/>
    </xf>
    <xf numFmtId="0" fontId="56" fillId="0" borderId="49" xfId="0" applyFont="1" applyBorder="1" applyAlignment="1">
      <alignment horizontal="center" textRotation="90"/>
    </xf>
    <xf numFmtId="0" fontId="56" fillId="0" borderId="4" xfId="0" applyFont="1" applyBorder="1" applyAlignment="1">
      <alignment horizontal="center"/>
    </xf>
    <xf numFmtId="0" fontId="56" fillId="0" borderId="9" xfId="0" applyFont="1" applyBorder="1" applyAlignment="1">
      <alignment horizontal="center"/>
    </xf>
    <xf numFmtId="49" fontId="54" fillId="10" borderId="43" xfId="26" applyNumberFormat="1" applyFont="1" applyFill="1" applyBorder="1" applyAlignment="1">
      <alignment horizontal="center" vertical="center"/>
    </xf>
    <xf numFmtId="0" fontId="50" fillId="0" borderId="39" xfId="26" applyFont="1" applyFill="1" applyBorder="1" applyAlignment="1">
      <alignment horizontal="center" vertical="center"/>
    </xf>
    <xf numFmtId="49" fontId="24" fillId="10" borderId="163" xfId="26" applyNumberFormat="1" applyFont="1" applyFill="1" applyBorder="1" applyAlignment="1">
      <alignment vertical="center"/>
    </xf>
    <xf numFmtId="0" fontId="50" fillId="0" borderId="164" xfId="26" applyFont="1" applyFill="1" applyBorder="1" applyAlignment="1">
      <alignment vertical="center"/>
    </xf>
    <xf numFmtId="49" fontId="54" fillId="10" borderId="39" xfId="26" applyNumberFormat="1" applyFont="1" applyFill="1" applyBorder="1" applyAlignment="1">
      <alignment horizontal="center" vertical="center"/>
    </xf>
    <xf numFmtId="0" fontId="54" fillId="10" borderId="44" xfId="26" applyFont="1" applyFill="1" applyBorder="1" applyAlignment="1">
      <alignment horizontal="left" vertical="center"/>
    </xf>
    <xf numFmtId="0" fontId="54" fillId="10" borderId="40" xfId="26" applyFont="1" applyFill="1" applyBorder="1" applyAlignment="1">
      <alignment horizontal="left" vertical="center"/>
    </xf>
    <xf numFmtId="0" fontId="54" fillId="10" borderId="44" xfId="26" applyFont="1" applyFill="1" applyBorder="1" applyAlignment="1">
      <alignment vertical="center"/>
    </xf>
    <xf numFmtId="0" fontId="50" fillId="0" borderId="40" xfId="26" applyFont="1" applyFill="1" applyBorder="1" applyAlignment="1">
      <alignment vertical="center"/>
    </xf>
    <xf numFmtId="0" fontId="54" fillId="10" borderId="40" xfId="26" applyFont="1" applyFill="1" applyBorder="1" applyAlignment="1">
      <alignment vertical="center"/>
    </xf>
    <xf numFmtId="0" fontId="51" fillId="9" borderId="165" xfId="26" applyFont="1" applyFill="1" applyBorder="1" applyAlignment="1">
      <alignment horizontal="center" vertical="center"/>
    </xf>
    <xf numFmtId="0" fontId="52" fillId="0" borderId="46" xfId="26" applyFont="1" applyFill="1" applyBorder="1" applyAlignment="1">
      <alignment horizontal="center"/>
    </xf>
    <xf numFmtId="49" fontId="24" fillId="11" borderId="33" xfId="26" applyNumberFormat="1" applyFont="1" applyFill="1" applyBorder="1" applyAlignment="1">
      <alignment horizontal="left" vertical="top"/>
    </xf>
    <xf numFmtId="49" fontId="24" fillId="11" borderId="8" xfId="26" applyNumberFormat="1" applyFont="1" applyFill="1" applyBorder="1" applyAlignment="1">
      <alignment horizontal="left" vertical="top"/>
    </xf>
    <xf numFmtId="49" fontId="24" fillId="11" borderId="33" xfId="26" applyNumberFormat="1" applyFont="1" applyFill="1" applyBorder="1" applyAlignment="1">
      <alignment horizontal="left" vertical="center"/>
    </xf>
    <xf numFmtId="49" fontId="24" fillId="11" borderId="28" xfId="26" applyNumberFormat="1" applyFont="1" applyFill="1" applyBorder="1" applyAlignment="1">
      <alignment horizontal="left" vertical="center"/>
    </xf>
    <xf numFmtId="0" fontId="7" fillId="0" borderId="2" xfId="26" applyFont="1" applyBorder="1" applyAlignment="1">
      <alignment horizontal="center"/>
    </xf>
    <xf numFmtId="0" fontId="7" fillId="0" borderId="16" xfId="26" applyFont="1" applyBorder="1" applyAlignment="1">
      <alignment horizontal="center"/>
    </xf>
    <xf numFmtId="0" fontId="7" fillId="0" borderId="4" xfId="26" applyFont="1" applyBorder="1" applyAlignment="1">
      <alignment horizontal="center"/>
    </xf>
    <xf numFmtId="0" fontId="7" fillId="0" borderId="9" xfId="26" applyFont="1" applyBorder="1" applyAlignment="1">
      <alignment horizontal="center"/>
    </xf>
    <xf numFmtId="0" fontId="0" fillId="0" borderId="0" xfId="0" applyAlignment="1">
      <alignment horizontal="center" vertical="center"/>
    </xf>
  </cellXfs>
  <cellStyles count="28">
    <cellStyle name="Prozent" xfId="1" builtinId="5"/>
    <cellStyle name="Prozent 2" xfId="2"/>
    <cellStyle name="Prozent 2 2" xfId="3"/>
    <cellStyle name="Prozent 3" xfId="4"/>
    <cellStyle name="Prozent 4" xfId="5"/>
    <cellStyle name="Prozent 4 2" xfId="6"/>
    <cellStyle name="Standard" xfId="0" builtinId="0"/>
    <cellStyle name="Standard 2" xfId="7"/>
    <cellStyle name="Standard 2 2" xfId="8"/>
    <cellStyle name="Standard 2 3" xfId="9"/>
    <cellStyle name="Standard 2 3 2" xfId="10"/>
    <cellStyle name="Standard 2 3 2 2" xfId="11"/>
    <cellStyle name="Standard 2 3 2 3" xfId="12"/>
    <cellStyle name="Standard 2 3 2 4" xfId="13"/>
    <cellStyle name="Standard 2 3 2 4 2" xfId="14"/>
    <cellStyle name="Standard 2 3 3" xfId="15"/>
    <cellStyle name="Standard 2 3 4" xfId="16"/>
    <cellStyle name="Standard 2 3 5" xfId="17"/>
    <cellStyle name="Standard 2 4" xfId="18"/>
    <cellStyle name="Standard 2 4 2" xfId="19"/>
    <cellStyle name="Standard 2 4 3" xfId="20"/>
    <cellStyle name="Standard 2 4 4" xfId="21"/>
    <cellStyle name="Standard 2 4 4 2" xfId="22"/>
    <cellStyle name="Standard 2 5" xfId="23"/>
    <cellStyle name="Standard 2 6" xfId="24"/>
    <cellStyle name="Standard 2 7" xfId="25"/>
    <cellStyle name="Standard 3" xfId="26"/>
    <cellStyle name="Standard 4"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5" dropStyle="combo" dx="16" fmlaLink="$AP$26" fmlaRange="Tiere!$B$30:$B$79" noThreeD="1" val="0"/>
</file>

<file path=xl/ctrlProps/ctrlProp10.xml><?xml version="1.0" encoding="utf-8"?>
<formControlPr xmlns="http://schemas.microsoft.com/office/spreadsheetml/2009/9/main" objectType="Drop" dropLines="15" dropStyle="combo" dx="16" fmlaLink="$AP$35" fmlaRange="Tiere!$B$30:$B$79" noThreeD="1" val="0"/>
</file>

<file path=xl/ctrlProps/ctrlProp11.xml><?xml version="1.0" encoding="utf-8"?>
<formControlPr xmlns="http://schemas.microsoft.com/office/spreadsheetml/2009/9/main" objectType="Drop" dropLines="15" dropStyle="combo" dx="16" fmlaLink="$AP$36" fmlaRange="Tiere!$B$30:$B$79" noThreeD="1" val="0"/>
</file>

<file path=xl/ctrlProps/ctrlProp12.xml><?xml version="1.0" encoding="utf-8"?>
<formControlPr xmlns="http://schemas.microsoft.com/office/spreadsheetml/2009/9/main" objectType="Drop" dropStyle="combo" dx="16" fmlaLink="$AQ$25" fmlaRange="Stroh!$B$2:$B$4" noThreeD="1" val="0"/>
</file>

<file path=xl/ctrlProps/ctrlProp13.xml><?xml version="1.0" encoding="utf-8"?>
<formControlPr xmlns="http://schemas.microsoft.com/office/spreadsheetml/2009/9/main" objectType="Drop" dropLines="15" dropStyle="combo" dx="16" fmlaLink="$AP$25" fmlaRange="Tiere!$B$30:$B$79" noThreeD="1" val="0"/>
</file>

<file path=xl/ctrlProps/ctrlProp14.xml><?xml version="1.0" encoding="utf-8"?>
<formControlPr xmlns="http://schemas.microsoft.com/office/spreadsheetml/2009/9/main" objectType="Drop" dropStyle="combo" dx="16" fmlaLink="$AQ$26" fmlaRange="Stroh!$B$2:$B$4" noThreeD="1" val="0"/>
</file>

<file path=xl/ctrlProps/ctrlProp15.xml><?xml version="1.0" encoding="utf-8"?>
<formControlPr xmlns="http://schemas.microsoft.com/office/spreadsheetml/2009/9/main" objectType="Drop" dropStyle="combo" dx="16" fmlaLink="$AQ$27" fmlaRange="Stroh!$B$2:$B$4" noThreeD="1" val="0"/>
</file>

<file path=xl/ctrlProps/ctrlProp16.xml><?xml version="1.0" encoding="utf-8"?>
<formControlPr xmlns="http://schemas.microsoft.com/office/spreadsheetml/2009/9/main" objectType="Drop" dropStyle="combo" dx="16" fmlaLink="$AQ$28" fmlaRange="Stroh!$B$2:$B$4" noThreeD="1" val="0"/>
</file>

<file path=xl/ctrlProps/ctrlProp17.xml><?xml version="1.0" encoding="utf-8"?>
<formControlPr xmlns="http://schemas.microsoft.com/office/spreadsheetml/2009/9/main" objectType="Drop" dropStyle="combo" dx="16" fmlaLink="$AQ$29" fmlaRange="Stroh!$B$2:$B$4" noThreeD="1" val="0"/>
</file>

<file path=xl/ctrlProps/ctrlProp18.xml><?xml version="1.0" encoding="utf-8"?>
<formControlPr xmlns="http://schemas.microsoft.com/office/spreadsheetml/2009/9/main" objectType="Drop" dropStyle="combo" dx="16" fmlaLink="$AQ$30" fmlaRange="Stroh!$B$2:$B$4" noThreeD="1" val="0"/>
</file>

<file path=xl/ctrlProps/ctrlProp19.xml><?xml version="1.0" encoding="utf-8"?>
<formControlPr xmlns="http://schemas.microsoft.com/office/spreadsheetml/2009/9/main" objectType="Drop" dropStyle="combo" dx="16" fmlaLink="$AQ$31" fmlaRange="Stroh!$B$2:$B$4" noThreeD="1" val="0"/>
</file>

<file path=xl/ctrlProps/ctrlProp2.xml><?xml version="1.0" encoding="utf-8"?>
<formControlPr xmlns="http://schemas.microsoft.com/office/spreadsheetml/2009/9/main" objectType="Drop" dropLines="15" dropStyle="combo" dx="16" fmlaLink="$AP$27" fmlaRange="Tiere!$B$30:$B$79" noThreeD="1" val="0"/>
</file>

<file path=xl/ctrlProps/ctrlProp20.xml><?xml version="1.0" encoding="utf-8"?>
<formControlPr xmlns="http://schemas.microsoft.com/office/spreadsheetml/2009/9/main" objectType="Drop" dropStyle="combo" dx="16" fmlaLink="$AQ$32" fmlaRange="Stroh!$B$2:$B$4" noThreeD="1" val="0"/>
</file>

<file path=xl/ctrlProps/ctrlProp21.xml><?xml version="1.0" encoding="utf-8"?>
<formControlPr xmlns="http://schemas.microsoft.com/office/spreadsheetml/2009/9/main" objectType="Drop" dropStyle="combo" dx="16" fmlaLink="$AQ$33" fmlaRange="Stroh!$B$2:$B$4" noThreeD="1" val="0"/>
</file>

<file path=xl/ctrlProps/ctrlProp22.xml><?xml version="1.0" encoding="utf-8"?>
<formControlPr xmlns="http://schemas.microsoft.com/office/spreadsheetml/2009/9/main" objectType="Drop" dropStyle="combo" dx="16" fmlaLink="$AQ$34" fmlaRange="Stroh!$B$2:$B$4" noThreeD="1" val="0"/>
</file>

<file path=xl/ctrlProps/ctrlProp23.xml><?xml version="1.0" encoding="utf-8"?>
<formControlPr xmlns="http://schemas.microsoft.com/office/spreadsheetml/2009/9/main" objectType="Drop" dropStyle="combo" dx="16" fmlaLink="$AQ$35" fmlaRange="Stroh!$B$2:$B$4" noThreeD="1" val="0"/>
</file>

<file path=xl/ctrlProps/ctrlProp24.xml><?xml version="1.0" encoding="utf-8"?>
<formControlPr xmlns="http://schemas.microsoft.com/office/spreadsheetml/2009/9/main" objectType="Drop" dropStyle="combo" dx="16" fmlaLink="$AQ$36" fmlaRange="Stroh!$B$2:$B$4" noThreeD="1" val="0"/>
</file>

<file path=xl/ctrlProps/ctrlProp25.xml><?xml version="1.0" encoding="utf-8"?>
<formControlPr xmlns="http://schemas.microsoft.com/office/spreadsheetml/2009/9/main" objectType="Drop" dropStyle="combo" dx="16" fmlaLink="$AQ$38" fmlaRange="Stroh!$B$2:$B$4" noThreeD="1" val="0"/>
</file>

<file path=xl/ctrlProps/ctrlProp26.xml><?xml version="1.0" encoding="utf-8"?>
<formControlPr xmlns="http://schemas.microsoft.com/office/spreadsheetml/2009/9/main" objectType="Drop" dropStyle="combo" dx="16" fmlaLink="#REF!" fmlaRange="Stroh!$B$2:$B$4" noThreeD="1" sel="0" val="0"/>
</file>

<file path=xl/ctrlProps/ctrlProp27.xml><?xml version="1.0" encoding="utf-8"?>
<formControlPr xmlns="http://schemas.microsoft.com/office/spreadsheetml/2009/9/main" objectType="Drop" dropStyle="combo" dx="16" fmlaLink="$AQ$39" fmlaRange="Stroh!$B$2:$B$4" noThreeD="1" val="0"/>
</file>

<file path=xl/ctrlProps/ctrlProp28.xml><?xml version="1.0" encoding="utf-8"?>
<formControlPr xmlns="http://schemas.microsoft.com/office/spreadsheetml/2009/9/main" objectType="Drop" dropStyle="combo" dx="16" fmlaLink="$AQ$40" fmlaRange="Stroh!$B$2:$B$4" noThreeD="1" val="0"/>
</file>

<file path=xl/ctrlProps/ctrlProp29.xml><?xml version="1.0" encoding="utf-8"?>
<formControlPr xmlns="http://schemas.microsoft.com/office/spreadsheetml/2009/9/main" objectType="Drop" dropLines="3" dropStyle="combo" dx="16" fmlaLink="$U$116" fmlaRange="$R$115:$R$117" noThreeD="1" val="0"/>
</file>

<file path=xl/ctrlProps/ctrlProp3.xml><?xml version="1.0" encoding="utf-8"?>
<formControlPr xmlns="http://schemas.microsoft.com/office/spreadsheetml/2009/9/main" objectType="Drop" dropLines="15" dropStyle="combo" dx="16" fmlaLink="$AP$28" fmlaRange="Tiere!$B$30:$B$79" noThreeD="1" val="0"/>
</file>

<file path=xl/ctrlProps/ctrlProp30.xml><?xml version="1.0" encoding="utf-8"?>
<formControlPr xmlns="http://schemas.microsoft.com/office/spreadsheetml/2009/9/main" objectType="Drop" dropLines="3" dropStyle="combo" dx="16" fmlaLink="$U$117" fmlaRange="$R$115:$R$117" noThreeD="1" val="0"/>
</file>

<file path=xl/ctrlProps/ctrlProp31.xml><?xml version="1.0" encoding="utf-8"?>
<formControlPr xmlns="http://schemas.microsoft.com/office/spreadsheetml/2009/9/main" objectType="Drop" dropLines="3" dropStyle="combo" dx="16" fmlaLink="$U$118" fmlaRange="$R$115:$R$117" noThreeD="1" val="0"/>
</file>

<file path=xl/ctrlProps/ctrlProp32.xml><?xml version="1.0" encoding="utf-8"?>
<formControlPr xmlns="http://schemas.microsoft.com/office/spreadsheetml/2009/9/main" objectType="Drop" dropLines="3" dropStyle="combo" dx="16" fmlaLink="$U$119" fmlaRange="$R$115:$R$117" noThreeD="1" val="0"/>
</file>

<file path=xl/ctrlProps/ctrlProp33.xml><?xml version="1.0" encoding="utf-8"?>
<formControlPr xmlns="http://schemas.microsoft.com/office/spreadsheetml/2009/9/main" objectType="Drop" dropLines="3" dropStyle="combo" dx="16" fmlaLink="$U$127" fmlaRange="$R$127:$R$129" noThreeD="1" val="0"/>
</file>

<file path=xl/ctrlProps/ctrlProp34.xml><?xml version="1.0" encoding="utf-8"?>
<formControlPr xmlns="http://schemas.microsoft.com/office/spreadsheetml/2009/9/main" objectType="Drop" dropLines="3" dropStyle="combo" dx="16" fmlaLink="$U$128" fmlaRange="$R$127:$R$129" noThreeD="1" val="0"/>
</file>

<file path=xl/ctrlProps/ctrlProp35.xml><?xml version="1.0" encoding="utf-8"?>
<formControlPr xmlns="http://schemas.microsoft.com/office/spreadsheetml/2009/9/main" objectType="Drop" dropLines="3" dropStyle="combo" dx="16" fmlaLink="$U$129" fmlaRange="$R$127:$R$129" noThreeD="1" val="0"/>
</file>

<file path=xl/ctrlProps/ctrlProp36.xml><?xml version="1.0" encoding="utf-8"?>
<formControlPr xmlns="http://schemas.microsoft.com/office/spreadsheetml/2009/9/main" objectType="Drop" dropLines="3" dropStyle="combo" dx="16" fmlaLink="$U$130" fmlaRange="$R$127:$R$129" noThreeD="1" val="0"/>
</file>

<file path=xl/ctrlProps/ctrlProp37.xml><?xml version="1.0" encoding="utf-8"?>
<formControlPr xmlns="http://schemas.microsoft.com/office/spreadsheetml/2009/9/main" objectType="Drop" dropStyle="combo" dx="16" fmlaLink="$W$13:$W$14" fmlaRange="$X$13:$X$14" noThreeD="1" val="0"/>
</file>

<file path=xl/ctrlProps/ctrlProp38.xml><?xml version="1.0" encoding="utf-8"?>
<formControlPr xmlns="http://schemas.microsoft.com/office/spreadsheetml/2009/9/main" objectType="Drop" dropLines="15" dropStyle="combo" dx="16" fmlaLink="$AP$26" fmlaRange="Tiere!$B$30:$B$79" noThreeD="1" val="0"/>
</file>

<file path=xl/ctrlProps/ctrlProp39.xml><?xml version="1.0" encoding="utf-8"?>
<formControlPr xmlns="http://schemas.microsoft.com/office/spreadsheetml/2009/9/main" objectType="Drop" dropLines="15" dropStyle="combo" dx="16" fmlaLink="$AP$27" fmlaRange="Tiere!$B$30:$B$79" noThreeD="1" val="0"/>
</file>

<file path=xl/ctrlProps/ctrlProp4.xml><?xml version="1.0" encoding="utf-8"?>
<formControlPr xmlns="http://schemas.microsoft.com/office/spreadsheetml/2009/9/main" objectType="Drop" dropLines="15" dropStyle="combo" dx="16" fmlaLink="$AP$29" fmlaRange="Tiere!$B$30:$B$79" noThreeD="1" val="0"/>
</file>

<file path=xl/ctrlProps/ctrlProp40.xml><?xml version="1.0" encoding="utf-8"?>
<formControlPr xmlns="http://schemas.microsoft.com/office/spreadsheetml/2009/9/main" objectType="Drop" dropLines="15" dropStyle="combo" dx="16" fmlaLink="$AP$28" fmlaRange="Tiere!$B$30:$B$79" noThreeD="1" val="0"/>
</file>

<file path=xl/ctrlProps/ctrlProp41.xml><?xml version="1.0" encoding="utf-8"?>
<formControlPr xmlns="http://schemas.microsoft.com/office/spreadsheetml/2009/9/main" objectType="Drop" dropLines="15" dropStyle="combo" dx="16" fmlaLink="$AP$29" fmlaRange="Tiere!$B$30:$B$79" noThreeD="1" val="0"/>
</file>

<file path=xl/ctrlProps/ctrlProp42.xml><?xml version="1.0" encoding="utf-8"?>
<formControlPr xmlns="http://schemas.microsoft.com/office/spreadsheetml/2009/9/main" objectType="Drop" dropLines="15" dropStyle="combo" dx="16" fmlaLink="$AP$30" fmlaRange="Tiere!$B$30:$B$79" noThreeD="1" val="0"/>
</file>

<file path=xl/ctrlProps/ctrlProp43.xml><?xml version="1.0" encoding="utf-8"?>
<formControlPr xmlns="http://schemas.microsoft.com/office/spreadsheetml/2009/9/main" objectType="Drop" dropLines="15" dropStyle="combo" dx="16" fmlaLink="$AP$31" fmlaRange="Tiere!$B$30:$B$79" noThreeD="1" val="0"/>
</file>

<file path=xl/ctrlProps/ctrlProp44.xml><?xml version="1.0" encoding="utf-8"?>
<formControlPr xmlns="http://schemas.microsoft.com/office/spreadsheetml/2009/9/main" objectType="Drop" dropLines="15" dropStyle="combo" dx="16" fmlaLink="$AP$32" fmlaRange="Tiere!$B$30:$B$79" noThreeD="1" val="0"/>
</file>

<file path=xl/ctrlProps/ctrlProp45.xml><?xml version="1.0" encoding="utf-8"?>
<formControlPr xmlns="http://schemas.microsoft.com/office/spreadsheetml/2009/9/main" objectType="Drop" dropLines="15" dropStyle="combo" dx="16" fmlaLink="$AP$33" fmlaRange="Tiere!$B$30:$B$79" noThreeD="1" val="0"/>
</file>

<file path=xl/ctrlProps/ctrlProp46.xml><?xml version="1.0" encoding="utf-8"?>
<formControlPr xmlns="http://schemas.microsoft.com/office/spreadsheetml/2009/9/main" objectType="Drop" dropLines="15" dropStyle="combo" dx="16" fmlaLink="$AP$34" fmlaRange="Tiere!$B$30:$B$79" noThreeD="1" val="0"/>
</file>

<file path=xl/ctrlProps/ctrlProp47.xml><?xml version="1.0" encoding="utf-8"?>
<formControlPr xmlns="http://schemas.microsoft.com/office/spreadsheetml/2009/9/main" objectType="Drop" dropLines="15" dropStyle="combo" dx="16" fmlaLink="$AP$35" fmlaRange="Tiere!$B$30:$B$79" noThreeD="1" val="0"/>
</file>

<file path=xl/ctrlProps/ctrlProp48.xml><?xml version="1.0" encoding="utf-8"?>
<formControlPr xmlns="http://schemas.microsoft.com/office/spreadsheetml/2009/9/main" objectType="Drop" dropLines="15" dropStyle="combo" dx="16" fmlaLink="$AP$36" fmlaRange="Tiere!$B$30:$B$79" noThreeD="1" val="0"/>
</file>

<file path=xl/ctrlProps/ctrlProp49.xml><?xml version="1.0" encoding="utf-8"?>
<formControlPr xmlns="http://schemas.microsoft.com/office/spreadsheetml/2009/9/main" objectType="Drop" dropStyle="combo" dx="16" fmlaLink="$AQ$25" fmlaRange="Stroh!$B$2:$B$4" noThreeD="1" val="0"/>
</file>

<file path=xl/ctrlProps/ctrlProp5.xml><?xml version="1.0" encoding="utf-8"?>
<formControlPr xmlns="http://schemas.microsoft.com/office/spreadsheetml/2009/9/main" objectType="Drop" dropLines="15" dropStyle="combo" dx="16" fmlaLink="$AP$30" fmlaRange="Tiere!$B$30:$B$79" noThreeD="1" val="0"/>
</file>

<file path=xl/ctrlProps/ctrlProp50.xml><?xml version="1.0" encoding="utf-8"?>
<formControlPr xmlns="http://schemas.microsoft.com/office/spreadsheetml/2009/9/main" objectType="Drop" dropLines="15" dropStyle="combo" dx="16" fmlaLink="$AP$25" fmlaRange="Tiere!$B$30:$B$79" noThreeD="1" val="0"/>
</file>

<file path=xl/ctrlProps/ctrlProp51.xml><?xml version="1.0" encoding="utf-8"?>
<formControlPr xmlns="http://schemas.microsoft.com/office/spreadsheetml/2009/9/main" objectType="Drop" dropStyle="combo" dx="16" fmlaLink="$AQ$26" fmlaRange="Stroh!$B$2:$B$4" noThreeD="1" val="0"/>
</file>

<file path=xl/ctrlProps/ctrlProp52.xml><?xml version="1.0" encoding="utf-8"?>
<formControlPr xmlns="http://schemas.microsoft.com/office/spreadsheetml/2009/9/main" objectType="Drop" dropStyle="combo" dx="16" fmlaLink="$AQ$27" fmlaRange="Stroh!$B$2:$B$4" noThreeD="1" val="0"/>
</file>

<file path=xl/ctrlProps/ctrlProp53.xml><?xml version="1.0" encoding="utf-8"?>
<formControlPr xmlns="http://schemas.microsoft.com/office/spreadsheetml/2009/9/main" objectType="Drop" dropStyle="combo" dx="16" fmlaLink="$AQ$28" fmlaRange="Stroh!$B$2:$B$4" noThreeD="1" val="0"/>
</file>

<file path=xl/ctrlProps/ctrlProp54.xml><?xml version="1.0" encoding="utf-8"?>
<formControlPr xmlns="http://schemas.microsoft.com/office/spreadsheetml/2009/9/main" objectType="Drop" dropStyle="combo" dx="16" fmlaLink="$AQ$29" fmlaRange="Stroh!$B$2:$B$4" noThreeD="1" val="0"/>
</file>

<file path=xl/ctrlProps/ctrlProp55.xml><?xml version="1.0" encoding="utf-8"?>
<formControlPr xmlns="http://schemas.microsoft.com/office/spreadsheetml/2009/9/main" objectType="Drop" dropStyle="combo" dx="16" fmlaLink="$AQ$30" fmlaRange="Stroh!$B$2:$B$4" noThreeD="1" val="0"/>
</file>

<file path=xl/ctrlProps/ctrlProp56.xml><?xml version="1.0" encoding="utf-8"?>
<formControlPr xmlns="http://schemas.microsoft.com/office/spreadsheetml/2009/9/main" objectType="Drop" dropStyle="combo" dx="16" fmlaLink="$AQ$31" fmlaRange="Stroh!$B$2:$B$4" noThreeD="1" val="0"/>
</file>

<file path=xl/ctrlProps/ctrlProp57.xml><?xml version="1.0" encoding="utf-8"?>
<formControlPr xmlns="http://schemas.microsoft.com/office/spreadsheetml/2009/9/main" objectType="Drop" dropStyle="combo" dx="16" fmlaLink="$AQ$32" fmlaRange="Stroh!$B$2:$B$4" noThreeD="1" val="0"/>
</file>

<file path=xl/ctrlProps/ctrlProp58.xml><?xml version="1.0" encoding="utf-8"?>
<formControlPr xmlns="http://schemas.microsoft.com/office/spreadsheetml/2009/9/main" objectType="Drop" dropStyle="combo" dx="16" fmlaLink="$AQ$33" fmlaRange="Stroh!$B$2:$B$4" noThreeD="1" val="0"/>
</file>

<file path=xl/ctrlProps/ctrlProp59.xml><?xml version="1.0" encoding="utf-8"?>
<formControlPr xmlns="http://schemas.microsoft.com/office/spreadsheetml/2009/9/main" objectType="Drop" dropStyle="combo" dx="16" fmlaLink="$AQ$34" fmlaRange="Stroh!$B$2:$B$4" noThreeD="1" val="0"/>
</file>

<file path=xl/ctrlProps/ctrlProp6.xml><?xml version="1.0" encoding="utf-8"?>
<formControlPr xmlns="http://schemas.microsoft.com/office/spreadsheetml/2009/9/main" objectType="Drop" dropLines="15" dropStyle="combo" dx="16" fmlaLink="$AP$31" fmlaRange="Tiere!$B$30:$B$79" noThreeD="1" val="0"/>
</file>

<file path=xl/ctrlProps/ctrlProp60.xml><?xml version="1.0" encoding="utf-8"?>
<formControlPr xmlns="http://schemas.microsoft.com/office/spreadsheetml/2009/9/main" objectType="Drop" dropStyle="combo" dx="16" fmlaLink="$AQ$35" fmlaRange="Stroh!$B$2:$B$4" noThreeD="1" val="0"/>
</file>

<file path=xl/ctrlProps/ctrlProp61.xml><?xml version="1.0" encoding="utf-8"?>
<formControlPr xmlns="http://schemas.microsoft.com/office/spreadsheetml/2009/9/main" objectType="Drop" dropStyle="combo" dx="16" fmlaLink="$AQ$36" fmlaRange="Stroh!$B$2:$B$4" noThreeD="1" val="0"/>
</file>

<file path=xl/ctrlProps/ctrlProp62.xml><?xml version="1.0" encoding="utf-8"?>
<formControlPr xmlns="http://schemas.microsoft.com/office/spreadsheetml/2009/9/main" objectType="Drop" dropStyle="combo" dx="16" fmlaLink="$AQ$38" fmlaRange="Stroh!$B$2:$B$4" noThreeD="1" val="0"/>
</file>

<file path=xl/ctrlProps/ctrlProp63.xml><?xml version="1.0" encoding="utf-8"?>
<formControlPr xmlns="http://schemas.microsoft.com/office/spreadsheetml/2009/9/main" objectType="Drop" dropStyle="combo" dx="16" fmlaLink="#REF!" fmlaRange="Stroh!$B$2:$B$4" noThreeD="1" sel="0" val="0"/>
</file>

<file path=xl/ctrlProps/ctrlProp64.xml><?xml version="1.0" encoding="utf-8"?>
<formControlPr xmlns="http://schemas.microsoft.com/office/spreadsheetml/2009/9/main" objectType="Drop" dropStyle="combo" dx="16" fmlaLink="$AQ$39" fmlaRange="Stroh!$B$2:$B$4" noThreeD="1" val="0"/>
</file>

<file path=xl/ctrlProps/ctrlProp65.xml><?xml version="1.0" encoding="utf-8"?>
<formControlPr xmlns="http://schemas.microsoft.com/office/spreadsheetml/2009/9/main" objectType="Drop" dropStyle="combo" dx="16" fmlaLink="$AQ$40" fmlaRange="Stroh!$B$2:$B$4" noThreeD="1" val="0"/>
</file>

<file path=xl/ctrlProps/ctrlProp66.xml><?xml version="1.0" encoding="utf-8"?>
<formControlPr xmlns="http://schemas.microsoft.com/office/spreadsheetml/2009/9/main" objectType="Drop" dropLines="3" dropStyle="combo" dx="16" fmlaLink="$U$116" fmlaRange="$R$115:$R$117" noThreeD="1" val="0"/>
</file>

<file path=xl/ctrlProps/ctrlProp67.xml><?xml version="1.0" encoding="utf-8"?>
<formControlPr xmlns="http://schemas.microsoft.com/office/spreadsheetml/2009/9/main" objectType="Drop" dropLines="3" dropStyle="combo" dx="16" fmlaLink="$U$117" fmlaRange="$R$115:$R$117" noThreeD="1" val="0"/>
</file>

<file path=xl/ctrlProps/ctrlProp68.xml><?xml version="1.0" encoding="utf-8"?>
<formControlPr xmlns="http://schemas.microsoft.com/office/spreadsheetml/2009/9/main" objectType="Drop" dropLines="3" dropStyle="combo" dx="16" fmlaLink="$U$118" fmlaRange="$R$115:$R$117" noThreeD="1" val="0"/>
</file>

<file path=xl/ctrlProps/ctrlProp69.xml><?xml version="1.0" encoding="utf-8"?>
<formControlPr xmlns="http://schemas.microsoft.com/office/spreadsheetml/2009/9/main" objectType="Drop" dropLines="3" dropStyle="combo" dx="16" fmlaLink="$U$119" fmlaRange="$R$115:$R$117" noThreeD="1" val="0"/>
</file>

<file path=xl/ctrlProps/ctrlProp7.xml><?xml version="1.0" encoding="utf-8"?>
<formControlPr xmlns="http://schemas.microsoft.com/office/spreadsheetml/2009/9/main" objectType="Drop" dropLines="15" dropStyle="combo" dx="16" fmlaLink="$AP$32" fmlaRange="Tiere!$B$30:$B$79" noThreeD="1" val="0"/>
</file>

<file path=xl/ctrlProps/ctrlProp70.xml><?xml version="1.0" encoding="utf-8"?>
<formControlPr xmlns="http://schemas.microsoft.com/office/spreadsheetml/2009/9/main" objectType="Drop" dropLines="3" dropStyle="combo" dx="16" fmlaLink="$U$127" fmlaRange="$R$127:$R$129" noThreeD="1" val="0"/>
</file>

<file path=xl/ctrlProps/ctrlProp71.xml><?xml version="1.0" encoding="utf-8"?>
<formControlPr xmlns="http://schemas.microsoft.com/office/spreadsheetml/2009/9/main" objectType="Drop" dropLines="3" dropStyle="combo" dx="16" fmlaLink="$U$128" fmlaRange="$R$127:$R$129" noThreeD="1" val="0"/>
</file>

<file path=xl/ctrlProps/ctrlProp72.xml><?xml version="1.0" encoding="utf-8"?>
<formControlPr xmlns="http://schemas.microsoft.com/office/spreadsheetml/2009/9/main" objectType="Drop" dropLines="3" dropStyle="combo" dx="16" fmlaLink="$U$129" fmlaRange="$R$127:$R$129" noThreeD="1" val="0"/>
</file>

<file path=xl/ctrlProps/ctrlProp73.xml><?xml version="1.0" encoding="utf-8"?>
<formControlPr xmlns="http://schemas.microsoft.com/office/spreadsheetml/2009/9/main" objectType="Drop" dropLines="3" dropStyle="combo" dx="16" fmlaLink="$U$130" fmlaRange="$R$127:$R$129" noThreeD="1" val="0"/>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Drop" dropStyle="combo" dx="16" fmlaLink="$W$13:$W$14" fmlaRange="$X$13:$X$14" noThreeD="1" sel="2" val="0"/>
</file>

<file path=xl/ctrlProps/ctrlProp76.xml><?xml version="1.0" encoding="utf-8"?>
<formControlPr xmlns="http://schemas.microsoft.com/office/spreadsheetml/2009/9/main" objectType="Drop" dropLines="5" dropStyle="combo" dx="16" fmlaLink="'Abweichende Werte'!$T$7" fmlaRange="Tiere!$D$83:$D$87" noThreeD="1" val="0"/>
</file>

<file path=xl/ctrlProps/ctrlProp77.xml><?xml version="1.0" encoding="utf-8"?>
<formControlPr xmlns="http://schemas.microsoft.com/office/spreadsheetml/2009/9/main" objectType="Drop" dropLines="5" dropStyle="combo" dx="16" fmlaLink="$T$8" fmlaRange="Tiere!$D$83:$D$87" noThreeD="1" val="0"/>
</file>

<file path=xl/ctrlProps/ctrlProp78.xml><?xml version="1.0" encoding="utf-8"?>
<formControlPr xmlns="http://schemas.microsoft.com/office/spreadsheetml/2009/9/main" objectType="Drop" dropStyle="combo" dx="16" fmlaLink="'Abweichende Werte'!$T$9" fmlaRange="Tiere!$D$83:$D$87" noThreeD="1" val="0"/>
</file>

<file path=xl/ctrlProps/ctrlProp79.xml><?xml version="1.0" encoding="utf-8"?>
<formControlPr xmlns="http://schemas.microsoft.com/office/spreadsheetml/2009/9/main" objectType="Drop" dropLines="20" dropStyle="combo" dx="16" fmlaLink="$M$6" fmlaRange="'org Dünger'!$B$8:$B$34" noThreeD="1" val="0"/>
</file>

<file path=xl/ctrlProps/ctrlProp8.xml><?xml version="1.0" encoding="utf-8"?>
<formControlPr xmlns="http://schemas.microsoft.com/office/spreadsheetml/2009/9/main" objectType="Drop" dropLines="15" dropStyle="combo" dx="16" fmlaLink="$AP$33" fmlaRange="Tiere!$B$30:$B$79" noThreeD="1" val="0"/>
</file>

<file path=xl/ctrlProps/ctrlProp80.xml><?xml version="1.0" encoding="utf-8"?>
<formControlPr xmlns="http://schemas.microsoft.com/office/spreadsheetml/2009/9/main" objectType="Drop" dropLines="20" dropStyle="combo" dx="16" fmlaLink="$M$5" fmlaRange="'org Dünger'!$B$8:$B$34" noThreeD="1" val="0"/>
</file>

<file path=xl/ctrlProps/ctrlProp81.xml><?xml version="1.0" encoding="utf-8"?>
<formControlPr xmlns="http://schemas.microsoft.com/office/spreadsheetml/2009/9/main" objectType="Drop" dropLines="20" dropStyle="combo" dx="16" fmlaLink="$M$7" fmlaRange="'org Dünger'!$B$8:$B$34" noThreeD="1" val="0"/>
</file>

<file path=xl/ctrlProps/ctrlProp82.xml><?xml version="1.0" encoding="utf-8"?>
<formControlPr xmlns="http://schemas.microsoft.com/office/spreadsheetml/2009/9/main" objectType="Drop" dropLines="20" dropStyle="combo" dx="16" fmlaLink="$Q$5" fmlaRange="$Q$24:$Q$26" noThreeD="1" val="0"/>
</file>

<file path=xl/ctrlProps/ctrlProp83.xml><?xml version="1.0" encoding="utf-8"?>
<formControlPr xmlns="http://schemas.microsoft.com/office/spreadsheetml/2009/9/main" objectType="Drop" dropLines="20" dropStyle="combo" dx="16" fmlaLink="$Q$6" fmlaRange="$Q$24:$Q$26" noThreeD="1" val="0"/>
</file>

<file path=xl/ctrlProps/ctrlProp84.xml><?xml version="1.0" encoding="utf-8"?>
<formControlPr xmlns="http://schemas.microsoft.com/office/spreadsheetml/2009/9/main" objectType="Drop" dropLines="20" dropStyle="combo" dx="16" fmlaLink="$Q$7" fmlaRange="$Q$24:$Q$26" noThreeD="1" val="0"/>
</file>

<file path=xl/ctrlProps/ctrlProp85.xml><?xml version="1.0" encoding="utf-8"?>
<formControlPr xmlns="http://schemas.microsoft.com/office/spreadsheetml/2009/9/main" objectType="Drop" dropLines="20" dropStyle="combo" dx="16" fmlaLink="$Q$8" fmlaRange="$Q$24:$Q$26" noThreeD="1" val="0"/>
</file>

<file path=xl/ctrlProps/ctrlProp86.xml><?xml version="1.0" encoding="utf-8"?>
<formControlPr xmlns="http://schemas.microsoft.com/office/spreadsheetml/2009/9/main" objectType="Drop" dropLines="20" dropStyle="combo" dx="16" fmlaLink="$Q$9" fmlaRange="$Q$24:$Q$26" noThreeD="1" val="0"/>
</file>

<file path=xl/ctrlProps/ctrlProp87.xml><?xml version="1.0" encoding="utf-8"?>
<formControlPr xmlns="http://schemas.microsoft.com/office/spreadsheetml/2009/9/main" objectType="Drop" dropLines="20" dropStyle="combo" dx="16" fmlaLink="$Q$10" fmlaRange="$Q$24:$Q$26" noThreeD="1" val="0"/>
</file>

<file path=xl/ctrlProps/ctrlProp88.xml><?xml version="1.0" encoding="utf-8"?>
<formControlPr xmlns="http://schemas.microsoft.com/office/spreadsheetml/2009/9/main" objectType="Drop" dropLines="20" dropStyle="combo" dx="16" fmlaLink="$Q$11" fmlaRange="$Q$24:$Q$26" noThreeD="1" val="0"/>
</file>

<file path=xl/ctrlProps/ctrlProp9.xml><?xml version="1.0" encoding="utf-8"?>
<formControlPr xmlns="http://schemas.microsoft.com/office/spreadsheetml/2009/9/main" objectType="Drop" dropLines="15" dropStyle="combo" dx="16" fmlaLink="$AP$34" fmlaRange="Tiere!$B$30:$B$79"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24</xdr:row>
          <xdr:rowOff>190500</xdr:rowOff>
        </xdr:from>
        <xdr:to>
          <xdr:col>2</xdr:col>
          <xdr:colOff>847725</xdr:colOff>
          <xdr:row>25</xdr:row>
          <xdr:rowOff>190500</xdr:rowOff>
        </xdr:to>
        <xdr:sp macro="" textlink="">
          <xdr:nvSpPr>
            <xdr:cNvPr id="2055" name="Drop Down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180975</xdr:rowOff>
        </xdr:from>
        <xdr:to>
          <xdr:col>2</xdr:col>
          <xdr:colOff>847725</xdr:colOff>
          <xdr:row>26</xdr:row>
          <xdr:rowOff>180975</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180975</xdr:rowOff>
        </xdr:from>
        <xdr:to>
          <xdr:col>2</xdr:col>
          <xdr:colOff>847725</xdr:colOff>
          <xdr:row>27</xdr:row>
          <xdr:rowOff>180975</xdr:rowOff>
        </xdr:to>
        <xdr:sp macro="" textlink="">
          <xdr:nvSpPr>
            <xdr:cNvPr id="2059" name="Drop Down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180975</xdr:rowOff>
        </xdr:from>
        <xdr:to>
          <xdr:col>2</xdr:col>
          <xdr:colOff>847725</xdr:colOff>
          <xdr:row>28</xdr:row>
          <xdr:rowOff>180975</xdr:rowOff>
        </xdr:to>
        <xdr:sp macro="" textlink="">
          <xdr:nvSpPr>
            <xdr:cNvPr id="2060" name="Drop Down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180975</xdr:rowOff>
        </xdr:from>
        <xdr:to>
          <xdr:col>2</xdr:col>
          <xdr:colOff>847725</xdr:colOff>
          <xdr:row>29</xdr:row>
          <xdr:rowOff>180975</xdr:rowOff>
        </xdr:to>
        <xdr:sp macro="" textlink="">
          <xdr:nvSpPr>
            <xdr:cNvPr id="2061" name="Drop Down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180975</xdr:rowOff>
        </xdr:from>
        <xdr:to>
          <xdr:col>2</xdr:col>
          <xdr:colOff>847725</xdr:colOff>
          <xdr:row>30</xdr:row>
          <xdr:rowOff>180975</xdr:rowOff>
        </xdr:to>
        <xdr:sp macro="" textlink="">
          <xdr:nvSpPr>
            <xdr:cNvPr id="2062" name="Drop Down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180975</xdr:rowOff>
        </xdr:from>
        <xdr:to>
          <xdr:col>2</xdr:col>
          <xdr:colOff>847725</xdr:colOff>
          <xdr:row>31</xdr:row>
          <xdr:rowOff>180975</xdr:rowOff>
        </xdr:to>
        <xdr:sp macro="" textlink="">
          <xdr:nvSpPr>
            <xdr:cNvPr id="2063" name="Drop Down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180975</xdr:rowOff>
        </xdr:from>
        <xdr:to>
          <xdr:col>2</xdr:col>
          <xdr:colOff>847725</xdr:colOff>
          <xdr:row>32</xdr:row>
          <xdr:rowOff>180975</xdr:rowOff>
        </xdr:to>
        <xdr:sp macro="" textlink="">
          <xdr:nvSpPr>
            <xdr:cNvPr id="2064" name="Drop Down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190500</xdr:rowOff>
        </xdr:from>
        <xdr:to>
          <xdr:col>2</xdr:col>
          <xdr:colOff>847725</xdr:colOff>
          <xdr:row>33</xdr:row>
          <xdr:rowOff>190500</xdr:rowOff>
        </xdr:to>
        <xdr:sp macro="" textlink="">
          <xdr:nvSpPr>
            <xdr:cNvPr id="2065" name="Drop Down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190500</xdr:rowOff>
        </xdr:from>
        <xdr:to>
          <xdr:col>2</xdr:col>
          <xdr:colOff>847725</xdr:colOff>
          <xdr:row>34</xdr:row>
          <xdr:rowOff>190500</xdr:rowOff>
        </xdr:to>
        <xdr:sp macro="" textlink="">
          <xdr:nvSpPr>
            <xdr:cNvPr id="2081" name="Drop Down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190500</xdr:rowOff>
        </xdr:from>
        <xdr:to>
          <xdr:col>2</xdr:col>
          <xdr:colOff>847725</xdr:colOff>
          <xdr:row>35</xdr:row>
          <xdr:rowOff>190500</xdr:rowOff>
        </xdr:to>
        <xdr:sp macro="" textlink="">
          <xdr:nvSpPr>
            <xdr:cNvPr id="2082" name="Drop Down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5</xdr:col>
          <xdr:colOff>495300</xdr:colOff>
          <xdr:row>24</xdr:row>
          <xdr:rowOff>161925</xdr:rowOff>
        </xdr:to>
        <xdr:sp macro="" textlink="">
          <xdr:nvSpPr>
            <xdr:cNvPr id="2208" name="Drop Down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2</xdr:col>
          <xdr:colOff>847725</xdr:colOff>
          <xdr:row>24</xdr:row>
          <xdr:rowOff>190500</xdr:rowOff>
        </xdr:to>
        <xdr:sp macro="" textlink="">
          <xdr:nvSpPr>
            <xdr:cNvPr id="2250" name="Drop Down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180975</xdr:rowOff>
        </xdr:from>
        <xdr:to>
          <xdr:col>5</xdr:col>
          <xdr:colOff>495300</xdr:colOff>
          <xdr:row>25</xdr:row>
          <xdr:rowOff>161925</xdr:rowOff>
        </xdr:to>
        <xdr:sp macro="" textlink="">
          <xdr:nvSpPr>
            <xdr:cNvPr id="2261" name="Drop Down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180975</xdr:rowOff>
        </xdr:from>
        <xdr:to>
          <xdr:col>5</xdr:col>
          <xdr:colOff>495300</xdr:colOff>
          <xdr:row>26</xdr:row>
          <xdr:rowOff>161925</xdr:rowOff>
        </xdr:to>
        <xdr:sp macro="" textlink="">
          <xdr:nvSpPr>
            <xdr:cNvPr id="2262" name="Drop Down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180975</xdr:rowOff>
        </xdr:from>
        <xdr:to>
          <xdr:col>5</xdr:col>
          <xdr:colOff>495300</xdr:colOff>
          <xdr:row>27</xdr:row>
          <xdr:rowOff>161925</xdr:rowOff>
        </xdr:to>
        <xdr:sp macro="" textlink="">
          <xdr:nvSpPr>
            <xdr:cNvPr id="2263" name="Drop Down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180975</xdr:rowOff>
        </xdr:from>
        <xdr:to>
          <xdr:col>5</xdr:col>
          <xdr:colOff>495300</xdr:colOff>
          <xdr:row>28</xdr:row>
          <xdr:rowOff>161925</xdr:rowOff>
        </xdr:to>
        <xdr:sp macro="" textlink="">
          <xdr:nvSpPr>
            <xdr:cNvPr id="2264" name="Drop Down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180975</xdr:rowOff>
        </xdr:from>
        <xdr:to>
          <xdr:col>5</xdr:col>
          <xdr:colOff>495300</xdr:colOff>
          <xdr:row>29</xdr:row>
          <xdr:rowOff>161925</xdr:rowOff>
        </xdr:to>
        <xdr:sp macro="" textlink="">
          <xdr:nvSpPr>
            <xdr:cNvPr id="2265" name="Drop Down 217" hidden="1">
              <a:extLst>
                <a:ext uri="{63B3BB69-23CF-44E3-9099-C40C66FF867C}">
                  <a14:compatExt spid="_x0000_s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180975</xdr:rowOff>
        </xdr:from>
        <xdr:to>
          <xdr:col>5</xdr:col>
          <xdr:colOff>495300</xdr:colOff>
          <xdr:row>30</xdr:row>
          <xdr:rowOff>161925</xdr:rowOff>
        </xdr:to>
        <xdr:sp macro="" textlink="">
          <xdr:nvSpPr>
            <xdr:cNvPr id="2266" name="Drop Down 218" hidden="1">
              <a:extLst>
                <a:ext uri="{63B3BB69-23CF-44E3-9099-C40C66FF867C}">
                  <a14:compatExt spid="_x0000_s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180975</xdr:rowOff>
        </xdr:from>
        <xdr:to>
          <xdr:col>5</xdr:col>
          <xdr:colOff>495300</xdr:colOff>
          <xdr:row>31</xdr:row>
          <xdr:rowOff>161925</xdr:rowOff>
        </xdr:to>
        <xdr:sp macro="" textlink="">
          <xdr:nvSpPr>
            <xdr:cNvPr id="2267" name="Drop Down 219"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180975</xdr:rowOff>
        </xdr:from>
        <xdr:to>
          <xdr:col>5</xdr:col>
          <xdr:colOff>495300</xdr:colOff>
          <xdr:row>32</xdr:row>
          <xdr:rowOff>161925</xdr:rowOff>
        </xdr:to>
        <xdr:sp macro="" textlink="">
          <xdr:nvSpPr>
            <xdr:cNvPr id="2268" name="Drop Down 220"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5</xdr:col>
          <xdr:colOff>495300</xdr:colOff>
          <xdr:row>33</xdr:row>
          <xdr:rowOff>171450</xdr:rowOff>
        </xdr:to>
        <xdr:sp macro="" textlink="">
          <xdr:nvSpPr>
            <xdr:cNvPr id="2269" name="Drop Down 221"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190500</xdr:rowOff>
        </xdr:from>
        <xdr:to>
          <xdr:col>5</xdr:col>
          <xdr:colOff>495300</xdr:colOff>
          <xdr:row>34</xdr:row>
          <xdr:rowOff>171450</xdr:rowOff>
        </xdr:to>
        <xdr:sp macro="" textlink="">
          <xdr:nvSpPr>
            <xdr:cNvPr id="2270" name="Drop Down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5</xdr:col>
          <xdr:colOff>495300</xdr:colOff>
          <xdr:row>35</xdr:row>
          <xdr:rowOff>171450</xdr:rowOff>
        </xdr:to>
        <xdr:sp macro="" textlink="">
          <xdr:nvSpPr>
            <xdr:cNvPr id="2271" name="Drop Down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190500</xdr:rowOff>
        </xdr:from>
        <xdr:to>
          <xdr:col>5</xdr:col>
          <xdr:colOff>495300</xdr:colOff>
          <xdr:row>37</xdr:row>
          <xdr:rowOff>171450</xdr:rowOff>
        </xdr:to>
        <xdr:sp macro="" textlink="">
          <xdr:nvSpPr>
            <xdr:cNvPr id="2304" name="Drop Down 256" hidden="1">
              <a:extLst>
                <a:ext uri="{63B3BB69-23CF-44E3-9099-C40C66FF867C}">
                  <a14:compatExt spid="_x0000_s2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2305" name="Drop Down 257" hidden="1">
              <a:extLst>
                <a:ext uri="{63B3BB69-23CF-44E3-9099-C40C66FF867C}">
                  <a14:compatExt spid="_x0000_s23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2307" name="Drop Down 259" hidden="1">
              <a:extLst>
                <a:ext uri="{63B3BB69-23CF-44E3-9099-C40C66FF867C}">
                  <a14:compatExt spid="_x0000_s2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5</xdr:col>
          <xdr:colOff>495300</xdr:colOff>
          <xdr:row>39</xdr:row>
          <xdr:rowOff>171450</xdr:rowOff>
        </xdr:to>
        <xdr:sp macro="" textlink="">
          <xdr:nvSpPr>
            <xdr:cNvPr id="2308" name="Drop Down 260" hidden="1">
              <a:extLst>
                <a:ext uri="{63B3BB69-23CF-44E3-9099-C40C66FF867C}">
                  <a14:compatExt spid="_x0000_s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9525</xdr:rowOff>
        </xdr:from>
        <xdr:to>
          <xdr:col>3</xdr:col>
          <xdr:colOff>485775</xdr:colOff>
          <xdr:row>115</xdr:row>
          <xdr:rowOff>209550</xdr:rowOff>
        </xdr:to>
        <xdr:sp macro="" textlink="">
          <xdr:nvSpPr>
            <xdr:cNvPr id="2368" name="Drop Down 320"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9525</xdr:rowOff>
        </xdr:from>
        <xdr:to>
          <xdr:col>3</xdr:col>
          <xdr:colOff>485775</xdr:colOff>
          <xdr:row>116</xdr:row>
          <xdr:rowOff>209550</xdr:rowOff>
        </xdr:to>
        <xdr:sp macro="" textlink="">
          <xdr:nvSpPr>
            <xdr:cNvPr id="2370" name="Drop Down 322"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9525</xdr:rowOff>
        </xdr:from>
        <xdr:to>
          <xdr:col>3</xdr:col>
          <xdr:colOff>485775</xdr:colOff>
          <xdr:row>117</xdr:row>
          <xdr:rowOff>219075</xdr:rowOff>
        </xdr:to>
        <xdr:sp macro="" textlink="">
          <xdr:nvSpPr>
            <xdr:cNvPr id="2371" name="Drop Down 323"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9525</xdr:rowOff>
        </xdr:from>
        <xdr:to>
          <xdr:col>3</xdr:col>
          <xdr:colOff>485775</xdr:colOff>
          <xdr:row>118</xdr:row>
          <xdr:rowOff>209550</xdr:rowOff>
        </xdr:to>
        <xdr:sp macro="" textlink="">
          <xdr:nvSpPr>
            <xdr:cNvPr id="2372" name="Drop Down 324"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962025</xdr:colOff>
          <xdr:row>127</xdr:row>
          <xdr:rowOff>0</xdr:rowOff>
        </xdr:to>
        <xdr:sp macro="" textlink="">
          <xdr:nvSpPr>
            <xdr:cNvPr id="2401" name="Drop Down 353"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962025</xdr:colOff>
          <xdr:row>128</xdr:row>
          <xdr:rowOff>0</xdr:rowOff>
        </xdr:to>
        <xdr:sp macro="" textlink="">
          <xdr:nvSpPr>
            <xdr:cNvPr id="2402" name="Drop Down 354"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0</xdr:rowOff>
        </xdr:from>
        <xdr:to>
          <xdr:col>0</xdr:col>
          <xdr:colOff>962025</xdr:colOff>
          <xdr:row>129</xdr:row>
          <xdr:rowOff>0</xdr:rowOff>
        </xdr:to>
        <xdr:sp macro="" textlink="">
          <xdr:nvSpPr>
            <xdr:cNvPr id="2403" name="Drop Down 355"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962025</xdr:colOff>
          <xdr:row>130</xdr:row>
          <xdr:rowOff>0</xdr:rowOff>
        </xdr:to>
        <xdr:sp macro="" textlink="">
          <xdr:nvSpPr>
            <xdr:cNvPr id="2404" name="Drop Down 356"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xdr:twoCellAnchor editAs="oneCell">
    <xdr:from>
      <xdr:col>8</xdr:col>
      <xdr:colOff>95250</xdr:colOff>
      <xdr:row>0</xdr:row>
      <xdr:rowOff>47625</xdr:rowOff>
    </xdr:from>
    <xdr:to>
      <xdr:col>9</xdr:col>
      <xdr:colOff>495300</xdr:colOff>
      <xdr:row>3</xdr:row>
      <xdr:rowOff>104775</xdr:rowOff>
    </xdr:to>
    <xdr:pic>
      <xdr:nvPicPr>
        <xdr:cNvPr id="101558"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047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72</xdr:row>
      <xdr:rowOff>19050</xdr:rowOff>
    </xdr:from>
    <xdr:to>
      <xdr:col>1</xdr:col>
      <xdr:colOff>523874</xdr:colOff>
      <xdr:row>75</xdr:row>
      <xdr:rowOff>142876</xdr:rowOff>
    </xdr:to>
    <xdr:sp macro="" textlink="">
      <xdr:nvSpPr>
        <xdr:cNvPr id="42" name="Flussdiagramm: Magnetplattenspeicher 41"/>
        <xdr:cNvSpPr/>
      </xdr:nvSpPr>
      <xdr:spPr bwMode="auto">
        <a:xfrm>
          <a:off x="390524" y="6353175"/>
          <a:ext cx="1114425" cy="695326"/>
        </a:xfrm>
        <a:prstGeom prst="flowChartMagneticDisk">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Separation)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72</xdr:row>
      <xdr:rowOff>19049</xdr:rowOff>
    </xdr:from>
    <xdr:to>
      <xdr:col>5</xdr:col>
      <xdr:colOff>314325</xdr:colOff>
      <xdr:row>75</xdr:row>
      <xdr:rowOff>152400</xdr:rowOff>
    </xdr:to>
    <xdr:sp macro="" textlink="">
      <xdr:nvSpPr>
        <xdr:cNvPr id="43" name="Flussdiagramm: Magnetplattenspeicher 42"/>
        <xdr:cNvSpPr/>
      </xdr:nvSpPr>
      <xdr:spPr bwMode="auto">
        <a:xfrm>
          <a:off x="2895600" y="6353174"/>
          <a:ext cx="1200150" cy="704851"/>
        </a:xfrm>
        <a:prstGeom prst="flowChartMagneticDisk">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Separation)</a:t>
          </a:r>
          <a:endParaRPr lang="de-DE" sz="1100"/>
        </a:p>
      </xdr:txBody>
    </xdr:sp>
    <xdr:clientData/>
  </xdr:twoCellAnchor>
  <xdr:twoCellAnchor>
    <xdr:from>
      <xdr:col>7</xdr:col>
      <xdr:colOff>371475</xdr:colOff>
      <xdr:row>72</xdr:row>
      <xdr:rowOff>76200</xdr:rowOff>
    </xdr:from>
    <xdr:to>
      <xdr:col>9</xdr:col>
      <xdr:colOff>361950</xdr:colOff>
      <xdr:row>75</xdr:row>
      <xdr:rowOff>66675</xdr:rowOff>
    </xdr:to>
    <xdr:sp macro="" textlink="">
      <xdr:nvSpPr>
        <xdr:cNvPr id="44" name="Flussdiagramm: Prozess 43"/>
        <xdr:cNvSpPr/>
      </xdr:nvSpPr>
      <xdr:spPr bwMode="auto">
        <a:xfrm>
          <a:off x="5067300" y="6410325"/>
          <a:ext cx="1047750" cy="561975"/>
        </a:xfrm>
        <a:prstGeom prst="flowChartProcess">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Separation</a:t>
          </a:r>
          <a:r>
            <a:rPr lang="de-DE" sz="1100" baseline="0"/>
            <a:t>)</a:t>
          </a:r>
          <a:endParaRPr lang="de-DE" sz="1100"/>
        </a:p>
      </xdr:txBody>
    </xdr:sp>
    <xdr:clientData/>
  </xdr:twoCellAnchor>
  <xdr:twoCellAnchor>
    <xdr:from>
      <xdr:col>2</xdr:col>
      <xdr:colOff>781050</xdr:colOff>
      <xdr:row>66</xdr:row>
      <xdr:rowOff>152400</xdr:rowOff>
    </xdr:from>
    <xdr:to>
      <xdr:col>6</xdr:col>
      <xdr:colOff>66675</xdr:colOff>
      <xdr:row>69</xdr:row>
      <xdr:rowOff>114300</xdr:rowOff>
    </xdr:to>
    <xdr:sp macro="" textlink="">
      <xdr:nvSpPr>
        <xdr:cNvPr id="45" name="Flussdiagramm: Alternativer Prozess 44"/>
        <xdr:cNvSpPr/>
      </xdr:nvSpPr>
      <xdr:spPr bwMode="auto">
        <a:xfrm>
          <a:off x="2695575" y="5343525"/>
          <a:ext cx="1657350" cy="533400"/>
        </a:xfrm>
        <a:prstGeom prst="flowChartAlternateProcess">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Separation</a:t>
          </a:r>
        </a:p>
      </xdr:txBody>
    </xdr:sp>
    <xdr:clientData/>
  </xdr:twoCellAnchor>
  <xdr:twoCellAnchor>
    <xdr:from>
      <xdr:col>0</xdr:col>
      <xdr:colOff>942975</xdr:colOff>
      <xdr:row>64</xdr:row>
      <xdr:rowOff>19050</xdr:rowOff>
    </xdr:from>
    <xdr:to>
      <xdr:col>2</xdr:col>
      <xdr:colOff>733425</xdr:colOff>
      <xdr:row>72</xdr:row>
      <xdr:rowOff>19050</xdr:rowOff>
    </xdr:to>
    <xdr:cxnSp macro="">
      <xdr:nvCxnSpPr>
        <xdr:cNvPr id="101563" name="Gerade Verbindung mit Pfeil 17"/>
        <xdr:cNvCxnSpPr>
          <a:cxnSpLocks noChangeShapeType="1"/>
          <a:endCxn id="42" idx="1"/>
        </xdr:cNvCxnSpPr>
      </xdr:nvCxnSpPr>
      <xdr:spPr bwMode="auto">
        <a:xfrm flipH="1">
          <a:off x="942975" y="12049125"/>
          <a:ext cx="1704975" cy="16002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69</xdr:row>
      <xdr:rowOff>114300</xdr:rowOff>
    </xdr:from>
    <xdr:to>
      <xdr:col>4</xdr:col>
      <xdr:colOff>247650</xdr:colOff>
      <xdr:row>72</xdr:row>
      <xdr:rowOff>19050</xdr:rowOff>
    </xdr:to>
    <xdr:cxnSp macro="">
      <xdr:nvCxnSpPr>
        <xdr:cNvPr id="101564" name="Gerade Verbindung mit Pfeil 21"/>
        <xdr:cNvCxnSpPr>
          <a:cxnSpLocks noChangeShapeType="1"/>
          <a:stCxn id="45" idx="2"/>
          <a:endCxn id="43" idx="1"/>
        </xdr:cNvCxnSpPr>
      </xdr:nvCxnSpPr>
      <xdr:spPr bwMode="auto">
        <a:xfrm flipH="1">
          <a:off x="3495675" y="13144500"/>
          <a:ext cx="2857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69</xdr:row>
      <xdr:rowOff>114300</xdr:rowOff>
    </xdr:from>
    <xdr:to>
      <xdr:col>8</xdr:col>
      <xdr:colOff>485775</xdr:colOff>
      <xdr:row>72</xdr:row>
      <xdr:rowOff>76200</xdr:rowOff>
    </xdr:to>
    <xdr:cxnSp macro="">
      <xdr:nvCxnSpPr>
        <xdr:cNvPr id="101565" name="Gerade Verbindung mit Pfeil 23"/>
        <xdr:cNvCxnSpPr>
          <a:cxnSpLocks noChangeShapeType="1"/>
          <a:stCxn id="45" idx="2"/>
          <a:endCxn id="44" idx="0"/>
        </xdr:cNvCxnSpPr>
      </xdr:nvCxnSpPr>
      <xdr:spPr bwMode="auto">
        <a:xfrm>
          <a:off x="3524250" y="13144500"/>
          <a:ext cx="2066925"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64</xdr:row>
      <xdr:rowOff>28575</xdr:rowOff>
    </xdr:from>
    <xdr:to>
      <xdr:col>4</xdr:col>
      <xdr:colOff>247650</xdr:colOff>
      <xdr:row>66</xdr:row>
      <xdr:rowOff>152400</xdr:rowOff>
    </xdr:to>
    <xdr:cxnSp macro="">
      <xdr:nvCxnSpPr>
        <xdr:cNvPr id="101566" name="Gerade Verbindung mit Pfeil 26"/>
        <xdr:cNvCxnSpPr>
          <a:cxnSpLocks noChangeShapeType="1"/>
          <a:endCxn id="45" idx="0"/>
        </xdr:cNvCxnSpPr>
      </xdr:nvCxnSpPr>
      <xdr:spPr bwMode="auto">
        <a:xfrm>
          <a:off x="2638425" y="12058650"/>
          <a:ext cx="885825" cy="5238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60</xdr:row>
      <xdr:rowOff>19050</xdr:rowOff>
    </xdr:from>
    <xdr:to>
      <xdr:col>2</xdr:col>
      <xdr:colOff>752475</xdr:colOff>
      <xdr:row>62</xdr:row>
      <xdr:rowOff>180975</xdr:rowOff>
    </xdr:to>
    <xdr:cxnSp macro="">
      <xdr:nvCxnSpPr>
        <xdr:cNvPr id="101567" name="Gerade Verbindung mit Pfeil 28"/>
        <xdr:cNvCxnSpPr>
          <a:cxnSpLocks noChangeShapeType="1"/>
        </xdr:cNvCxnSpPr>
      </xdr:nvCxnSpPr>
      <xdr:spPr bwMode="auto">
        <a:xfrm>
          <a:off x="1466850" y="11249025"/>
          <a:ext cx="1200150"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5</xdr:col>
          <xdr:colOff>0</xdr:colOff>
          <xdr:row>12</xdr:row>
          <xdr:rowOff>9525</xdr:rowOff>
        </xdr:from>
        <xdr:to>
          <xdr:col>5</xdr:col>
          <xdr:colOff>495300</xdr:colOff>
          <xdr:row>13</xdr:row>
          <xdr:rowOff>0</xdr:rowOff>
        </xdr:to>
        <xdr:sp macro="" textlink="">
          <xdr:nvSpPr>
            <xdr:cNvPr id="57789" name="Drop Down 2493" hidden="1">
              <a:extLst>
                <a:ext uri="{63B3BB69-23CF-44E3-9099-C40C66FF867C}">
                  <a14:compatExt spid="_x0000_s577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24</xdr:row>
          <xdr:rowOff>190500</xdr:rowOff>
        </xdr:from>
        <xdr:to>
          <xdr:col>2</xdr:col>
          <xdr:colOff>847725</xdr:colOff>
          <xdr:row>25</xdr:row>
          <xdr:rowOff>190500</xdr:rowOff>
        </xdr:to>
        <xdr:sp macro="" textlink="">
          <xdr:nvSpPr>
            <xdr:cNvPr id="75777" name="Drop Down 1" hidden="1">
              <a:extLst>
                <a:ext uri="{63B3BB69-23CF-44E3-9099-C40C66FF867C}">
                  <a14:compatExt spid="_x0000_s7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180975</xdr:rowOff>
        </xdr:from>
        <xdr:to>
          <xdr:col>2</xdr:col>
          <xdr:colOff>847725</xdr:colOff>
          <xdr:row>26</xdr:row>
          <xdr:rowOff>180975</xdr:rowOff>
        </xdr:to>
        <xdr:sp macro="" textlink="">
          <xdr:nvSpPr>
            <xdr:cNvPr id="75778" name="Drop Down 2" hidden="1">
              <a:extLst>
                <a:ext uri="{63B3BB69-23CF-44E3-9099-C40C66FF867C}">
                  <a14:compatExt spid="_x0000_s7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180975</xdr:rowOff>
        </xdr:from>
        <xdr:to>
          <xdr:col>2</xdr:col>
          <xdr:colOff>847725</xdr:colOff>
          <xdr:row>27</xdr:row>
          <xdr:rowOff>180975</xdr:rowOff>
        </xdr:to>
        <xdr:sp macro="" textlink="">
          <xdr:nvSpPr>
            <xdr:cNvPr id="75779" name="Drop Down 3" hidden="1">
              <a:extLst>
                <a:ext uri="{63B3BB69-23CF-44E3-9099-C40C66FF867C}">
                  <a14:compatExt spid="_x0000_s7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180975</xdr:rowOff>
        </xdr:from>
        <xdr:to>
          <xdr:col>2</xdr:col>
          <xdr:colOff>847725</xdr:colOff>
          <xdr:row>28</xdr:row>
          <xdr:rowOff>180975</xdr:rowOff>
        </xdr:to>
        <xdr:sp macro="" textlink="">
          <xdr:nvSpPr>
            <xdr:cNvPr id="75780" name="Drop Down 4" hidden="1">
              <a:extLst>
                <a:ext uri="{63B3BB69-23CF-44E3-9099-C40C66FF867C}">
                  <a14:compatExt spid="_x0000_s7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180975</xdr:rowOff>
        </xdr:from>
        <xdr:to>
          <xdr:col>2</xdr:col>
          <xdr:colOff>847725</xdr:colOff>
          <xdr:row>29</xdr:row>
          <xdr:rowOff>180975</xdr:rowOff>
        </xdr:to>
        <xdr:sp macro="" textlink="">
          <xdr:nvSpPr>
            <xdr:cNvPr id="75781" name="Drop Down 5" hidden="1">
              <a:extLst>
                <a:ext uri="{63B3BB69-23CF-44E3-9099-C40C66FF867C}">
                  <a14:compatExt spid="_x0000_s75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180975</xdr:rowOff>
        </xdr:from>
        <xdr:to>
          <xdr:col>2</xdr:col>
          <xdr:colOff>847725</xdr:colOff>
          <xdr:row>30</xdr:row>
          <xdr:rowOff>180975</xdr:rowOff>
        </xdr:to>
        <xdr:sp macro="" textlink="">
          <xdr:nvSpPr>
            <xdr:cNvPr id="75782" name="Drop Down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180975</xdr:rowOff>
        </xdr:from>
        <xdr:to>
          <xdr:col>2</xdr:col>
          <xdr:colOff>847725</xdr:colOff>
          <xdr:row>31</xdr:row>
          <xdr:rowOff>180975</xdr:rowOff>
        </xdr:to>
        <xdr:sp macro="" textlink="">
          <xdr:nvSpPr>
            <xdr:cNvPr id="75783" name="Drop Down 7" hidden="1">
              <a:extLst>
                <a:ext uri="{63B3BB69-23CF-44E3-9099-C40C66FF867C}">
                  <a14:compatExt spid="_x0000_s7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180975</xdr:rowOff>
        </xdr:from>
        <xdr:to>
          <xdr:col>2</xdr:col>
          <xdr:colOff>847725</xdr:colOff>
          <xdr:row>32</xdr:row>
          <xdr:rowOff>180975</xdr:rowOff>
        </xdr:to>
        <xdr:sp macro="" textlink="">
          <xdr:nvSpPr>
            <xdr:cNvPr id="75784" name="Drop Down 8" hidden="1">
              <a:extLst>
                <a:ext uri="{63B3BB69-23CF-44E3-9099-C40C66FF867C}">
                  <a14:compatExt spid="_x0000_s7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190500</xdr:rowOff>
        </xdr:from>
        <xdr:to>
          <xdr:col>2</xdr:col>
          <xdr:colOff>847725</xdr:colOff>
          <xdr:row>33</xdr:row>
          <xdr:rowOff>190500</xdr:rowOff>
        </xdr:to>
        <xdr:sp macro="" textlink="">
          <xdr:nvSpPr>
            <xdr:cNvPr id="75785" name="Drop Down 9" hidden="1">
              <a:extLst>
                <a:ext uri="{63B3BB69-23CF-44E3-9099-C40C66FF867C}">
                  <a14:compatExt spid="_x0000_s7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190500</xdr:rowOff>
        </xdr:from>
        <xdr:to>
          <xdr:col>2</xdr:col>
          <xdr:colOff>847725</xdr:colOff>
          <xdr:row>34</xdr:row>
          <xdr:rowOff>190500</xdr:rowOff>
        </xdr:to>
        <xdr:sp macro="" textlink="">
          <xdr:nvSpPr>
            <xdr:cNvPr id="75786" name="Drop Down 10" hidden="1">
              <a:extLst>
                <a:ext uri="{63B3BB69-23CF-44E3-9099-C40C66FF867C}">
                  <a14:compatExt spid="_x0000_s7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190500</xdr:rowOff>
        </xdr:from>
        <xdr:to>
          <xdr:col>2</xdr:col>
          <xdr:colOff>847725</xdr:colOff>
          <xdr:row>35</xdr:row>
          <xdr:rowOff>190500</xdr:rowOff>
        </xdr:to>
        <xdr:sp macro="" textlink="">
          <xdr:nvSpPr>
            <xdr:cNvPr id="75787" name="Drop Down 11" hidden="1">
              <a:extLst>
                <a:ext uri="{63B3BB69-23CF-44E3-9099-C40C66FF867C}">
                  <a14:compatExt spid="_x0000_s7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5</xdr:col>
          <xdr:colOff>495300</xdr:colOff>
          <xdr:row>24</xdr:row>
          <xdr:rowOff>161925</xdr:rowOff>
        </xdr:to>
        <xdr:sp macro="" textlink="">
          <xdr:nvSpPr>
            <xdr:cNvPr id="75788" name="Drop Down 12" hidden="1">
              <a:extLst>
                <a:ext uri="{63B3BB69-23CF-44E3-9099-C40C66FF867C}">
                  <a14:compatExt spid="_x0000_s75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2</xdr:col>
          <xdr:colOff>847725</xdr:colOff>
          <xdr:row>24</xdr:row>
          <xdr:rowOff>190500</xdr:rowOff>
        </xdr:to>
        <xdr:sp macro="" textlink="">
          <xdr:nvSpPr>
            <xdr:cNvPr id="75789" name="Drop Down 13" hidden="1">
              <a:extLst>
                <a:ext uri="{63B3BB69-23CF-44E3-9099-C40C66FF867C}">
                  <a14:compatExt spid="_x0000_s75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180975</xdr:rowOff>
        </xdr:from>
        <xdr:to>
          <xdr:col>5</xdr:col>
          <xdr:colOff>495300</xdr:colOff>
          <xdr:row>25</xdr:row>
          <xdr:rowOff>161925</xdr:rowOff>
        </xdr:to>
        <xdr:sp macro="" textlink="">
          <xdr:nvSpPr>
            <xdr:cNvPr id="75790" name="Drop Down 14" hidden="1">
              <a:extLst>
                <a:ext uri="{63B3BB69-23CF-44E3-9099-C40C66FF867C}">
                  <a14:compatExt spid="_x0000_s7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180975</xdr:rowOff>
        </xdr:from>
        <xdr:to>
          <xdr:col>5</xdr:col>
          <xdr:colOff>495300</xdr:colOff>
          <xdr:row>26</xdr:row>
          <xdr:rowOff>161925</xdr:rowOff>
        </xdr:to>
        <xdr:sp macro="" textlink="">
          <xdr:nvSpPr>
            <xdr:cNvPr id="75791" name="Drop Down 15" hidden="1">
              <a:extLst>
                <a:ext uri="{63B3BB69-23CF-44E3-9099-C40C66FF867C}">
                  <a14:compatExt spid="_x0000_s7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180975</xdr:rowOff>
        </xdr:from>
        <xdr:to>
          <xdr:col>5</xdr:col>
          <xdr:colOff>495300</xdr:colOff>
          <xdr:row>27</xdr:row>
          <xdr:rowOff>161925</xdr:rowOff>
        </xdr:to>
        <xdr:sp macro="" textlink="">
          <xdr:nvSpPr>
            <xdr:cNvPr id="75792" name="Drop Down 16" hidden="1">
              <a:extLst>
                <a:ext uri="{63B3BB69-23CF-44E3-9099-C40C66FF867C}">
                  <a14:compatExt spid="_x0000_s7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180975</xdr:rowOff>
        </xdr:from>
        <xdr:to>
          <xdr:col>5</xdr:col>
          <xdr:colOff>495300</xdr:colOff>
          <xdr:row>28</xdr:row>
          <xdr:rowOff>161925</xdr:rowOff>
        </xdr:to>
        <xdr:sp macro="" textlink="">
          <xdr:nvSpPr>
            <xdr:cNvPr id="75793" name="Drop Down 17" hidden="1">
              <a:extLst>
                <a:ext uri="{63B3BB69-23CF-44E3-9099-C40C66FF867C}">
                  <a14:compatExt spid="_x0000_s7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180975</xdr:rowOff>
        </xdr:from>
        <xdr:to>
          <xdr:col>5</xdr:col>
          <xdr:colOff>495300</xdr:colOff>
          <xdr:row>29</xdr:row>
          <xdr:rowOff>161925</xdr:rowOff>
        </xdr:to>
        <xdr:sp macro="" textlink="">
          <xdr:nvSpPr>
            <xdr:cNvPr id="75794" name="Drop Down 18" hidden="1">
              <a:extLst>
                <a:ext uri="{63B3BB69-23CF-44E3-9099-C40C66FF867C}">
                  <a14:compatExt spid="_x0000_s7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180975</xdr:rowOff>
        </xdr:from>
        <xdr:to>
          <xdr:col>5</xdr:col>
          <xdr:colOff>495300</xdr:colOff>
          <xdr:row>30</xdr:row>
          <xdr:rowOff>161925</xdr:rowOff>
        </xdr:to>
        <xdr:sp macro="" textlink="">
          <xdr:nvSpPr>
            <xdr:cNvPr id="75795" name="Drop Down 19" hidden="1">
              <a:extLst>
                <a:ext uri="{63B3BB69-23CF-44E3-9099-C40C66FF867C}">
                  <a14:compatExt spid="_x0000_s7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180975</xdr:rowOff>
        </xdr:from>
        <xdr:to>
          <xdr:col>5</xdr:col>
          <xdr:colOff>495300</xdr:colOff>
          <xdr:row>31</xdr:row>
          <xdr:rowOff>161925</xdr:rowOff>
        </xdr:to>
        <xdr:sp macro="" textlink="">
          <xdr:nvSpPr>
            <xdr:cNvPr id="75796" name="Drop Down 20" hidden="1">
              <a:extLst>
                <a:ext uri="{63B3BB69-23CF-44E3-9099-C40C66FF867C}">
                  <a14:compatExt spid="_x0000_s7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180975</xdr:rowOff>
        </xdr:from>
        <xdr:to>
          <xdr:col>5</xdr:col>
          <xdr:colOff>495300</xdr:colOff>
          <xdr:row>32</xdr:row>
          <xdr:rowOff>161925</xdr:rowOff>
        </xdr:to>
        <xdr:sp macro="" textlink="">
          <xdr:nvSpPr>
            <xdr:cNvPr id="75797" name="Drop Down 21" hidden="1">
              <a:extLst>
                <a:ext uri="{63B3BB69-23CF-44E3-9099-C40C66FF867C}">
                  <a14:compatExt spid="_x0000_s7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5</xdr:col>
          <xdr:colOff>495300</xdr:colOff>
          <xdr:row>33</xdr:row>
          <xdr:rowOff>171450</xdr:rowOff>
        </xdr:to>
        <xdr:sp macro="" textlink="">
          <xdr:nvSpPr>
            <xdr:cNvPr id="75798" name="Drop Down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190500</xdr:rowOff>
        </xdr:from>
        <xdr:to>
          <xdr:col>5</xdr:col>
          <xdr:colOff>495300</xdr:colOff>
          <xdr:row>34</xdr:row>
          <xdr:rowOff>171450</xdr:rowOff>
        </xdr:to>
        <xdr:sp macro="" textlink="">
          <xdr:nvSpPr>
            <xdr:cNvPr id="75799" name="Drop Down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5</xdr:col>
          <xdr:colOff>495300</xdr:colOff>
          <xdr:row>35</xdr:row>
          <xdr:rowOff>171450</xdr:rowOff>
        </xdr:to>
        <xdr:sp macro="" textlink="">
          <xdr:nvSpPr>
            <xdr:cNvPr id="75800" name="Drop Down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190500</xdr:rowOff>
        </xdr:from>
        <xdr:to>
          <xdr:col>5</xdr:col>
          <xdr:colOff>495300</xdr:colOff>
          <xdr:row>37</xdr:row>
          <xdr:rowOff>171450</xdr:rowOff>
        </xdr:to>
        <xdr:sp macro="" textlink="">
          <xdr:nvSpPr>
            <xdr:cNvPr id="75801" name="Drop Down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75802" name="Drop Down 26" hidden="1">
              <a:extLst>
                <a:ext uri="{63B3BB69-23CF-44E3-9099-C40C66FF867C}">
                  <a14:compatExt spid="_x0000_s758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495300</xdr:colOff>
          <xdr:row>38</xdr:row>
          <xdr:rowOff>171450</xdr:rowOff>
        </xdr:to>
        <xdr:sp macro="" textlink="">
          <xdr:nvSpPr>
            <xdr:cNvPr id="75803" name="Drop Down 27" hidden="1">
              <a:extLst>
                <a:ext uri="{63B3BB69-23CF-44E3-9099-C40C66FF867C}">
                  <a14:compatExt spid="_x0000_s7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5</xdr:col>
          <xdr:colOff>495300</xdr:colOff>
          <xdr:row>39</xdr:row>
          <xdr:rowOff>171450</xdr:rowOff>
        </xdr:to>
        <xdr:sp macro="" textlink="">
          <xdr:nvSpPr>
            <xdr:cNvPr id="75804" name="Drop Down 28" hidden="1">
              <a:extLst>
                <a:ext uri="{63B3BB69-23CF-44E3-9099-C40C66FF867C}">
                  <a14:compatExt spid="_x0000_s7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9525</xdr:rowOff>
        </xdr:from>
        <xdr:to>
          <xdr:col>3</xdr:col>
          <xdr:colOff>485775</xdr:colOff>
          <xdr:row>115</xdr:row>
          <xdr:rowOff>209550</xdr:rowOff>
        </xdr:to>
        <xdr:sp macro="" textlink="">
          <xdr:nvSpPr>
            <xdr:cNvPr id="75805" name="Drop Down 29" hidden="1">
              <a:extLst>
                <a:ext uri="{63B3BB69-23CF-44E3-9099-C40C66FF867C}">
                  <a14:compatExt spid="_x0000_s7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9525</xdr:rowOff>
        </xdr:from>
        <xdr:to>
          <xdr:col>3</xdr:col>
          <xdr:colOff>485775</xdr:colOff>
          <xdr:row>116</xdr:row>
          <xdr:rowOff>209550</xdr:rowOff>
        </xdr:to>
        <xdr:sp macro="" textlink="">
          <xdr:nvSpPr>
            <xdr:cNvPr id="75806" name="Drop Down 30" hidden="1">
              <a:extLst>
                <a:ext uri="{63B3BB69-23CF-44E3-9099-C40C66FF867C}">
                  <a14:compatExt spid="_x0000_s7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9525</xdr:rowOff>
        </xdr:from>
        <xdr:to>
          <xdr:col>3</xdr:col>
          <xdr:colOff>485775</xdr:colOff>
          <xdr:row>117</xdr:row>
          <xdr:rowOff>219075</xdr:rowOff>
        </xdr:to>
        <xdr:sp macro="" textlink="">
          <xdr:nvSpPr>
            <xdr:cNvPr id="75807" name="Drop Down 31" hidden="1">
              <a:extLst>
                <a:ext uri="{63B3BB69-23CF-44E3-9099-C40C66FF867C}">
                  <a14:compatExt spid="_x0000_s7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118</xdr:row>
          <xdr:rowOff>9525</xdr:rowOff>
        </xdr:from>
        <xdr:to>
          <xdr:col>3</xdr:col>
          <xdr:colOff>485775</xdr:colOff>
          <xdr:row>118</xdr:row>
          <xdr:rowOff>209550</xdr:rowOff>
        </xdr:to>
        <xdr:sp macro="" textlink="">
          <xdr:nvSpPr>
            <xdr:cNvPr id="75808" name="Drop Down 32" hidden="1">
              <a:extLst>
                <a:ext uri="{63B3BB69-23CF-44E3-9099-C40C66FF867C}">
                  <a14:compatExt spid="_x0000_s75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962025</xdr:colOff>
          <xdr:row>127</xdr:row>
          <xdr:rowOff>0</xdr:rowOff>
        </xdr:to>
        <xdr:sp macro="" textlink="">
          <xdr:nvSpPr>
            <xdr:cNvPr id="75809" name="Drop Down 33" hidden="1">
              <a:extLst>
                <a:ext uri="{63B3BB69-23CF-44E3-9099-C40C66FF867C}">
                  <a14:compatExt spid="_x0000_s7580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962025</xdr:colOff>
          <xdr:row>128</xdr:row>
          <xdr:rowOff>0</xdr:rowOff>
        </xdr:to>
        <xdr:sp macro="" textlink="">
          <xdr:nvSpPr>
            <xdr:cNvPr id="75810" name="Drop Down 34" hidden="1">
              <a:extLst>
                <a:ext uri="{63B3BB69-23CF-44E3-9099-C40C66FF867C}">
                  <a14:compatExt spid="_x0000_s7581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0</xdr:rowOff>
        </xdr:from>
        <xdr:to>
          <xdr:col>0</xdr:col>
          <xdr:colOff>962025</xdr:colOff>
          <xdr:row>129</xdr:row>
          <xdr:rowOff>0</xdr:rowOff>
        </xdr:to>
        <xdr:sp macro="" textlink="">
          <xdr:nvSpPr>
            <xdr:cNvPr id="75811" name="Drop Down 35" hidden="1">
              <a:extLst>
                <a:ext uri="{63B3BB69-23CF-44E3-9099-C40C66FF867C}">
                  <a14:compatExt spid="_x0000_s758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962025</xdr:colOff>
          <xdr:row>130</xdr:row>
          <xdr:rowOff>0</xdr:rowOff>
        </xdr:to>
        <xdr:sp macro="" textlink="">
          <xdr:nvSpPr>
            <xdr:cNvPr id="75812" name="Drop Down 36" hidden="1">
              <a:extLst>
                <a:ext uri="{63B3BB69-23CF-44E3-9099-C40C66FF867C}">
                  <a14:compatExt spid="_x0000_s758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xdr:colOff>
          <xdr:row>13</xdr:row>
          <xdr:rowOff>180975</xdr:rowOff>
        </xdr:from>
        <xdr:to>
          <xdr:col>9</xdr:col>
          <xdr:colOff>447675</xdr:colOff>
          <xdr:row>15</xdr:row>
          <xdr:rowOff>0</xdr:rowOff>
        </xdr:to>
        <xdr:sp macro="" textlink="">
          <xdr:nvSpPr>
            <xdr:cNvPr id="75813" name="Button 37" hidden="1">
              <a:extLst>
                <a:ext uri="{63B3BB69-23CF-44E3-9099-C40C66FF867C}">
                  <a14:compatExt spid="_x0000_s758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Alle Felder leeren</a:t>
              </a:r>
            </a:p>
          </xdr:txBody>
        </xdr:sp>
        <xdr:clientData fPrintsWithSheet="0"/>
      </xdr:twoCellAnchor>
    </mc:Choice>
    <mc:Fallback/>
  </mc:AlternateContent>
  <xdr:twoCellAnchor editAs="oneCell">
    <xdr:from>
      <xdr:col>8</xdr:col>
      <xdr:colOff>95250</xdr:colOff>
      <xdr:row>0</xdr:row>
      <xdr:rowOff>47625</xdr:rowOff>
    </xdr:from>
    <xdr:to>
      <xdr:col>9</xdr:col>
      <xdr:colOff>619125</xdr:colOff>
      <xdr:row>4</xdr:row>
      <xdr:rowOff>28575</xdr:rowOff>
    </xdr:to>
    <xdr:pic>
      <xdr:nvPicPr>
        <xdr:cNvPr id="96188"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72</xdr:row>
      <xdr:rowOff>19050</xdr:rowOff>
    </xdr:from>
    <xdr:to>
      <xdr:col>1</xdr:col>
      <xdr:colOff>523874</xdr:colOff>
      <xdr:row>75</xdr:row>
      <xdr:rowOff>142876</xdr:rowOff>
    </xdr:to>
    <xdr:sp macro="" textlink="">
      <xdr:nvSpPr>
        <xdr:cNvPr id="40" name="Flussdiagramm: Magnetplattenspeicher 39"/>
        <xdr:cNvSpPr/>
      </xdr:nvSpPr>
      <xdr:spPr bwMode="auto">
        <a:xfrm>
          <a:off x="390524" y="13696950"/>
          <a:ext cx="1114425" cy="723901"/>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72</xdr:row>
      <xdr:rowOff>19049</xdr:rowOff>
    </xdr:from>
    <xdr:to>
      <xdr:col>5</xdr:col>
      <xdr:colOff>314325</xdr:colOff>
      <xdr:row>75</xdr:row>
      <xdr:rowOff>152400</xdr:rowOff>
    </xdr:to>
    <xdr:sp macro="" textlink="">
      <xdr:nvSpPr>
        <xdr:cNvPr id="41" name="Flussdiagramm: Magnetplattenspeicher 40"/>
        <xdr:cNvSpPr/>
      </xdr:nvSpPr>
      <xdr:spPr bwMode="auto">
        <a:xfrm>
          <a:off x="2895600" y="13696949"/>
          <a:ext cx="1200150" cy="733426"/>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Separtion)</a:t>
          </a:r>
          <a:endParaRPr lang="de-DE" sz="1100"/>
        </a:p>
      </xdr:txBody>
    </xdr:sp>
    <xdr:clientData/>
  </xdr:twoCellAnchor>
  <xdr:twoCellAnchor>
    <xdr:from>
      <xdr:col>7</xdr:col>
      <xdr:colOff>371475</xdr:colOff>
      <xdr:row>72</xdr:row>
      <xdr:rowOff>76200</xdr:rowOff>
    </xdr:from>
    <xdr:to>
      <xdr:col>9</xdr:col>
      <xdr:colOff>361950</xdr:colOff>
      <xdr:row>75</xdr:row>
      <xdr:rowOff>66675</xdr:rowOff>
    </xdr:to>
    <xdr:sp macro="" textlink="">
      <xdr:nvSpPr>
        <xdr:cNvPr id="42" name="Flussdiagramm: Prozess 41"/>
        <xdr:cNvSpPr/>
      </xdr:nvSpPr>
      <xdr:spPr bwMode="auto">
        <a:xfrm>
          <a:off x="5067300" y="13754100"/>
          <a:ext cx="1047750" cy="590550"/>
        </a:xfrm>
        <a:prstGeom prst="flowChart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Separtaion</a:t>
          </a:r>
          <a:r>
            <a:rPr lang="de-DE" sz="1100" baseline="0"/>
            <a:t>)</a:t>
          </a:r>
          <a:endParaRPr lang="de-DE" sz="1100"/>
        </a:p>
      </xdr:txBody>
    </xdr:sp>
    <xdr:clientData/>
  </xdr:twoCellAnchor>
  <xdr:twoCellAnchor>
    <xdr:from>
      <xdr:col>2</xdr:col>
      <xdr:colOff>781050</xdr:colOff>
      <xdr:row>66</xdr:row>
      <xdr:rowOff>152400</xdr:rowOff>
    </xdr:from>
    <xdr:to>
      <xdr:col>6</xdr:col>
      <xdr:colOff>66675</xdr:colOff>
      <xdr:row>69</xdr:row>
      <xdr:rowOff>114300</xdr:rowOff>
    </xdr:to>
    <xdr:sp macro="" textlink="">
      <xdr:nvSpPr>
        <xdr:cNvPr id="43" name="Flussdiagramm: Alternativer Prozess 42"/>
        <xdr:cNvSpPr/>
      </xdr:nvSpPr>
      <xdr:spPr bwMode="auto">
        <a:xfrm>
          <a:off x="2695575" y="12630150"/>
          <a:ext cx="1657350" cy="561975"/>
        </a:xfrm>
        <a:prstGeom prst="flowChartAlternate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Separtion</a:t>
          </a:r>
        </a:p>
      </xdr:txBody>
    </xdr:sp>
    <xdr:clientData/>
  </xdr:twoCellAnchor>
  <xdr:twoCellAnchor>
    <xdr:from>
      <xdr:col>0</xdr:col>
      <xdr:colOff>952500</xdr:colOff>
      <xdr:row>64</xdr:row>
      <xdr:rowOff>19050</xdr:rowOff>
    </xdr:from>
    <xdr:to>
      <xdr:col>2</xdr:col>
      <xdr:colOff>733425</xdr:colOff>
      <xdr:row>72</xdr:row>
      <xdr:rowOff>19050</xdr:rowOff>
    </xdr:to>
    <xdr:cxnSp macro="">
      <xdr:nvCxnSpPr>
        <xdr:cNvPr id="96193" name="Gerade Verbindung mit Pfeil 17"/>
        <xdr:cNvCxnSpPr>
          <a:cxnSpLocks noChangeShapeType="1"/>
          <a:endCxn id="40" idx="1"/>
        </xdr:cNvCxnSpPr>
      </xdr:nvCxnSpPr>
      <xdr:spPr bwMode="auto">
        <a:xfrm flipH="1">
          <a:off x="952500" y="12115800"/>
          <a:ext cx="1695450" cy="16002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69</xdr:row>
      <xdr:rowOff>114300</xdr:rowOff>
    </xdr:from>
    <xdr:to>
      <xdr:col>4</xdr:col>
      <xdr:colOff>247650</xdr:colOff>
      <xdr:row>72</xdr:row>
      <xdr:rowOff>19050</xdr:rowOff>
    </xdr:to>
    <xdr:cxnSp macro="">
      <xdr:nvCxnSpPr>
        <xdr:cNvPr id="96194" name="Gerade Verbindung mit Pfeil 21"/>
        <xdr:cNvCxnSpPr>
          <a:cxnSpLocks noChangeShapeType="1"/>
          <a:stCxn id="43" idx="2"/>
          <a:endCxn id="41" idx="1"/>
        </xdr:cNvCxnSpPr>
      </xdr:nvCxnSpPr>
      <xdr:spPr bwMode="auto">
        <a:xfrm flipH="1">
          <a:off x="3495675" y="13211175"/>
          <a:ext cx="2857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69</xdr:row>
      <xdr:rowOff>114300</xdr:rowOff>
    </xdr:from>
    <xdr:to>
      <xdr:col>8</xdr:col>
      <xdr:colOff>485775</xdr:colOff>
      <xdr:row>72</xdr:row>
      <xdr:rowOff>76200</xdr:rowOff>
    </xdr:to>
    <xdr:cxnSp macro="">
      <xdr:nvCxnSpPr>
        <xdr:cNvPr id="96195" name="Gerade Verbindung mit Pfeil 23"/>
        <xdr:cNvCxnSpPr>
          <a:cxnSpLocks noChangeShapeType="1"/>
          <a:stCxn id="43" idx="2"/>
          <a:endCxn id="42" idx="0"/>
        </xdr:cNvCxnSpPr>
      </xdr:nvCxnSpPr>
      <xdr:spPr bwMode="auto">
        <a:xfrm>
          <a:off x="3524250" y="13211175"/>
          <a:ext cx="2066925"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64</xdr:row>
      <xdr:rowOff>28575</xdr:rowOff>
    </xdr:from>
    <xdr:to>
      <xdr:col>4</xdr:col>
      <xdr:colOff>247650</xdr:colOff>
      <xdr:row>66</xdr:row>
      <xdr:rowOff>152400</xdr:rowOff>
    </xdr:to>
    <xdr:cxnSp macro="">
      <xdr:nvCxnSpPr>
        <xdr:cNvPr id="96196" name="Gerade Verbindung mit Pfeil 26"/>
        <xdr:cNvCxnSpPr>
          <a:cxnSpLocks noChangeShapeType="1"/>
          <a:endCxn id="43" idx="0"/>
        </xdr:cNvCxnSpPr>
      </xdr:nvCxnSpPr>
      <xdr:spPr bwMode="auto">
        <a:xfrm>
          <a:off x="2638425" y="12125325"/>
          <a:ext cx="885825" cy="5238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60</xdr:row>
      <xdr:rowOff>19050</xdr:rowOff>
    </xdr:from>
    <xdr:to>
      <xdr:col>2</xdr:col>
      <xdr:colOff>752475</xdr:colOff>
      <xdr:row>62</xdr:row>
      <xdr:rowOff>180975</xdr:rowOff>
    </xdr:to>
    <xdr:cxnSp macro="">
      <xdr:nvCxnSpPr>
        <xdr:cNvPr id="96197" name="Gerade Verbindung mit Pfeil 28"/>
        <xdr:cNvCxnSpPr>
          <a:cxnSpLocks noChangeShapeType="1"/>
        </xdr:cNvCxnSpPr>
      </xdr:nvCxnSpPr>
      <xdr:spPr bwMode="auto">
        <a:xfrm>
          <a:off x="1466850" y="11315700"/>
          <a:ext cx="1200150" cy="5619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6</xdr:col>
          <xdr:colOff>0</xdr:colOff>
          <xdr:row>13</xdr:row>
          <xdr:rowOff>0</xdr:rowOff>
        </xdr:to>
        <xdr:sp macro="" textlink="">
          <xdr:nvSpPr>
            <xdr:cNvPr id="75814" name="Drop Down 38" hidden="1">
              <a:extLst>
                <a:ext uri="{63B3BB69-23CF-44E3-9099-C40C66FF867C}">
                  <a14:compatExt spid="_x0000_s758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xdr:row>
          <xdr:rowOff>19050</xdr:rowOff>
        </xdr:from>
        <xdr:to>
          <xdr:col>0</xdr:col>
          <xdr:colOff>971550</xdr:colOff>
          <xdr:row>6</xdr:row>
          <xdr:rowOff>190500</xdr:rowOff>
        </xdr:to>
        <xdr:sp macro="" textlink="">
          <xdr:nvSpPr>
            <xdr:cNvPr id="14361" name="Drop Down 25" hidden="1">
              <a:extLst>
                <a:ext uri="{63B3BB69-23CF-44E3-9099-C40C66FF867C}">
                  <a14:compatExt spid="_x0000_s1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xdr:row>
          <xdr:rowOff>19050</xdr:rowOff>
        </xdr:from>
        <xdr:to>
          <xdr:col>0</xdr:col>
          <xdr:colOff>971550</xdr:colOff>
          <xdr:row>7</xdr:row>
          <xdr:rowOff>190500</xdr:rowOff>
        </xdr:to>
        <xdr:sp macro="" textlink="">
          <xdr:nvSpPr>
            <xdr:cNvPr id="14362" name="Drop Down 26" hidden="1">
              <a:extLst>
                <a:ext uri="{63B3BB69-23CF-44E3-9099-C40C66FF867C}">
                  <a14:compatExt spid="_x0000_s1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19050</xdr:rowOff>
        </xdr:from>
        <xdr:to>
          <xdr:col>0</xdr:col>
          <xdr:colOff>962025</xdr:colOff>
          <xdr:row>8</xdr:row>
          <xdr:rowOff>190500</xdr:rowOff>
        </xdr:to>
        <xdr:sp macro="" textlink="">
          <xdr:nvSpPr>
            <xdr:cNvPr id="14364" name="Drop Down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xdr:twoCellAnchor editAs="oneCell">
    <xdr:from>
      <xdr:col>15</xdr:col>
      <xdr:colOff>447675</xdr:colOff>
      <xdr:row>1</xdr:row>
      <xdr:rowOff>57150</xdr:rowOff>
    </xdr:from>
    <xdr:to>
      <xdr:col>17</xdr:col>
      <xdr:colOff>685800</xdr:colOff>
      <xdr:row>1</xdr:row>
      <xdr:rowOff>847725</xdr:rowOff>
    </xdr:to>
    <xdr:pic>
      <xdr:nvPicPr>
        <xdr:cNvPr id="14564"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075" y="25717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4</xdr:row>
          <xdr:rowOff>190500</xdr:rowOff>
        </xdr:from>
        <xdr:to>
          <xdr:col>3</xdr:col>
          <xdr:colOff>733425</xdr:colOff>
          <xdr:row>5</xdr:row>
          <xdr:rowOff>190500</xdr:rowOff>
        </xdr:to>
        <xdr:sp macro="" textlink="">
          <xdr:nvSpPr>
            <xdr:cNvPr id="17417" name="Drop Down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4</xdr:row>
          <xdr:rowOff>0</xdr:rowOff>
        </xdr:from>
        <xdr:to>
          <xdr:col>3</xdr:col>
          <xdr:colOff>733425</xdr:colOff>
          <xdr:row>5</xdr:row>
          <xdr:rowOff>0</xdr:rowOff>
        </xdr:to>
        <xdr:sp macro="" textlink="">
          <xdr:nvSpPr>
            <xdr:cNvPr id="17420" name="Drop Down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5</xdr:row>
          <xdr:rowOff>180975</xdr:rowOff>
        </xdr:from>
        <xdr:to>
          <xdr:col>3</xdr:col>
          <xdr:colOff>733425</xdr:colOff>
          <xdr:row>6</xdr:row>
          <xdr:rowOff>190500</xdr:rowOff>
        </xdr:to>
        <xdr:sp macro="" textlink="">
          <xdr:nvSpPr>
            <xdr:cNvPr id="17421" name="Drop Down 13" hidden="1">
              <a:extLst>
                <a:ext uri="{63B3BB69-23CF-44E3-9099-C40C66FF867C}">
                  <a14:compatExt spid="_x0000_s17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4</xdr:row>
          <xdr:rowOff>0</xdr:rowOff>
        </xdr:from>
        <xdr:to>
          <xdr:col>1</xdr:col>
          <xdr:colOff>200025</xdr:colOff>
          <xdr:row>4</xdr:row>
          <xdr:rowOff>190500</xdr:rowOff>
        </xdr:to>
        <xdr:sp macro="" textlink="">
          <xdr:nvSpPr>
            <xdr:cNvPr id="17425" name="Drop Down 17" hidden="1">
              <a:extLst>
                <a:ext uri="{63B3BB69-23CF-44E3-9099-C40C66FF867C}">
                  <a14:compatExt spid="_x0000_s17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1</xdr:col>
          <xdr:colOff>200025</xdr:colOff>
          <xdr:row>5</xdr:row>
          <xdr:rowOff>190500</xdr:rowOff>
        </xdr:to>
        <xdr:sp macro="" textlink="">
          <xdr:nvSpPr>
            <xdr:cNvPr id="17428" name="Drop Down 20" hidden="1">
              <a:extLst>
                <a:ext uri="{63B3BB69-23CF-44E3-9099-C40C66FF867C}">
                  <a14:compatExt spid="_x0000_s1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6</xdr:row>
          <xdr:rowOff>0</xdr:rowOff>
        </xdr:from>
        <xdr:to>
          <xdr:col>1</xdr:col>
          <xdr:colOff>200025</xdr:colOff>
          <xdr:row>6</xdr:row>
          <xdr:rowOff>190500</xdr:rowOff>
        </xdr:to>
        <xdr:sp macro="" textlink="">
          <xdr:nvSpPr>
            <xdr:cNvPr id="17429" name="Drop Down 21" hidden="1">
              <a:extLst>
                <a:ext uri="{63B3BB69-23CF-44E3-9099-C40C66FF867C}">
                  <a14:compatExt spid="_x0000_s17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7</xdr:row>
          <xdr:rowOff>0</xdr:rowOff>
        </xdr:from>
        <xdr:to>
          <xdr:col>1</xdr:col>
          <xdr:colOff>200025</xdr:colOff>
          <xdr:row>7</xdr:row>
          <xdr:rowOff>190500</xdr:rowOff>
        </xdr:to>
        <xdr:sp macro="" textlink="">
          <xdr:nvSpPr>
            <xdr:cNvPr id="17430" name="Drop Down 22" hidden="1">
              <a:extLst>
                <a:ext uri="{63B3BB69-23CF-44E3-9099-C40C66FF867C}">
                  <a14:compatExt spid="_x0000_s17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8</xdr:row>
          <xdr:rowOff>0</xdr:rowOff>
        </xdr:from>
        <xdr:to>
          <xdr:col>1</xdr:col>
          <xdr:colOff>200025</xdr:colOff>
          <xdr:row>8</xdr:row>
          <xdr:rowOff>190500</xdr:rowOff>
        </xdr:to>
        <xdr:sp macro="" textlink="">
          <xdr:nvSpPr>
            <xdr:cNvPr id="17431" name="Drop Down 23" hidden="1">
              <a:extLst>
                <a:ext uri="{63B3BB69-23CF-44E3-9099-C40C66FF867C}">
                  <a14:compatExt spid="_x0000_s17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9</xdr:row>
          <xdr:rowOff>0</xdr:rowOff>
        </xdr:from>
        <xdr:to>
          <xdr:col>1</xdr:col>
          <xdr:colOff>200025</xdr:colOff>
          <xdr:row>9</xdr:row>
          <xdr:rowOff>190500</xdr:rowOff>
        </xdr:to>
        <xdr:sp macro="" textlink="">
          <xdr:nvSpPr>
            <xdr:cNvPr id="17432" name="Drop Down 24" hidden="1">
              <a:extLst>
                <a:ext uri="{63B3BB69-23CF-44E3-9099-C40C66FF867C}">
                  <a14:compatExt spid="_x0000_s17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10</xdr:row>
          <xdr:rowOff>0</xdr:rowOff>
        </xdr:from>
        <xdr:to>
          <xdr:col>1</xdr:col>
          <xdr:colOff>200025</xdr:colOff>
          <xdr:row>10</xdr:row>
          <xdr:rowOff>190500</xdr:rowOff>
        </xdr:to>
        <xdr:sp macro="" textlink="">
          <xdr:nvSpPr>
            <xdr:cNvPr id="17433" name="Drop Down 25" hidden="1">
              <a:extLst>
                <a:ext uri="{63B3BB69-23CF-44E3-9099-C40C66FF867C}">
                  <a14:compatExt spid="_x0000_s1743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95250</xdr:colOff>
      <xdr:row>0</xdr:row>
      <xdr:rowOff>47625</xdr:rowOff>
    </xdr:from>
    <xdr:to>
      <xdr:col>9</xdr:col>
      <xdr:colOff>619125</xdr:colOff>
      <xdr:row>4</xdr:row>
      <xdr:rowOff>28575</xdr:rowOff>
    </xdr:to>
    <xdr:pic>
      <xdr:nvPicPr>
        <xdr:cNvPr id="98862" name="Grafik 15" descr="C:\Users\msbo\AppData\Local\Microsoft\Windows\Temporary Internet Files\Content.Outlook\ZLX39RCH\Logo IAB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0650" y="47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390524</xdr:colOff>
      <xdr:row>31</xdr:row>
      <xdr:rowOff>19050</xdr:rowOff>
    </xdr:from>
    <xdr:to>
      <xdr:col>1</xdr:col>
      <xdr:colOff>523874</xdr:colOff>
      <xdr:row>34</xdr:row>
      <xdr:rowOff>142876</xdr:rowOff>
    </xdr:to>
    <xdr:sp macro="" textlink="">
      <xdr:nvSpPr>
        <xdr:cNvPr id="2" name="Flussdiagramm: Magnetplattenspeicher 1"/>
        <xdr:cNvSpPr/>
      </xdr:nvSpPr>
      <xdr:spPr bwMode="auto">
        <a:xfrm>
          <a:off x="390524" y="4991100"/>
          <a:ext cx="1114425" cy="695326"/>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flüssig</a:t>
          </a:r>
        </a:p>
        <a:p>
          <a:pPr algn="ctr"/>
          <a:r>
            <a:rPr lang="de-DE" sz="1000">
              <a:latin typeface="Arial" panose="020B0604020202020204" pitchFamily="34" charset="0"/>
              <a:cs typeface="Arial" panose="020B0604020202020204" pitchFamily="34" charset="0"/>
            </a:rPr>
            <a:t>(ohne Separtion)</a:t>
          </a:r>
        </a:p>
        <a:p>
          <a:pPr algn="ctr"/>
          <a:endParaRPr lang="de-DE" sz="1000">
            <a:latin typeface="Arial" panose="020B0604020202020204" pitchFamily="34" charset="0"/>
            <a:cs typeface="Arial" panose="020B0604020202020204" pitchFamily="34" charset="0"/>
          </a:endParaRPr>
        </a:p>
      </xdr:txBody>
    </xdr:sp>
    <xdr:clientData/>
  </xdr:twoCellAnchor>
  <xdr:twoCellAnchor>
    <xdr:from>
      <xdr:col>3</xdr:col>
      <xdr:colOff>123825</xdr:colOff>
      <xdr:row>31</xdr:row>
      <xdr:rowOff>19049</xdr:rowOff>
    </xdr:from>
    <xdr:to>
      <xdr:col>5</xdr:col>
      <xdr:colOff>314325</xdr:colOff>
      <xdr:row>34</xdr:row>
      <xdr:rowOff>152400</xdr:rowOff>
    </xdr:to>
    <xdr:sp macro="" textlink="">
      <xdr:nvSpPr>
        <xdr:cNvPr id="12" name="Flussdiagramm: Magnetplattenspeicher 11"/>
        <xdr:cNvSpPr/>
      </xdr:nvSpPr>
      <xdr:spPr bwMode="auto">
        <a:xfrm>
          <a:off x="2895600" y="4991099"/>
          <a:ext cx="1200150" cy="704851"/>
        </a:xfrm>
        <a:prstGeom prst="flowChartMagneticDisk">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a:t>
          </a:r>
          <a:r>
            <a:rPr lang="de-DE" sz="1100" b="1"/>
            <a:t> flüssig</a:t>
          </a:r>
        </a:p>
        <a:p>
          <a:pPr algn="ctr"/>
          <a:r>
            <a:rPr lang="de-DE" sz="1100"/>
            <a:t>(mit</a:t>
          </a:r>
          <a:r>
            <a:rPr lang="de-DE" sz="1100" baseline="0"/>
            <a:t> Separtion)</a:t>
          </a:r>
          <a:endParaRPr lang="de-DE" sz="1100"/>
        </a:p>
      </xdr:txBody>
    </xdr:sp>
    <xdr:clientData/>
  </xdr:twoCellAnchor>
  <xdr:twoCellAnchor>
    <xdr:from>
      <xdr:col>7</xdr:col>
      <xdr:colOff>371475</xdr:colOff>
      <xdr:row>31</xdr:row>
      <xdr:rowOff>76200</xdr:rowOff>
    </xdr:from>
    <xdr:to>
      <xdr:col>9</xdr:col>
      <xdr:colOff>361950</xdr:colOff>
      <xdr:row>34</xdr:row>
      <xdr:rowOff>66675</xdr:rowOff>
    </xdr:to>
    <xdr:sp macro="" textlink="">
      <xdr:nvSpPr>
        <xdr:cNvPr id="10" name="Flussdiagramm: Prozess 9"/>
        <xdr:cNvSpPr/>
      </xdr:nvSpPr>
      <xdr:spPr bwMode="auto">
        <a:xfrm>
          <a:off x="5067300" y="5048250"/>
          <a:ext cx="1047750" cy="561975"/>
        </a:xfrm>
        <a:prstGeom prst="flowChart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Endlager fest</a:t>
          </a:r>
        </a:p>
        <a:p>
          <a:pPr algn="ctr"/>
          <a:r>
            <a:rPr lang="de-DE" sz="1000">
              <a:latin typeface="Arial" panose="020B0604020202020204" pitchFamily="34" charset="0"/>
              <a:cs typeface="Arial" panose="020B0604020202020204" pitchFamily="34" charset="0"/>
            </a:rPr>
            <a:t>(mit</a:t>
          </a:r>
          <a:r>
            <a:rPr lang="de-DE" sz="1000" baseline="0">
              <a:latin typeface="Arial" panose="020B0604020202020204" pitchFamily="34" charset="0"/>
              <a:cs typeface="Arial" panose="020B0604020202020204" pitchFamily="34" charset="0"/>
            </a:rPr>
            <a:t> Separtaion</a:t>
          </a:r>
          <a:r>
            <a:rPr lang="de-DE" sz="1100" baseline="0"/>
            <a:t>)</a:t>
          </a:r>
          <a:endParaRPr lang="de-DE" sz="1100"/>
        </a:p>
      </xdr:txBody>
    </xdr:sp>
    <xdr:clientData/>
  </xdr:twoCellAnchor>
  <xdr:twoCellAnchor>
    <xdr:from>
      <xdr:col>2</xdr:col>
      <xdr:colOff>781050</xdr:colOff>
      <xdr:row>25</xdr:row>
      <xdr:rowOff>152400</xdr:rowOff>
    </xdr:from>
    <xdr:to>
      <xdr:col>6</xdr:col>
      <xdr:colOff>66675</xdr:colOff>
      <xdr:row>28</xdr:row>
      <xdr:rowOff>114300</xdr:rowOff>
    </xdr:to>
    <xdr:sp macro="" textlink="">
      <xdr:nvSpPr>
        <xdr:cNvPr id="13" name="Flussdiagramm: Alternativer Prozess 12"/>
        <xdr:cNvSpPr/>
      </xdr:nvSpPr>
      <xdr:spPr bwMode="auto">
        <a:xfrm>
          <a:off x="2695575" y="5314950"/>
          <a:ext cx="1657350" cy="533400"/>
        </a:xfrm>
        <a:prstGeom prst="flowChartAlternateProcess">
          <a:avLst/>
        </a:prstGeom>
        <a:solidFill>
          <a:schemeClr val="tx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de-DE" sz="1000" b="1">
              <a:latin typeface="Arial" panose="020B0604020202020204" pitchFamily="34" charset="0"/>
              <a:cs typeface="Arial" panose="020B0604020202020204" pitchFamily="34" charset="0"/>
            </a:rPr>
            <a:t>Separtion</a:t>
          </a:r>
        </a:p>
      </xdr:txBody>
    </xdr:sp>
    <xdr:clientData/>
  </xdr:twoCellAnchor>
  <xdr:twoCellAnchor>
    <xdr:from>
      <xdr:col>0</xdr:col>
      <xdr:colOff>942975</xdr:colOff>
      <xdr:row>23</xdr:row>
      <xdr:rowOff>19050</xdr:rowOff>
    </xdr:from>
    <xdr:to>
      <xdr:col>2</xdr:col>
      <xdr:colOff>733425</xdr:colOff>
      <xdr:row>31</xdr:row>
      <xdr:rowOff>19050</xdr:rowOff>
    </xdr:to>
    <xdr:cxnSp macro="">
      <xdr:nvCxnSpPr>
        <xdr:cNvPr id="98867" name="Gerade Verbindung mit Pfeil 17"/>
        <xdr:cNvCxnSpPr>
          <a:cxnSpLocks noChangeShapeType="1"/>
          <a:endCxn id="2" idx="1"/>
        </xdr:cNvCxnSpPr>
      </xdr:nvCxnSpPr>
      <xdr:spPr bwMode="auto">
        <a:xfrm flipH="1">
          <a:off x="942975" y="4829175"/>
          <a:ext cx="1704975" cy="1524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219075</xdr:colOff>
      <xdr:row>28</xdr:row>
      <xdr:rowOff>114300</xdr:rowOff>
    </xdr:from>
    <xdr:to>
      <xdr:col>4</xdr:col>
      <xdr:colOff>247650</xdr:colOff>
      <xdr:row>31</xdr:row>
      <xdr:rowOff>19050</xdr:rowOff>
    </xdr:to>
    <xdr:cxnSp macro="">
      <xdr:nvCxnSpPr>
        <xdr:cNvPr id="98868" name="Gerade Verbindung mit Pfeil 21"/>
        <xdr:cNvCxnSpPr>
          <a:cxnSpLocks noChangeShapeType="1"/>
          <a:stCxn id="13" idx="2"/>
          <a:endCxn id="12" idx="1"/>
        </xdr:cNvCxnSpPr>
      </xdr:nvCxnSpPr>
      <xdr:spPr bwMode="auto">
        <a:xfrm flipH="1">
          <a:off x="3495675" y="5876925"/>
          <a:ext cx="28575" cy="4762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247650</xdr:colOff>
      <xdr:row>28</xdr:row>
      <xdr:rowOff>114300</xdr:rowOff>
    </xdr:from>
    <xdr:to>
      <xdr:col>8</xdr:col>
      <xdr:colOff>485775</xdr:colOff>
      <xdr:row>31</xdr:row>
      <xdr:rowOff>76200</xdr:rowOff>
    </xdr:to>
    <xdr:cxnSp macro="">
      <xdr:nvCxnSpPr>
        <xdr:cNvPr id="98869" name="Gerade Verbindung mit Pfeil 23"/>
        <xdr:cNvCxnSpPr>
          <a:cxnSpLocks noChangeShapeType="1"/>
          <a:stCxn id="13" idx="2"/>
          <a:endCxn id="10" idx="0"/>
        </xdr:cNvCxnSpPr>
      </xdr:nvCxnSpPr>
      <xdr:spPr bwMode="auto">
        <a:xfrm>
          <a:off x="3524250" y="5876925"/>
          <a:ext cx="2066925" cy="533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723900</xdr:colOff>
      <xdr:row>23</xdr:row>
      <xdr:rowOff>28575</xdr:rowOff>
    </xdr:from>
    <xdr:to>
      <xdr:col>4</xdr:col>
      <xdr:colOff>247650</xdr:colOff>
      <xdr:row>25</xdr:row>
      <xdr:rowOff>152400</xdr:rowOff>
    </xdr:to>
    <xdr:cxnSp macro="">
      <xdr:nvCxnSpPr>
        <xdr:cNvPr id="98870" name="Gerade Verbindung mit Pfeil 26"/>
        <xdr:cNvCxnSpPr>
          <a:cxnSpLocks noChangeShapeType="1"/>
          <a:endCxn id="13" idx="0"/>
        </xdr:cNvCxnSpPr>
      </xdr:nvCxnSpPr>
      <xdr:spPr bwMode="auto">
        <a:xfrm>
          <a:off x="2638425" y="4838700"/>
          <a:ext cx="885825" cy="504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485775</xdr:colOff>
      <xdr:row>19</xdr:row>
      <xdr:rowOff>19050</xdr:rowOff>
    </xdr:from>
    <xdr:to>
      <xdr:col>2</xdr:col>
      <xdr:colOff>752475</xdr:colOff>
      <xdr:row>21</xdr:row>
      <xdr:rowOff>180975</xdr:rowOff>
    </xdr:to>
    <xdr:cxnSp macro="">
      <xdr:nvCxnSpPr>
        <xdr:cNvPr id="98871" name="Gerade Verbindung mit Pfeil 28"/>
        <xdr:cNvCxnSpPr>
          <a:cxnSpLocks noChangeShapeType="1"/>
        </xdr:cNvCxnSpPr>
      </xdr:nvCxnSpPr>
      <xdr:spPr bwMode="auto">
        <a:xfrm>
          <a:off x="1466850" y="4057650"/>
          <a:ext cx="1200150" cy="5334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69363</xdr:colOff>
      <xdr:row>28</xdr:row>
      <xdr:rowOff>94627</xdr:rowOff>
    </xdr:from>
    <xdr:ext cx="412491" cy="516167"/>
    <xdr:sp macro="" textlink="">
      <xdr:nvSpPr>
        <xdr:cNvPr id="2" name="Textfeld 1"/>
        <xdr:cNvSpPr txBox="1">
          <a:spLocks/>
        </xdr:cNvSpPr>
      </xdr:nvSpPr>
      <xdr:spPr>
        <a:xfrm>
          <a:off x="3126888" y="3885577"/>
          <a:ext cx="412491" cy="516167"/>
        </a:xfrm>
        <a:prstGeom prst="rect">
          <a:avLst/>
        </a:prstGeom>
        <a:pattFill prst="pct50">
          <a:fgClr>
            <a:srgbClr val="FFFF99"/>
          </a:fgClr>
          <a:bgClr>
            <a:sysClr val="window" lastClr="FFFFFF">
              <a:lumMod val="75000"/>
            </a:sysClr>
          </a:bgClr>
        </a:pattFill>
        <a:ln w="6350" cmpd="sng">
          <a:solidFill>
            <a:sysClr val="windowText" lastClr="000000"/>
          </a:solidFill>
        </a:ln>
        <a:effectLst/>
      </xdr:spPr>
      <xdr:txBody>
        <a:bodyPr vertOverflow="clip" horzOverflow="clip" wrap="square" lIns="10800" tIns="0" rIns="10800" bIns="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Nicht </a:t>
          </a: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wenn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Zuchtsau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mit Ferkel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7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bis 28 kg</a:t>
          </a:r>
        </a:p>
      </xdr:txBody>
    </xdr:sp>
    <xdr:clientData/>
  </xdr:oneCellAnchor>
  <xdr:twoCellAnchor>
    <xdr:from>
      <xdr:col>1</xdr:col>
      <xdr:colOff>2543175</xdr:colOff>
      <xdr:row>29</xdr:row>
      <xdr:rowOff>161925</xdr:rowOff>
    </xdr:from>
    <xdr:to>
      <xdr:col>2</xdr:col>
      <xdr:colOff>76200</xdr:colOff>
      <xdr:row>29</xdr:row>
      <xdr:rowOff>161925</xdr:rowOff>
    </xdr:to>
    <xdr:cxnSp macro="">
      <xdr:nvCxnSpPr>
        <xdr:cNvPr id="102975" name="Gerade Verbindung mit Pfeil 200"/>
        <xdr:cNvCxnSpPr>
          <a:cxnSpLocks noChangeShapeType="1"/>
        </xdr:cNvCxnSpPr>
      </xdr:nvCxnSpPr>
      <xdr:spPr bwMode="auto">
        <a:xfrm flipH="1">
          <a:off x="2828925" y="4048125"/>
          <a:ext cx="30480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5</xdr:row>
      <xdr:rowOff>66675</xdr:rowOff>
    </xdr:from>
    <xdr:to>
      <xdr:col>3</xdr:col>
      <xdr:colOff>285750</xdr:colOff>
      <xdr:row>5</xdr:row>
      <xdr:rowOff>104775</xdr:rowOff>
    </xdr:to>
    <xdr:sp macro="" textlink="">
      <xdr:nvSpPr>
        <xdr:cNvPr id="102976" name="Eingekerbter Pfeil nach rechts 201"/>
        <xdr:cNvSpPr>
          <a:spLocks noChangeArrowheads="1"/>
        </xdr:cNvSpPr>
      </xdr:nvSpPr>
      <xdr:spPr bwMode="auto">
        <a:xfrm>
          <a:off x="3152775" y="771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8</xdr:row>
      <xdr:rowOff>66675</xdr:rowOff>
    </xdr:from>
    <xdr:to>
      <xdr:col>3</xdr:col>
      <xdr:colOff>285750</xdr:colOff>
      <xdr:row>8</xdr:row>
      <xdr:rowOff>104775</xdr:rowOff>
    </xdr:to>
    <xdr:sp macro="" textlink="">
      <xdr:nvSpPr>
        <xdr:cNvPr id="102977" name="Eingekerbter Pfeil nach rechts 202"/>
        <xdr:cNvSpPr>
          <a:spLocks noChangeArrowheads="1"/>
        </xdr:cNvSpPr>
      </xdr:nvSpPr>
      <xdr:spPr bwMode="auto">
        <a:xfrm>
          <a:off x="3152775" y="11525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47625</xdr:colOff>
      <xdr:row>15</xdr:row>
      <xdr:rowOff>95250</xdr:rowOff>
    </xdr:from>
    <xdr:to>
      <xdr:col>3</xdr:col>
      <xdr:colOff>342900</xdr:colOff>
      <xdr:row>15</xdr:row>
      <xdr:rowOff>133350</xdr:rowOff>
    </xdr:to>
    <xdr:sp macro="" textlink="">
      <xdr:nvSpPr>
        <xdr:cNvPr id="102978" name="Eingekerbter Pfeil nach rechts 203"/>
        <xdr:cNvSpPr>
          <a:spLocks noChangeArrowheads="1"/>
        </xdr:cNvSpPr>
      </xdr:nvSpPr>
      <xdr:spPr bwMode="auto">
        <a:xfrm rot="-300000">
          <a:off x="3105150" y="210502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95250</xdr:colOff>
      <xdr:row>12</xdr:row>
      <xdr:rowOff>66675</xdr:rowOff>
    </xdr:from>
    <xdr:to>
      <xdr:col>3</xdr:col>
      <xdr:colOff>285750</xdr:colOff>
      <xdr:row>12</xdr:row>
      <xdr:rowOff>104775</xdr:rowOff>
    </xdr:to>
    <xdr:sp macro="" textlink="">
      <xdr:nvSpPr>
        <xdr:cNvPr id="102979" name="Eingekerbter Pfeil nach rechts 204"/>
        <xdr:cNvSpPr>
          <a:spLocks noChangeArrowheads="1"/>
        </xdr:cNvSpPr>
      </xdr:nvSpPr>
      <xdr:spPr bwMode="auto">
        <a:xfrm>
          <a:off x="3152775" y="1695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74</xdr:row>
      <xdr:rowOff>66675</xdr:rowOff>
    </xdr:from>
    <xdr:to>
      <xdr:col>3</xdr:col>
      <xdr:colOff>295275</xdr:colOff>
      <xdr:row>74</xdr:row>
      <xdr:rowOff>95250</xdr:rowOff>
    </xdr:to>
    <xdr:sp macro="" textlink="">
      <xdr:nvSpPr>
        <xdr:cNvPr id="102980" name="Eingekerbter Pfeil nach rechts 205"/>
        <xdr:cNvSpPr>
          <a:spLocks noChangeArrowheads="1"/>
        </xdr:cNvSpPr>
      </xdr:nvSpPr>
      <xdr:spPr bwMode="auto">
        <a:xfrm>
          <a:off x="3152775" y="10086975"/>
          <a:ext cx="352425" cy="28575"/>
        </a:xfrm>
        <a:prstGeom prst="notchedRightArrow">
          <a:avLst>
            <a:gd name="adj1" fmla="val 50000"/>
            <a:gd name="adj2" fmla="val 56299"/>
          </a:avLst>
        </a:prstGeom>
        <a:solidFill>
          <a:srgbClr val="FF0000"/>
        </a:solidFill>
        <a:ln w="6350" algn="ctr">
          <a:solidFill>
            <a:srgbClr val="000000"/>
          </a:solidFill>
          <a:miter lim="800000"/>
          <a:headEnd/>
          <a:tailEnd/>
        </a:ln>
      </xdr:spPr>
    </xdr:sp>
    <xdr:clientData/>
  </xdr:twoCellAnchor>
  <xdr:twoCellAnchor>
    <xdr:from>
      <xdr:col>2</xdr:col>
      <xdr:colOff>133350</xdr:colOff>
      <xdr:row>23</xdr:row>
      <xdr:rowOff>152400</xdr:rowOff>
    </xdr:from>
    <xdr:to>
      <xdr:col>3</xdr:col>
      <xdr:colOff>295275</xdr:colOff>
      <xdr:row>24</xdr:row>
      <xdr:rowOff>28575</xdr:rowOff>
    </xdr:to>
    <xdr:sp macro="" textlink="">
      <xdr:nvSpPr>
        <xdr:cNvPr id="102981" name="Eingekerbter Pfeil nach rechts 206"/>
        <xdr:cNvSpPr>
          <a:spLocks noChangeArrowheads="1"/>
        </xdr:cNvSpPr>
      </xdr:nvSpPr>
      <xdr:spPr bwMode="auto">
        <a:xfrm>
          <a:off x="3190875" y="3238500"/>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123825</xdr:colOff>
      <xdr:row>20</xdr:row>
      <xdr:rowOff>57150</xdr:rowOff>
    </xdr:from>
    <xdr:to>
      <xdr:col>3</xdr:col>
      <xdr:colOff>285750</xdr:colOff>
      <xdr:row>20</xdr:row>
      <xdr:rowOff>95250</xdr:rowOff>
    </xdr:to>
    <xdr:sp macro="" textlink="">
      <xdr:nvSpPr>
        <xdr:cNvPr id="102982" name="Eingekerbter Pfeil nach rechts 207"/>
        <xdr:cNvSpPr>
          <a:spLocks noChangeArrowheads="1"/>
        </xdr:cNvSpPr>
      </xdr:nvSpPr>
      <xdr:spPr bwMode="auto">
        <a:xfrm>
          <a:off x="3181350" y="2771775"/>
          <a:ext cx="314325" cy="38100"/>
        </a:xfrm>
        <a:prstGeom prst="notchedRightArrow">
          <a:avLst>
            <a:gd name="adj1" fmla="val 50000"/>
            <a:gd name="adj2" fmla="val 40983"/>
          </a:avLst>
        </a:prstGeom>
        <a:solidFill>
          <a:srgbClr val="FF0000"/>
        </a:solidFill>
        <a:ln w="6350" algn="ctr">
          <a:solidFill>
            <a:srgbClr val="000000"/>
          </a:solidFill>
          <a:miter lim="800000"/>
          <a:headEnd/>
          <a:tailEnd/>
        </a:ln>
      </xdr:spPr>
    </xdr:sp>
    <xdr:clientData/>
  </xdr:twoCellAnchor>
  <xdr:twoCellAnchor>
    <xdr:from>
      <xdr:col>2</xdr:col>
      <xdr:colOff>28575</xdr:colOff>
      <xdr:row>34</xdr:row>
      <xdr:rowOff>85725</xdr:rowOff>
    </xdr:from>
    <xdr:to>
      <xdr:col>3</xdr:col>
      <xdr:colOff>381000</xdr:colOff>
      <xdr:row>34</xdr:row>
      <xdr:rowOff>123825</xdr:rowOff>
    </xdr:to>
    <xdr:sp macro="" textlink="">
      <xdr:nvSpPr>
        <xdr:cNvPr id="102983" name="Eingekerbter Pfeil nach rechts 208"/>
        <xdr:cNvSpPr>
          <a:spLocks noChangeArrowheads="1"/>
        </xdr:cNvSpPr>
      </xdr:nvSpPr>
      <xdr:spPr bwMode="auto">
        <a:xfrm rot="-1560000">
          <a:off x="3086100" y="4743450"/>
          <a:ext cx="504825" cy="38100"/>
        </a:xfrm>
        <a:prstGeom prst="notchedRightArrow">
          <a:avLst>
            <a:gd name="adj1" fmla="val 50000"/>
            <a:gd name="adj2" fmla="val 43124"/>
          </a:avLst>
        </a:prstGeom>
        <a:solidFill>
          <a:srgbClr val="FF0000"/>
        </a:solidFill>
        <a:ln w="6350" algn="ctr">
          <a:solidFill>
            <a:srgbClr val="000000"/>
          </a:solidFill>
          <a:miter lim="800000"/>
          <a:headEnd/>
          <a:tailEnd/>
        </a:ln>
      </xdr:spPr>
    </xdr:sp>
    <xdr:clientData/>
  </xdr:twoCellAnchor>
  <xdr:twoCellAnchor>
    <xdr:from>
      <xdr:col>2</xdr:col>
      <xdr:colOff>95250</xdr:colOff>
      <xdr:row>26</xdr:row>
      <xdr:rowOff>66675</xdr:rowOff>
    </xdr:from>
    <xdr:to>
      <xdr:col>3</xdr:col>
      <xdr:colOff>285750</xdr:colOff>
      <xdr:row>26</xdr:row>
      <xdr:rowOff>104775</xdr:rowOff>
    </xdr:to>
    <xdr:sp macro="" textlink="">
      <xdr:nvSpPr>
        <xdr:cNvPr id="102984" name="Eingekerbter Pfeil nach rechts 209"/>
        <xdr:cNvSpPr>
          <a:spLocks noChangeArrowheads="1"/>
        </xdr:cNvSpPr>
      </xdr:nvSpPr>
      <xdr:spPr bwMode="auto">
        <a:xfrm>
          <a:off x="3152775" y="35337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xdr:colOff>
      <xdr:row>23</xdr:row>
      <xdr:rowOff>9525</xdr:rowOff>
    </xdr:from>
    <xdr:to>
      <xdr:col>2</xdr:col>
      <xdr:colOff>85725</xdr:colOff>
      <xdr:row>24</xdr:row>
      <xdr:rowOff>161925</xdr:rowOff>
    </xdr:to>
    <xdr:sp macro="" textlink="">
      <xdr:nvSpPr>
        <xdr:cNvPr id="102985" name="Geschweifte Klammer rechts 210"/>
        <xdr:cNvSpPr>
          <a:spLocks/>
        </xdr:cNvSpPr>
      </xdr:nvSpPr>
      <xdr:spPr bwMode="auto">
        <a:xfrm>
          <a:off x="3067050" y="3095625"/>
          <a:ext cx="76200" cy="314325"/>
        </a:xfrm>
        <a:prstGeom prst="rightBrace">
          <a:avLst>
            <a:gd name="adj1" fmla="val 8326"/>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57</xdr:row>
      <xdr:rowOff>28575</xdr:rowOff>
    </xdr:from>
    <xdr:to>
      <xdr:col>3</xdr:col>
      <xdr:colOff>352425</xdr:colOff>
      <xdr:row>57</xdr:row>
      <xdr:rowOff>66675</xdr:rowOff>
    </xdr:to>
    <xdr:sp macro="" textlink="">
      <xdr:nvSpPr>
        <xdr:cNvPr id="102986" name="Eingekerbter Pfeil nach rechts 211"/>
        <xdr:cNvSpPr>
          <a:spLocks noChangeArrowheads="1"/>
        </xdr:cNvSpPr>
      </xdr:nvSpPr>
      <xdr:spPr bwMode="auto">
        <a:xfrm rot="300000">
          <a:off x="3105150" y="7924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59</xdr:row>
      <xdr:rowOff>66675</xdr:rowOff>
    </xdr:from>
    <xdr:to>
      <xdr:col>3</xdr:col>
      <xdr:colOff>295275</xdr:colOff>
      <xdr:row>59</xdr:row>
      <xdr:rowOff>104775</xdr:rowOff>
    </xdr:to>
    <xdr:sp macro="" textlink="">
      <xdr:nvSpPr>
        <xdr:cNvPr id="102987" name="Eingekerbter Pfeil nach rechts 212"/>
        <xdr:cNvSpPr>
          <a:spLocks noChangeArrowheads="1"/>
        </xdr:cNvSpPr>
      </xdr:nvSpPr>
      <xdr:spPr bwMode="auto">
        <a:xfrm>
          <a:off x="3152775" y="818197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twoCellAnchor>
    <xdr:from>
      <xdr:col>2</xdr:col>
      <xdr:colOff>95250</xdr:colOff>
      <xdr:row>66</xdr:row>
      <xdr:rowOff>66675</xdr:rowOff>
    </xdr:from>
    <xdr:to>
      <xdr:col>3</xdr:col>
      <xdr:colOff>285750</xdr:colOff>
      <xdr:row>66</xdr:row>
      <xdr:rowOff>95250</xdr:rowOff>
    </xdr:to>
    <xdr:sp macro="" textlink="">
      <xdr:nvSpPr>
        <xdr:cNvPr id="102988" name="Eingekerbter Pfeil nach rechts 213"/>
        <xdr:cNvSpPr>
          <a:spLocks noChangeArrowheads="1"/>
        </xdr:cNvSpPr>
      </xdr:nvSpPr>
      <xdr:spPr bwMode="auto">
        <a:xfrm>
          <a:off x="3152775" y="910590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57150</xdr:colOff>
      <xdr:row>68</xdr:row>
      <xdr:rowOff>95250</xdr:rowOff>
    </xdr:from>
    <xdr:to>
      <xdr:col>3</xdr:col>
      <xdr:colOff>352425</xdr:colOff>
      <xdr:row>68</xdr:row>
      <xdr:rowOff>133350</xdr:rowOff>
    </xdr:to>
    <xdr:sp macro="" textlink="">
      <xdr:nvSpPr>
        <xdr:cNvPr id="102989" name="Eingekerbter Pfeil nach rechts 214"/>
        <xdr:cNvSpPr>
          <a:spLocks noChangeArrowheads="1"/>
        </xdr:cNvSpPr>
      </xdr:nvSpPr>
      <xdr:spPr bwMode="auto">
        <a:xfrm rot="-300000">
          <a:off x="3114675" y="935355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72</xdr:row>
      <xdr:rowOff>28575</xdr:rowOff>
    </xdr:from>
    <xdr:to>
      <xdr:col>3</xdr:col>
      <xdr:colOff>352425</xdr:colOff>
      <xdr:row>72</xdr:row>
      <xdr:rowOff>66675</xdr:rowOff>
    </xdr:to>
    <xdr:sp macro="" textlink="">
      <xdr:nvSpPr>
        <xdr:cNvPr id="102990" name="Eingekerbter Pfeil nach rechts 215"/>
        <xdr:cNvSpPr>
          <a:spLocks noChangeArrowheads="1"/>
        </xdr:cNvSpPr>
      </xdr:nvSpPr>
      <xdr:spPr bwMode="auto">
        <a:xfrm rot="300000">
          <a:off x="3105150" y="9829800"/>
          <a:ext cx="457200" cy="38100"/>
        </a:xfrm>
        <a:prstGeom prst="notchedRightArrow">
          <a:avLst>
            <a:gd name="adj1" fmla="val 50000"/>
            <a:gd name="adj2" fmla="val 43056"/>
          </a:avLst>
        </a:prstGeom>
        <a:solidFill>
          <a:srgbClr val="FF0000"/>
        </a:solidFill>
        <a:ln w="6350" algn="ctr">
          <a:solidFill>
            <a:srgbClr val="000000"/>
          </a:solidFill>
          <a:miter lim="800000"/>
          <a:headEnd/>
          <a:tailEnd/>
        </a:ln>
      </xdr:spPr>
    </xdr:sp>
    <xdr:clientData/>
  </xdr:twoCellAnchor>
  <xdr:twoCellAnchor>
    <xdr:from>
      <xdr:col>2</xdr:col>
      <xdr:colOff>95250</xdr:colOff>
      <xdr:row>7</xdr:row>
      <xdr:rowOff>66675</xdr:rowOff>
    </xdr:from>
    <xdr:to>
      <xdr:col>3</xdr:col>
      <xdr:colOff>285750</xdr:colOff>
      <xdr:row>7</xdr:row>
      <xdr:rowOff>104775</xdr:rowOff>
    </xdr:to>
    <xdr:sp macro="" textlink="">
      <xdr:nvSpPr>
        <xdr:cNvPr id="102991" name="Eingekerbter Pfeil nach rechts 216"/>
        <xdr:cNvSpPr>
          <a:spLocks noChangeArrowheads="1"/>
        </xdr:cNvSpPr>
      </xdr:nvSpPr>
      <xdr:spPr bwMode="auto">
        <a:xfrm>
          <a:off x="3152775" y="99060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9</xdr:row>
      <xdr:rowOff>66675</xdr:rowOff>
    </xdr:from>
    <xdr:to>
      <xdr:col>3</xdr:col>
      <xdr:colOff>285750</xdr:colOff>
      <xdr:row>9</xdr:row>
      <xdr:rowOff>104775</xdr:rowOff>
    </xdr:to>
    <xdr:sp macro="" textlink="">
      <xdr:nvSpPr>
        <xdr:cNvPr id="102992" name="Eingekerbter Pfeil nach rechts 217"/>
        <xdr:cNvSpPr>
          <a:spLocks noChangeArrowheads="1"/>
        </xdr:cNvSpPr>
      </xdr:nvSpPr>
      <xdr:spPr bwMode="auto">
        <a:xfrm>
          <a:off x="3152775" y="1314450"/>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11</xdr:row>
      <xdr:rowOff>76200</xdr:rowOff>
    </xdr:from>
    <xdr:to>
      <xdr:col>3</xdr:col>
      <xdr:colOff>285750</xdr:colOff>
      <xdr:row>11</xdr:row>
      <xdr:rowOff>104775</xdr:rowOff>
    </xdr:to>
    <xdr:sp macro="" textlink="">
      <xdr:nvSpPr>
        <xdr:cNvPr id="102993" name="Eingekerbter Pfeil nach rechts 218"/>
        <xdr:cNvSpPr>
          <a:spLocks/>
        </xdr:cNvSpPr>
      </xdr:nvSpPr>
      <xdr:spPr bwMode="auto">
        <a:xfrm>
          <a:off x="3152775" y="1543050"/>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95250</xdr:colOff>
      <xdr:row>13</xdr:row>
      <xdr:rowOff>66675</xdr:rowOff>
    </xdr:from>
    <xdr:to>
      <xdr:col>3</xdr:col>
      <xdr:colOff>285750</xdr:colOff>
      <xdr:row>13</xdr:row>
      <xdr:rowOff>95250</xdr:rowOff>
    </xdr:to>
    <xdr:sp macro="" textlink="">
      <xdr:nvSpPr>
        <xdr:cNvPr id="102994" name="Eingekerbter Pfeil nach rechts 219"/>
        <xdr:cNvSpPr>
          <a:spLocks noChangeArrowheads="1"/>
        </xdr:cNvSpPr>
      </xdr:nvSpPr>
      <xdr:spPr bwMode="auto">
        <a:xfrm>
          <a:off x="3152775" y="1857375"/>
          <a:ext cx="342900" cy="28575"/>
        </a:xfrm>
        <a:prstGeom prst="notchedRightArrow">
          <a:avLst>
            <a:gd name="adj1" fmla="val 50000"/>
            <a:gd name="adj2" fmla="val 54778"/>
          </a:avLst>
        </a:prstGeom>
        <a:solidFill>
          <a:srgbClr val="FF0000"/>
        </a:solidFill>
        <a:ln w="6350" algn="ctr">
          <a:solidFill>
            <a:srgbClr val="000000"/>
          </a:solidFill>
          <a:miter lim="800000"/>
          <a:headEnd/>
          <a:tailEnd/>
        </a:ln>
      </xdr:spPr>
    </xdr:sp>
    <xdr:clientData/>
  </xdr:twoCellAnchor>
  <xdr:twoCellAnchor>
    <xdr:from>
      <xdr:col>2</xdr:col>
      <xdr:colOff>47625</xdr:colOff>
      <xdr:row>16</xdr:row>
      <xdr:rowOff>28575</xdr:rowOff>
    </xdr:from>
    <xdr:to>
      <xdr:col>3</xdr:col>
      <xdr:colOff>352425</xdr:colOff>
      <xdr:row>16</xdr:row>
      <xdr:rowOff>66675</xdr:rowOff>
    </xdr:to>
    <xdr:sp macro="" textlink="">
      <xdr:nvSpPr>
        <xdr:cNvPr id="102995" name="Eingekerbter Pfeil nach rechts 220"/>
        <xdr:cNvSpPr>
          <a:spLocks noChangeArrowheads="1"/>
        </xdr:cNvSpPr>
      </xdr:nvSpPr>
      <xdr:spPr bwMode="auto">
        <a:xfrm rot="300000">
          <a:off x="3105150" y="220027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95250</xdr:colOff>
      <xdr:row>18</xdr:row>
      <xdr:rowOff>57150</xdr:rowOff>
    </xdr:from>
    <xdr:to>
      <xdr:col>3</xdr:col>
      <xdr:colOff>285750</xdr:colOff>
      <xdr:row>18</xdr:row>
      <xdr:rowOff>95250</xdr:rowOff>
    </xdr:to>
    <xdr:sp macro="" textlink="">
      <xdr:nvSpPr>
        <xdr:cNvPr id="102996" name="Eingekerbter Pfeil nach rechts 221"/>
        <xdr:cNvSpPr>
          <a:spLocks noChangeArrowheads="1"/>
        </xdr:cNvSpPr>
      </xdr:nvSpPr>
      <xdr:spPr bwMode="auto">
        <a:xfrm>
          <a:off x="3152775" y="244792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2</xdr:col>
      <xdr:colOff>95250</xdr:colOff>
      <xdr:row>27</xdr:row>
      <xdr:rowOff>57150</xdr:rowOff>
    </xdr:from>
    <xdr:to>
      <xdr:col>3</xdr:col>
      <xdr:colOff>285750</xdr:colOff>
      <xdr:row>27</xdr:row>
      <xdr:rowOff>95250</xdr:rowOff>
    </xdr:to>
    <xdr:sp macro="" textlink="">
      <xdr:nvSpPr>
        <xdr:cNvPr id="102997" name="Eingekerbter Pfeil nach rechts 222"/>
        <xdr:cNvSpPr>
          <a:spLocks noChangeArrowheads="1"/>
        </xdr:cNvSpPr>
      </xdr:nvSpPr>
      <xdr:spPr bwMode="auto">
        <a:xfrm>
          <a:off x="3152775" y="3686175"/>
          <a:ext cx="342900" cy="38100"/>
        </a:xfrm>
        <a:prstGeom prst="notchedRightArrow">
          <a:avLst>
            <a:gd name="adj1" fmla="val 50000"/>
            <a:gd name="adj2" fmla="val 41083"/>
          </a:avLst>
        </a:prstGeom>
        <a:solidFill>
          <a:srgbClr val="FF0000"/>
        </a:solidFill>
        <a:ln w="6350" algn="ctr">
          <a:solidFill>
            <a:srgbClr val="000000"/>
          </a:solidFill>
          <a:miter lim="800000"/>
          <a:headEnd/>
          <a:tailEnd/>
        </a:ln>
      </xdr:spPr>
    </xdr:sp>
    <xdr:clientData/>
  </xdr:twoCellAnchor>
  <xdr:twoCellAnchor>
    <xdr:from>
      <xdr:col>1</xdr:col>
      <xdr:colOff>2724150</xdr:colOff>
      <xdr:row>33</xdr:row>
      <xdr:rowOff>161925</xdr:rowOff>
    </xdr:from>
    <xdr:to>
      <xdr:col>4</xdr:col>
      <xdr:colOff>19050</xdr:colOff>
      <xdr:row>34</xdr:row>
      <xdr:rowOff>38100</xdr:rowOff>
    </xdr:to>
    <xdr:sp macro="" textlink="">
      <xdr:nvSpPr>
        <xdr:cNvPr id="102998" name="Eingekerbter Pfeil nach rechts 223"/>
        <xdr:cNvSpPr>
          <a:spLocks noChangeArrowheads="1"/>
        </xdr:cNvSpPr>
      </xdr:nvSpPr>
      <xdr:spPr bwMode="auto">
        <a:xfrm rot="-2100000">
          <a:off x="3009900" y="4657725"/>
          <a:ext cx="676275" cy="38100"/>
        </a:xfrm>
        <a:prstGeom prst="notchedRightArrow">
          <a:avLst>
            <a:gd name="adj1" fmla="val 50000"/>
            <a:gd name="adj2" fmla="val 51606"/>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104775</xdr:rowOff>
    </xdr:from>
    <xdr:to>
      <xdr:col>3</xdr:col>
      <xdr:colOff>352425</xdr:colOff>
      <xdr:row>35</xdr:row>
      <xdr:rowOff>142875</xdr:rowOff>
    </xdr:to>
    <xdr:sp macro="" textlink="">
      <xdr:nvSpPr>
        <xdr:cNvPr id="102999" name="Eingekerbter Pfeil nach rechts 224"/>
        <xdr:cNvSpPr>
          <a:spLocks noChangeArrowheads="1"/>
        </xdr:cNvSpPr>
      </xdr:nvSpPr>
      <xdr:spPr bwMode="auto">
        <a:xfrm rot="-240000">
          <a:off x="3105150" y="49244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36</xdr:row>
      <xdr:rowOff>123825</xdr:rowOff>
    </xdr:from>
    <xdr:to>
      <xdr:col>3</xdr:col>
      <xdr:colOff>361950</xdr:colOff>
      <xdr:row>36</xdr:row>
      <xdr:rowOff>161925</xdr:rowOff>
    </xdr:to>
    <xdr:sp macro="" textlink="">
      <xdr:nvSpPr>
        <xdr:cNvPr id="103000" name="Eingekerbter Pfeil nach rechts 225"/>
        <xdr:cNvSpPr>
          <a:spLocks noChangeArrowheads="1"/>
        </xdr:cNvSpPr>
      </xdr:nvSpPr>
      <xdr:spPr bwMode="auto">
        <a:xfrm rot="1080000">
          <a:off x="3105150" y="5105400"/>
          <a:ext cx="466725" cy="38100"/>
        </a:xfrm>
        <a:prstGeom prst="notchedRightArrow">
          <a:avLst>
            <a:gd name="adj1" fmla="val 50000"/>
            <a:gd name="adj2" fmla="val 42365"/>
          </a:avLst>
        </a:prstGeom>
        <a:solidFill>
          <a:srgbClr val="FF0000"/>
        </a:solidFill>
        <a:ln w="6350" algn="ctr">
          <a:solidFill>
            <a:srgbClr val="000000"/>
          </a:solidFill>
          <a:miter lim="800000"/>
          <a:headEnd/>
          <a:tailEnd/>
        </a:ln>
      </xdr:spPr>
    </xdr:sp>
    <xdr:clientData/>
  </xdr:twoCellAnchor>
  <xdr:twoCellAnchor>
    <xdr:from>
      <xdr:col>2</xdr:col>
      <xdr:colOff>57150</xdr:colOff>
      <xdr:row>36</xdr:row>
      <xdr:rowOff>38100</xdr:rowOff>
    </xdr:from>
    <xdr:to>
      <xdr:col>3</xdr:col>
      <xdr:colOff>352425</xdr:colOff>
      <xdr:row>36</xdr:row>
      <xdr:rowOff>76200</xdr:rowOff>
    </xdr:to>
    <xdr:sp macro="" textlink="">
      <xdr:nvSpPr>
        <xdr:cNvPr id="103001" name="Eingekerbter Pfeil nach rechts 226"/>
        <xdr:cNvSpPr>
          <a:spLocks noChangeArrowheads="1"/>
        </xdr:cNvSpPr>
      </xdr:nvSpPr>
      <xdr:spPr bwMode="auto">
        <a:xfrm rot="420000">
          <a:off x="3114675" y="5019675"/>
          <a:ext cx="447675" cy="38100"/>
        </a:xfrm>
        <a:prstGeom prst="notchedRightArrow">
          <a:avLst>
            <a:gd name="adj1" fmla="val 50000"/>
            <a:gd name="adj2" fmla="val 42104"/>
          </a:avLst>
        </a:prstGeom>
        <a:solidFill>
          <a:srgbClr val="FF0000"/>
        </a:solidFill>
        <a:ln w="6350" algn="ctr">
          <a:solidFill>
            <a:srgbClr val="000000"/>
          </a:solidFill>
          <a:miter lim="800000"/>
          <a:headEnd/>
          <a:tailEnd/>
        </a:ln>
      </xdr:spPr>
    </xdr:sp>
    <xdr:clientData/>
  </xdr:twoCellAnchor>
  <xdr:twoCellAnchor>
    <xdr:from>
      <xdr:col>2</xdr:col>
      <xdr:colOff>28575</xdr:colOff>
      <xdr:row>37</xdr:row>
      <xdr:rowOff>47625</xdr:rowOff>
    </xdr:from>
    <xdr:to>
      <xdr:col>3</xdr:col>
      <xdr:colOff>381000</xdr:colOff>
      <xdr:row>37</xdr:row>
      <xdr:rowOff>85725</xdr:rowOff>
    </xdr:to>
    <xdr:sp macro="" textlink="">
      <xdr:nvSpPr>
        <xdr:cNvPr id="103002" name="Eingekerbter Pfeil nach rechts 227"/>
        <xdr:cNvSpPr>
          <a:spLocks noChangeArrowheads="1"/>
        </xdr:cNvSpPr>
      </xdr:nvSpPr>
      <xdr:spPr bwMode="auto">
        <a:xfrm rot="1740000">
          <a:off x="3086100" y="5191125"/>
          <a:ext cx="504825" cy="38100"/>
        </a:xfrm>
        <a:prstGeom prst="notchedRightArrow">
          <a:avLst>
            <a:gd name="adj1" fmla="val 50000"/>
            <a:gd name="adj2" fmla="val 42572"/>
          </a:avLst>
        </a:prstGeom>
        <a:solidFill>
          <a:srgbClr val="FF0000"/>
        </a:solidFill>
        <a:ln w="6350" algn="ctr">
          <a:solidFill>
            <a:srgbClr val="000000"/>
          </a:solidFill>
          <a:miter lim="800000"/>
          <a:headEnd/>
          <a:tailEnd/>
        </a:ln>
      </xdr:spPr>
    </xdr:sp>
    <xdr:clientData/>
  </xdr:twoCellAnchor>
  <xdr:twoCellAnchor>
    <xdr:from>
      <xdr:col>1</xdr:col>
      <xdr:colOff>2714625</xdr:colOff>
      <xdr:row>37</xdr:row>
      <xdr:rowOff>142875</xdr:rowOff>
    </xdr:from>
    <xdr:to>
      <xdr:col>4</xdr:col>
      <xdr:colOff>19050</xdr:colOff>
      <xdr:row>38</xdr:row>
      <xdr:rowOff>19050</xdr:rowOff>
    </xdr:to>
    <xdr:sp macro="" textlink="">
      <xdr:nvSpPr>
        <xdr:cNvPr id="103003" name="Eingekerbter Pfeil nach rechts 228"/>
        <xdr:cNvSpPr>
          <a:spLocks noChangeArrowheads="1"/>
        </xdr:cNvSpPr>
      </xdr:nvSpPr>
      <xdr:spPr bwMode="auto">
        <a:xfrm rot="2280000">
          <a:off x="3000375" y="5286375"/>
          <a:ext cx="685800" cy="38100"/>
        </a:xfrm>
        <a:prstGeom prst="notchedRightArrow">
          <a:avLst>
            <a:gd name="adj1" fmla="val 50000"/>
            <a:gd name="adj2" fmla="val 49167"/>
          </a:avLst>
        </a:prstGeom>
        <a:solidFill>
          <a:srgbClr val="FF0000"/>
        </a:solidFill>
        <a:ln w="6350" algn="ctr">
          <a:solidFill>
            <a:srgbClr val="000000"/>
          </a:solidFill>
          <a:miter lim="800000"/>
          <a:headEnd/>
          <a:tailEnd/>
        </a:ln>
      </xdr:spPr>
    </xdr:sp>
    <xdr:clientData/>
  </xdr:twoCellAnchor>
  <xdr:twoCellAnchor>
    <xdr:from>
      <xdr:col>2</xdr:col>
      <xdr:colOff>47625</xdr:colOff>
      <xdr:row>35</xdr:row>
      <xdr:rowOff>19050</xdr:rowOff>
    </xdr:from>
    <xdr:to>
      <xdr:col>3</xdr:col>
      <xdr:colOff>361950</xdr:colOff>
      <xdr:row>35</xdr:row>
      <xdr:rowOff>57150</xdr:rowOff>
    </xdr:to>
    <xdr:sp macro="" textlink="">
      <xdr:nvSpPr>
        <xdr:cNvPr id="103004" name="Eingekerbter Pfeil nach rechts 229"/>
        <xdr:cNvSpPr>
          <a:spLocks noChangeArrowheads="1"/>
        </xdr:cNvSpPr>
      </xdr:nvSpPr>
      <xdr:spPr bwMode="auto">
        <a:xfrm rot="-900000">
          <a:off x="3105150" y="4838700"/>
          <a:ext cx="466725" cy="38100"/>
        </a:xfrm>
        <a:prstGeom prst="notchedRightArrow">
          <a:avLst>
            <a:gd name="adj1" fmla="val 50000"/>
            <a:gd name="adj2" fmla="val 42818"/>
          </a:avLst>
        </a:prstGeom>
        <a:solidFill>
          <a:srgbClr val="FF0000"/>
        </a:solidFill>
        <a:ln w="6350" algn="ctr">
          <a:solidFill>
            <a:srgbClr val="000000"/>
          </a:solidFill>
          <a:miter lim="800000"/>
          <a:headEnd/>
          <a:tailEnd/>
        </a:ln>
      </xdr:spPr>
    </xdr:sp>
    <xdr:clientData/>
  </xdr:twoCellAnchor>
  <xdr:twoCellAnchor>
    <xdr:from>
      <xdr:col>2</xdr:col>
      <xdr:colOff>9525</xdr:colOff>
      <xdr:row>19</xdr:row>
      <xdr:rowOff>9525</xdr:rowOff>
    </xdr:from>
    <xdr:to>
      <xdr:col>2</xdr:col>
      <xdr:colOff>85725</xdr:colOff>
      <xdr:row>21</xdr:row>
      <xdr:rowOff>152400</xdr:rowOff>
    </xdr:to>
    <xdr:sp macro="" textlink="">
      <xdr:nvSpPr>
        <xdr:cNvPr id="103005" name="Geschweifte Klammer rechts 230"/>
        <xdr:cNvSpPr>
          <a:spLocks/>
        </xdr:cNvSpPr>
      </xdr:nvSpPr>
      <xdr:spPr bwMode="auto">
        <a:xfrm>
          <a:off x="3067050" y="256222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69</xdr:row>
      <xdr:rowOff>28575</xdr:rowOff>
    </xdr:from>
    <xdr:to>
      <xdr:col>3</xdr:col>
      <xdr:colOff>352425</xdr:colOff>
      <xdr:row>69</xdr:row>
      <xdr:rowOff>66675</xdr:rowOff>
    </xdr:to>
    <xdr:sp macro="" textlink="">
      <xdr:nvSpPr>
        <xdr:cNvPr id="103006" name="Eingekerbter Pfeil nach rechts 231"/>
        <xdr:cNvSpPr>
          <a:spLocks noChangeArrowheads="1"/>
        </xdr:cNvSpPr>
      </xdr:nvSpPr>
      <xdr:spPr bwMode="auto">
        <a:xfrm rot="300000">
          <a:off x="3114675" y="9448800"/>
          <a:ext cx="447675" cy="38100"/>
        </a:xfrm>
        <a:prstGeom prst="notchedRightArrow">
          <a:avLst>
            <a:gd name="adj1" fmla="val 50000"/>
            <a:gd name="adj2" fmla="val 42159"/>
          </a:avLst>
        </a:prstGeom>
        <a:solidFill>
          <a:srgbClr val="FF0000"/>
        </a:solidFill>
        <a:ln w="6350" algn="ctr">
          <a:solidFill>
            <a:srgbClr val="000000"/>
          </a:solidFill>
          <a:miter lim="800000"/>
          <a:headEnd/>
          <a:tailEnd/>
        </a:ln>
      </xdr:spPr>
    </xdr:sp>
    <xdr:clientData/>
  </xdr:twoCellAnchor>
  <xdr:twoCellAnchor>
    <xdr:from>
      <xdr:col>2</xdr:col>
      <xdr:colOff>47625</xdr:colOff>
      <xdr:row>71</xdr:row>
      <xdr:rowOff>104775</xdr:rowOff>
    </xdr:from>
    <xdr:to>
      <xdr:col>3</xdr:col>
      <xdr:colOff>352425</xdr:colOff>
      <xdr:row>71</xdr:row>
      <xdr:rowOff>133350</xdr:rowOff>
    </xdr:to>
    <xdr:sp macro="" textlink="">
      <xdr:nvSpPr>
        <xdr:cNvPr id="103007" name="Eingekerbter Pfeil nach rechts 232"/>
        <xdr:cNvSpPr>
          <a:spLocks noChangeArrowheads="1"/>
        </xdr:cNvSpPr>
      </xdr:nvSpPr>
      <xdr:spPr bwMode="auto">
        <a:xfrm rot="-300000">
          <a:off x="3105150" y="9744075"/>
          <a:ext cx="457200" cy="28575"/>
        </a:xfrm>
        <a:prstGeom prst="notchedRightArrow">
          <a:avLst>
            <a:gd name="adj1" fmla="val 50000"/>
            <a:gd name="adj2" fmla="val 57407"/>
          </a:avLst>
        </a:prstGeom>
        <a:solidFill>
          <a:srgbClr val="FF0000"/>
        </a:solidFill>
        <a:ln w="6350" algn="ctr">
          <a:solidFill>
            <a:srgbClr val="000000"/>
          </a:solidFill>
          <a:miter lim="800000"/>
          <a:headEnd/>
          <a:tailEnd/>
        </a:ln>
      </xdr:spPr>
    </xdr:sp>
    <xdr:clientData/>
  </xdr:twoCellAnchor>
  <xdr:twoCellAnchor>
    <xdr:from>
      <xdr:col>2</xdr:col>
      <xdr:colOff>57150</xdr:colOff>
      <xdr:row>62</xdr:row>
      <xdr:rowOff>104775</xdr:rowOff>
    </xdr:from>
    <xdr:to>
      <xdr:col>3</xdr:col>
      <xdr:colOff>352425</xdr:colOff>
      <xdr:row>62</xdr:row>
      <xdr:rowOff>133350</xdr:rowOff>
    </xdr:to>
    <xdr:sp macro="" textlink="">
      <xdr:nvSpPr>
        <xdr:cNvPr id="103008" name="Eingekerbter Pfeil nach rechts 233"/>
        <xdr:cNvSpPr>
          <a:spLocks noChangeArrowheads="1"/>
        </xdr:cNvSpPr>
      </xdr:nvSpPr>
      <xdr:spPr bwMode="auto">
        <a:xfrm rot="-300000">
          <a:off x="3114675" y="8601075"/>
          <a:ext cx="447675" cy="28575"/>
        </a:xfrm>
        <a:prstGeom prst="notchedRightArrow">
          <a:avLst>
            <a:gd name="adj1" fmla="val 50000"/>
            <a:gd name="adj2" fmla="val 56574"/>
          </a:avLst>
        </a:prstGeom>
        <a:solidFill>
          <a:srgbClr val="FF0000"/>
        </a:solidFill>
        <a:ln w="6350" algn="ctr">
          <a:solidFill>
            <a:srgbClr val="000000"/>
          </a:solidFill>
          <a:miter lim="800000"/>
          <a:headEnd/>
          <a:tailEnd/>
        </a:ln>
      </xdr:spPr>
    </xdr:sp>
    <xdr:clientData/>
  </xdr:twoCellAnchor>
  <xdr:twoCellAnchor>
    <xdr:from>
      <xdr:col>2</xdr:col>
      <xdr:colOff>57150</xdr:colOff>
      <xdr:row>63</xdr:row>
      <xdr:rowOff>38100</xdr:rowOff>
    </xdr:from>
    <xdr:to>
      <xdr:col>3</xdr:col>
      <xdr:colOff>352425</xdr:colOff>
      <xdr:row>63</xdr:row>
      <xdr:rowOff>76200</xdr:rowOff>
    </xdr:to>
    <xdr:sp macro="" textlink="">
      <xdr:nvSpPr>
        <xdr:cNvPr id="103009" name="Eingekerbter Pfeil nach rechts 234"/>
        <xdr:cNvSpPr>
          <a:spLocks noChangeArrowheads="1"/>
        </xdr:cNvSpPr>
      </xdr:nvSpPr>
      <xdr:spPr bwMode="auto">
        <a:xfrm rot="300000">
          <a:off x="3114675" y="8696325"/>
          <a:ext cx="447675" cy="38100"/>
        </a:xfrm>
        <a:prstGeom prst="notchedRightArrow">
          <a:avLst>
            <a:gd name="adj1" fmla="val 50000"/>
            <a:gd name="adj2" fmla="val 42431"/>
          </a:avLst>
        </a:prstGeom>
        <a:solidFill>
          <a:srgbClr val="FF0000"/>
        </a:solidFill>
        <a:ln w="6350" algn="ctr">
          <a:solidFill>
            <a:srgbClr val="000000"/>
          </a:solidFill>
          <a:miter lim="800000"/>
          <a:headEnd/>
          <a:tailEnd/>
        </a:ln>
      </xdr:spPr>
    </xdr:sp>
    <xdr:clientData/>
  </xdr:twoCellAnchor>
  <xdr:twoCellAnchor>
    <xdr:from>
      <xdr:col>2</xdr:col>
      <xdr:colOff>38100</xdr:colOff>
      <xdr:row>62</xdr:row>
      <xdr:rowOff>19050</xdr:rowOff>
    </xdr:from>
    <xdr:to>
      <xdr:col>3</xdr:col>
      <xdr:colOff>361950</xdr:colOff>
      <xdr:row>62</xdr:row>
      <xdr:rowOff>57150</xdr:rowOff>
    </xdr:to>
    <xdr:sp macro="" textlink="">
      <xdr:nvSpPr>
        <xdr:cNvPr id="103010" name="Eingekerbter Pfeil nach rechts 235"/>
        <xdr:cNvSpPr>
          <a:spLocks noChangeArrowheads="1"/>
        </xdr:cNvSpPr>
      </xdr:nvSpPr>
      <xdr:spPr bwMode="auto">
        <a:xfrm rot="-900000">
          <a:off x="3095625" y="8515350"/>
          <a:ext cx="476250" cy="38100"/>
        </a:xfrm>
        <a:prstGeom prst="notchedRightArrow">
          <a:avLst>
            <a:gd name="adj1" fmla="val 50000"/>
            <a:gd name="adj2" fmla="val 43345"/>
          </a:avLst>
        </a:prstGeom>
        <a:solidFill>
          <a:srgbClr val="FF0000"/>
        </a:solidFill>
        <a:ln w="6350" algn="ctr">
          <a:solidFill>
            <a:srgbClr val="000000"/>
          </a:solidFill>
          <a:miter lim="800000"/>
          <a:headEnd/>
          <a:tailEnd/>
        </a:ln>
      </xdr:spPr>
    </xdr:sp>
    <xdr:clientData/>
  </xdr:twoCellAnchor>
  <xdr:twoCellAnchor>
    <xdr:from>
      <xdr:col>2</xdr:col>
      <xdr:colOff>38100</xdr:colOff>
      <xdr:row>63</xdr:row>
      <xdr:rowOff>133350</xdr:rowOff>
    </xdr:from>
    <xdr:to>
      <xdr:col>3</xdr:col>
      <xdr:colOff>361950</xdr:colOff>
      <xdr:row>64</xdr:row>
      <xdr:rowOff>0</xdr:rowOff>
    </xdr:to>
    <xdr:sp macro="" textlink="">
      <xdr:nvSpPr>
        <xdr:cNvPr id="103011" name="Eingekerbter Pfeil nach rechts 236"/>
        <xdr:cNvSpPr>
          <a:spLocks noChangeArrowheads="1"/>
        </xdr:cNvSpPr>
      </xdr:nvSpPr>
      <xdr:spPr bwMode="auto">
        <a:xfrm rot="960000">
          <a:off x="3095625" y="8791575"/>
          <a:ext cx="476250" cy="28575"/>
        </a:xfrm>
        <a:prstGeom prst="notchedRightArrow">
          <a:avLst>
            <a:gd name="adj1" fmla="val 50000"/>
            <a:gd name="adj2" fmla="val 54244"/>
          </a:avLst>
        </a:prstGeom>
        <a:solidFill>
          <a:srgbClr val="FF0000"/>
        </a:solidFill>
        <a:ln w="6350" algn="ctr">
          <a:solidFill>
            <a:srgbClr val="000000"/>
          </a:solidFill>
          <a:miter lim="800000"/>
          <a:headEnd/>
          <a:tailEnd/>
        </a:ln>
      </xdr:spPr>
    </xdr:sp>
    <xdr:clientData/>
  </xdr:twoCellAnchor>
  <xdr:twoCellAnchor>
    <xdr:from>
      <xdr:col>2</xdr:col>
      <xdr:colOff>47625</xdr:colOff>
      <xdr:row>56</xdr:row>
      <xdr:rowOff>95250</xdr:rowOff>
    </xdr:from>
    <xdr:to>
      <xdr:col>3</xdr:col>
      <xdr:colOff>352425</xdr:colOff>
      <xdr:row>56</xdr:row>
      <xdr:rowOff>133350</xdr:rowOff>
    </xdr:to>
    <xdr:sp macro="" textlink="">
      <xdr:nvSpPr>
        <xdr:cNvPr id="103012" name="Eingekerbter Pfeil nach rechts 237"/>
        <xdr:cNvSpPr>
          <a:spLocks noChangeArrowheads="1"/>
        </xdr:cNvSpPr>
      </xdr:nvSpPr>
      <xdr:spPr bwMode="auto">
        <a:xfrm rot="-300000">
          <a:off x="3105150" y="7829550"/>
          <a:ext cx="457200" cy="38100"/>
        </a:xfrm>
        <a:prstGeom prst="notchedRightArrow">
          <a:avLst>
            <a:gd name="adj1" fmla="val 50000"/>
            <a:gd name="adj2" fmla="val 40944"/>
          </a:avLst>
        </a:prstGeom>
        <a:solidFill>
          <a:srgbClr val="FF0000"/>
        </a:solidFill>
        <a:ln w="6350" algn="ctr">
          <a:solidFill>
            <a:srgbClr val="000000"/>
          </a:solidFill>
          <a:miter lim="800000"/>
          <a:headEnd/>
          <a:tailEnd/>
        </a:ln>
      </xdr:spPr>
    </xdr:sp>
    <xdr:clientData/>
  </xdr:twoCellAnchor>
  <xdr:twoCellAnchor>
    <xdr:from>
      <xdr:col>2</xdr:col>
      <xdr:colOff>123825</xdr:colOff>
      <xdr:row>43</xdr:row>
      <xdr:rowOff>66675</xdr:rowOff>
    </xdr:from>
    <xdr:to>
      <xdr:col>3</xdr:col>
      <xdr:colOff>342900</xdr:colOff>
      <xdr:row>43</xdr:row>
      <xdr:rowOff>104775</xdr:rowOff>
    </xdr:to>
    <xdr:sp macro="" textlink="">
      <xdr:nvSpPr>
        <xdr:cNvPr id="103013" name="Eingekerbter Pfeil nach rechts 238"/>
        <xdr:cNvSpPr>
          <a:spLocks noChangeArrowheads="1"/>
        </xdr:cNvSpPr>
      </xdr:nvSpPr>
      <xdr:spPr bwMode="auto">
        <a:xfrm>
          <a:off x="3181350" y="6076950"/>
          <a:ext cx="371475" cy="38100"/>
        </a:xfrm>
        <a:prstGeom prst="notchedRightArrow">
          <a:avLst>
            <a:gd name="adj1" fmla="val 50000"/>
            <a:gd name="adj2" fmla="val 41122"/>
          </a:avLst>
        </a:prstGeom>
        <a:solidFill>
          <a:srgbClr val="FF0000"/>
        </a:solidFill>
        <a:ln w="6350" algn="ctr">
          <a:solidFill>
            <a:srgbClr val="000000"/>
          </a:solidFill>
          <a:miter lim="800000"/>
          <a:headEnd/>
          <a:tailEnd/>
        </a:ln>
      </xdr:spPr>
    </xdr:sp>
    <xdr:clientData/>
  </xdr:twoCellAnchor>
  <xdr:twoCellAnchor>
    <xdr:from>
      <xdr:col>2</xdr:col>
      <xdr:colOff>104775</xdr:colOff>
      <xdr:row>42</xdr:row>
      <xdr:rowOff>152400</xdr:rowOff>
    </xdr:from>
    <xdr:to>
      <xdr:col>3</xdr:col>
      <xdr:colOff>361950</xdr:colOff>
      <xdr:row>43</xdr:row>
      <xdr:rowOff>28575</xdr:rowOff>
    </xdr:to>
    <xdr:sp macro="" textlink="">
      <xdr:nvSpPr>
        <xdr:cNvPr id="103014" name="Eingekerbter Pfeil nach rechts 239"/>
        <xdr:cNvSpPr>
          <a:spLocks noChangeArrowheads="1"/>
        </xdr:cNvSpPr>
      </xdr:nvSpPr>
      <xdr:spPr bwMode="auto">
        <a:xfrm rot="-780000">
          <a:off x="3162300" y="6000750"/>
          <a:ext cx="409575" cy="38100"/>
        </a:xfrm>
        <a:prstGeom prst="notchedRightArrow">
          <a:avLst>
            <a:gd name="adj1" fmla="val 50000"/>
            <a:gd name="adj2" fmla="val 41955"/>
          </a:avLst>
        </a:prstGeom>
        <a:solidFill>
          <a:srgbClr val="FF0000"/>
        </a:solidFill>
        <a:ln w="6350" algn="ctr">
          <a:solidFill>
            <a:srgbClr val="000000"/>
          </a:solidFill>
          <a:miter lim="800000"/>
          <a:headEnd/>
          <a:tailEnd/>
        </a:ln>
      </xdr:spPr>
    </xdr:sp>
    <xdr:clientData/>
  </xdr:twoCellAnchor>
  <xdr:twoCellAnchor>
    <xdr:from>
      <xdr:col>2</xdr:col>
      <xdr:colOff>114300</xdr:colOff>
      <xdr:row>43</xdr:row>
      <xdr:rowOff>152400</xdr:rowOff>
    </xdr:from>
    <xdr:to>
      <xdr:col>3</xdr:col>
      <xdr:colOff>361950</xdr:colOff>
      <xdr:row>44</xdr:row>
      <xdr:rowOff>28575</xdr:rowOff>
    </xdr:to>
    <xdr:sp macro="" textlink="">
      <xdr:nvSpPr>
        <xdr:cNvPr id="103015" name="Eingekerbter Pfeil nach rechts 240"/>
        <xdr:cNvSpPr>
          <a:spLocks noChangeArrowheads="1"/>
        </xdr:cNvSpPr>
      </xdr:nvSpPr>
      <xdr:spPr bwMode="auto">
        <a:xfrm rot="840000">
          <a:off x="3171825" y="6162675"/>
          <a:ext cx="400050" cy="38100"/>
        </a:xfrm>
        <a:prstGeom prst="notchedRightArrow">
          <a:avLst>
            <a:gd name="adj1" fmla="val 50000"/>
            <a:gd name="adj2" fmla="val 42000"/>
          </a:avLst>
        </a:prstGeom>
        <a:solidFill>
          <a:srgbClr val="FF0000"/>
        </a:solidFill>
        <a:ln w="6350" algn="ctr">
          <a:solidFill>
            <a:srgbClr val="000000"/>
          </a:solidFill>
          <a:miter lim="800000"/>
          <a:headEnd/>
          <a:tailEnd/>
        </a:ln>
      </xdr:spPr>
    </xdr:sp>
    <xdr:clientData/>
  </xdr:twoCellAnchor>
  <xdr:twoCellAnchor>
    <xdr:from>
      <xdr:col>2</xdr:col>
      <xdr:colOff>85725</xdr:colOff>
      <xdr:row>44</xdr:row>
      <xdr:rowOff>66675</xdr:rowOff>
    </xdr:from>
    <xdr:to>
      <xdr:col>3</xdr:col>
      <xdr:colOff>371475</xdr:colOff>
      <xdr:row>44</xdr:row>
      <xdr:rowOff>104775</xdr:rowOff>
    </xdr:to>
    <xdr:sp macro="" textlink="">
      <xdr:nvSpPr>
        <xdr:cNvPr id="103016" name="Eingekerbter Pfeil nach rechts 241"/>
        <xdr:cNvSpPr>
          <a:spLocks noChangeArrowheads="1"/>
        </xdr:cNvSpPr>
      </xdr:nvSpPr>
      <xdr:spPr bwMode="auto">
        <a:xfrm rot="1560000">
          <a:off x="3143250" y="6238875"/>
          <a:ext cx="438150" cy="38100"/>
        </a:xfrm>
        <a:prstGeom prst="notchedRightArrow">
          <a:avLst>
            <a:gd name="adj1" fmla="val 50000"/>
            <a:gd name="adj2" fmla="val 42113"/>
          </a:avLst>
        </a:prstGeom>
        <a:solidFill>
          <a:srgbClr val="FF0000"/>
        </a:solidFill>
        <a:ln w="6350" algn="ctr">
          <a:solidFill>
            <a:srgbClr val="000000"/>
          </a:solidFill>
          <a:miter lim="800000"/>
          <a:headEnd/>
          <a:tailEnd/>
        </a:ln>
      </xdr:spPr>
    </xdr:sp>
    <xdr:clientData/>
  </xdr:twoCellAnchor>
  <xdr:twoCellAnchor>
    <xdr:from>
      <xdr:col>2</xdr:col>
      <xdr:colOff>76200</xdr:colOff>
      <xdr:row>42</xdr:row>
      <xdr:rowOff>76200</xdr:rowOff>
    </xdr:from>
    <xdr:to>
      <xdr:col>3</xdr:col>
      <xdr:colOff>371475</xdr:colOff>
      <xdr:row>42</xdr:row>
      <xdr:rowOff>114300</xdr:rowOff>
    </xdr:to>
    <xdr:sp macro="" textlink="">
      <xdr:nvSpPr>
        <xdr:cNvPr id="103017" name="Eingekerbter Pfeil nach rechts 242"/>
        <xdr:cNvSpPr>
          <a:spLocks noChangeArrowheads="1"/>
        </xdr:cNvSpPr>
      </xdr:nvSpPr>
      <xdr:spPr bwMode="auto">
        <a:xfrm rot="-1560000">
          <a:off x="3133725" y="5924550"/>
          <a:ext cx="447675" cy="38100"/>
        </a:xfrm>
        <a:prstGeom prst="notchedRightArrow">
          <a:avLst>
            <a:gd name="adj1" fmla="val 50000"/>
            <a:gd name="adj2" fmla="val 42703"/>
          </a:avLst>
        </a:prstGeom>
        <a:solidFill>
          <a:srgbClr val="FF0000"/>
        </a:solidFill>
        <a:ln w="6350" algn="ctr">
          <a:solidFill>
            <a:srgbClr val="000000"/>
          </a:solidFill>
          <a:miter lim="800000"/>
          <a:headEnd/>
          <a:tailEnd/>
        </a:ln>
      </xdr:spPr>
    </xdr:sp>
    <xdr:clientData/>
  </xdr:twoCellAnchor>
  <xdr:twoCellAnchor>
    <xdr:from>
      <xdr:col>3</xdr:col>
      <xdr:colOff>295275</xdr:colOff>
      <xdr:row>31</xdr:row>
      <xdr:rowOff>47625</xdr:rowOff>
    </xdr:from>
    <xdr:to>
      <xdr:col>4</xdr:col>
      <xdr:colOff>2943225</xdr:colOff>
      <xdr:row>31</xdr:row>
      <xdr:rowOff>47625</xdr:rowOff>
    </xdr:to>
    <xdr:cxnSp macro="">
      <xdr:nvCxnSpPr>
        <xdr:cNvPr id="103018" name="Gerade Verbindung mit Pfeil 243"/>
        <xdr:cNvCxnSpPr>
          <a:cxnSpLocks noChangeShapeType="1"/>
        </xdr:cNvCxnSpPr>
      </xdr:nvCxnSpPr>
      <xdr:spPr bwMode="auto">
        <a:xfrm flipV="1">
          <a:off x="3505200" y="4257675"/>
          <a:ext cx="3105150"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4</xdr:col>
      <xdr:colOff>2676525</xdr:colOff>
      <xdr:row>36</xdr:row>
      <xdr:rowOff>9525</xdr:rowOff>
    </xdr:from>
    <xdr:to>
      <xdr:col>4</xdr:col>
      <xdr:colOff>2762250</xdr:colOff>
      <xdr:row>39</xdr:row>
      <xdr:rowOff>152400</xdr:rowOff>
    </xdr:to>
    <xdr:sp macro="" textlink="">
      <xdr:nvSpPr>
        <xdr:cNvPr id="103019" name="Geschweifte Klammer rechts 244"/>
        <xdr:cNvSpPr>
          <a:spLocks/>
        </xdr:cNvSpPr>
      </xdr:nvSpPr>
      <xdr:spPr bwMode="auto">
        <a:xfrm>
          <a:off x="6343650" y="4991100"/>
          <a:ext cx="85725" cy="628650"/>
        </a:xfrm>
        <a:prstGeom prst="rightBrace">
          <a:avLst>
            <a:gd name="adj1" fmla="val 7944"/>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31</xdr:row>
      <xdr:rowOff>38100</xdr:rowOff>
    </xdr:from>
    <xdr:to>
      <xdr:col>4</xdr:col>
      <xdr:colOff>2933700</xdr:colOff>
      <xdr:row>37</xdr:row>
      <xdr:rowOff>142875</xdr:rowOff>
    </xdr:to>
    <xdr:cxnSp macro="">
      <xdr:nvCxnSpPr>
        <xdr:cNvPr id="103020" name="Gerade Verbindung 245"/>
        <xdr:cNvCxnSpPr>
          <a:cxnSpLocks noChangeShapeType="1"/>
        </xdr:cNvCxnSpPr>
      </xdr:nvCxnSpPr>
      <xdr:spPr bwMode="auto">
        <a:xfrm>
          <a:off x="6600825" y="4248150"/>
          <a:ext cx="0" cy="1038225"/>
        </a:xfrm>
        <a:prstGeom prst="line">
          <a:avLst/>
        </a:prstGeom>
        <a:noFill/>
        <a:ln w="19050" algn="ctr">
          <a:solidFill>
            <a:srgbClr val="FF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xdr:colOff>
      <xdr:row>42</xdr:row>
      <xdr:rowOff>9525</xdr:rowOff>
    </xdr:from>
    <xdr:to>
      <xdr:col>2</xdr:col>
      <xdr:colOff>85725</xdr:colOff>
      <xdr:row>44</xdr:row>
      <xdr:rowOff>152400</xdr:rowOff>
    </xdr:to>
    <xdr:sp macro="" textlink="">
      <xdr:nvSpPr>
        <xdr:cNvPr id="103021" name="Geschweifte Klammer rechts 246"/>
        <xdr:cNvSpPr>
          <a:spLocks/>
        </xdr:cNvSpPr>
      </xdr:nvSpPr>
      <xdr:spPr bwMode="auto">
        <a:xfrm>
          <a:off x="3067050" y="5857875"/>
          <a:ext cx="76200" cy="466725"/>
        </a:xfrm>
        <a:prstGeom prst="rightBrace">
          <a:avLst>
            <a:gd name="adj1" fmla="val 7883"/>
            <a:gd name="adj2" fmla="val 50000"/>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47</xdr:row>
      <xdr:rowOff>95250</xdr:rowOff>
    </xdr:from>
    <xdr:to>
      <xdr:col>3</xdr:col>
      <xdr:colOff>352425</xdr:colOff>
      <xdr:row>47</xdr:row>
      <xdr:rowOff>133350</xdr:rowOff>
    </xdr:to>
    <xdr:sp macro="" textlink="">
      <xdr:nvSpPr>
        <xdr:cNvPr id="103022" name="Eingekerbter Pfeil nach rechts 247"/>
        <xdr:cNvSpPr>
          <a:spLocks noChangeArrowheads="1"/>
        </xdr:cNvSpPr>
      </xdr:nvSpPr>
      <xdr:spPr bwMode="auto">
        <a:xfrm rot="-300000">
          <a:off x="3105150" y="6686550"/>
          <a:ext cx="457200" cy="38100"/>
        </a:xfrm>
        <a:prstGeom prst="notchedRightArrow">
          <a:avLst>
            <a:gd name="adj1" fmla="val 50000"/>
            <a:gd name="adj2" fmla="val 42833"/>
          </a:avLst>
        </a:prstGeom>
        <a:solidFill>
          <a:srgbClr val="FF0000"/>
        </a:solidFill>
        <a:ln w="6350" algn="ctr">
          <a:solidFill>
            <a:srgbClr val="000000"/>
          </a:solidFill>
          <a:miter lim="800000"/>
          <a:headEnd/>
          <a:tailEnd/>
        </a:ln>
      </xdr:spPr>
    </xdr:sp>
    <xdr:clientData/>
  </xdr:twoCellAnchor>
  <xdr:twoCellAnchor>
    <xdr:from>
      <xdr:col>2</xdr:col>
      <xdr:colOff>47625</xdr:colOff>
      <xdr:row>48</xdr:row>
      <xdr:rowOff>38100</xdr:rowOff>
    </xdr:from>
    <xdr:to>
      <xdr:col>3</xdr:col>
      <xdr:colOff>352425</xdr:colOff>
      <xdr:row>48</xdr:row>
      <xdr:rowOff>76200</xdr:rowOff>
    </xdr:to>
    <xdr:sp macro="" textlink="">
      <xdr:nvSpPr>
        <xdr:cNvPr id="103023" name="Eingekerbter Pfeil nach rechts 248"/>
        <xdr:cNvSpPr>
          <a:spLocks noChangeArrowheads="1"/>
        </xdr:cNvSpPr>
      </xdr:nvSpPr>
      <xdr:spPr bwMode="auto">
        <a:xfrm rot="300000">
          <a:off x="3105150" y="6791325"/>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51</xdr:row>
      <xdr:rowOff>28575</xdr:rowOff>
    </xdr:from>
    <xdr:to>
      <xdr:col>3</xdr:col>
      <xdr:colOff>352425</xdr:colOff>
      <xdr:row>51</xdr:row>
      <xdr:rowOff>66675</xdr:rowOff>
    </xdr:to>
    <xdr:sp macro="" textlink="">
      <xdr:nvSpPr>
        <xdr:cNvPr id="103024" name="Eingekerbter Pfeil nach rechts 249"/>
        <xdr:cNvSpPr>
          <a:spLocks noChangeArrowheads="1"/>
        </xdr:cNvSpPr>
      </xdr:nvSpPr>
      <xdr:spPr bwMode="auto">
        <a:xfrm rot="300000">
          <a:off x="3105150" y="7162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54</xdr:row>
      <xdr:rowOff>28575</xdr:rowOff>
    </xdr:from>
    <xdr:to>
      <xdr:col>3</xdr:col>
      <xdr:colOff>352425</xdr:colOff>
      <xdr:row>54</xdr:row>
      <xdr:rowOff>66675</xdr:rowOff>
    </xdr:to>
    <xdr:sp macro="" textlink="">
      <xdr:nvSpPr>
        <xdr:cNvPr id="103025" name="Eingekerbter Pfeil nach rechts 250"/>
        <xdr:cNvSpPr>
          <a:spLocks noChangeArrowheads="1"/>
        </xdr:cNvSpPr>
      </xdr:nvSpPr>
      <xdr:spPr bwMode="auto">
        <a:xfrm rot="300000">
          <a:off x="3105150" y="754380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50</xdr:row>
      <xdr:rowOff>95250</xdr:rowOff>
    </xdr:from>
    <xdr:to>
      <xdr:col>3</xdr:col>
      <xdr:colOff>352425</xdr:colOff>
      <xdr:row>50</xdr:row>
      <xdr:rowOff>133350</xdr:rowOff>
    </xdr:to>
    <xdr:sp macro="" textlink="">
      <xdr:nvSpPr>
        <xdr:cNvPr id="103026" name="Eingekerbter Pfeil nach rechts 251"/>
        <xdr:cNvSpPr>
          <a:spLocks noChangeArrowheads="1"/>
        </xdr:cNvSpPr>
      </xdr:nvSpPr>
      <xdr:spPr bwMode="auto">
        <a:xfrm rot="-300000">
          <a:off x="3105150" y="7067550"/>
          <a:ext cx="457200" cy="38100"/>
        </a:xfrm>
        <a:prstGeom prst="notchedRightArrow">
          <a:avLst>
            <a:gd name="adj1" fmla="val 50000"/>
            <a:gd name="adj2" fmla="val 43000"/>
          </a:avLst>
        </a:prstGeom>
        <a:solidFill>
          <a:srgbClr val="FF0000"/>
        </a:solidFill>
        <a:ln w="6350" algn="ctr">
          <a:solidFill>
            <a:srgbClr val="000000"/>
          </a:solidFill>
          <a:miter lim="800000"/>
          <a:headEnd/>
          <a:tailEnd/>
        </a:ln>
      </xdr:spPr>
    </xdr:sp>
    <xdr:clientData/>
  </xdr:twoCellAnchor>
  <xdr:twoCellAnchor>
    <xdr:from>
      <xdr:col>2</xdr:col>
      <xdr:colOff>47625</xdr:colOff>
      <xdr:row>53</xdr:row>
      <xdr:rowOff>104775</xdr:rowOff>
    </xdr:from>
    <xdr:to>
      <xdr:col>3</xdr:col>
      <xdr:colOff>352425</xdr:colOff>
      <xdr:row>53</xdr:row>
      <xdr:rowOff>133350</xdr:rowOff>
    </xdr:to>
    <xdr:sp macro="" textlink="">
      <xdr:nvSpPr>
        <xdr:cNvPr id="103027" name="Eingekerbter Pfeil nach rechts 252"/>
        <xdr:cNvSpPr>
          <a:spLocks noChangeArrowheads="1"/>
        </xdr:cNvSpPr>
      </xdr:nvSpPr>
      <xdr:spPr bwMode="auto">
        <a:xfrm rot="-300000">
          <a:off x="3105150" y="7458075"/>
          <a:ext cx="457200" cy="28575"/>
        </a:xfrm>
        <a:prstGeom prst="notchedRightArrow">
          <a:avLst>
            <a:gd name="adj1" fmla="val 50000"/>
            <a:gd name="adj2" fmla="val 57333"/>
          </a:avLst>
        </a:prstGeom>
        <a:solidFill>
          <a:srgbClr val="FF0000"/>
        </a:solidFill>
        <a:ln w="6350" algn="ctr">
          <a:solidFill>
            <a:srgbClr val="000000"/>
          </a:solidFill>
          <a:miter lim="800000"/>
          <a:headEnd/>
          <a:tailEnd/>
        </a:ln>
      </xdr:spPr>
    </xdr:sp>
    <xdr:clientData/>
  </xdr:twoCellAnchor>
  <xdr:twoCellAnchor>
    <xdr:from>
      <xdr:col>3</xdr:col>
      <xdr:colOff>276225</xdr:colOff>
      <xdr:row>30</xdr:row>
      <xdr:rowOff>19050</xdr:rowOff>
    </xdr:from>
    <xdr:to>
      <xdr:col>4</xdr:col>
      <xdr:colOff>9525</xdr:colOff>
      <xdr:row>30</xdr:row>
      <xdr:rowOff>47625</xdr:rowOff>
    </xdr:to>
    <xdr:sp macro="" textlink="">
      <xdr:nvSpPr>
        <xdr:cNvPr id="103028" name="Eingekerbter Pfeil nach rechts 253"/>
        <xdr:cNvSpPr>
          <a:spLocks noChangeArrowheads="1"/>
        </xdr:cNvSpPr>
      </xdr:nvSpPr>
      <xdr:spPr bwMode="auto">
        <a:xfrm rot="1680000">
          <a:off x="3486150" y="40671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3</xdr:col>
      <xdr:colOff>276225</xdr:colOff>
      <xdr:row>29</xdr:row>
      <xdr:rowOff>104775</xdr:rowOff>
    </xdr:from>
    <xdr:to>
      <xdr:col>4</xdr:col>
      <xdr:colOff>9525</xdr:colOff>
      <xdr:row>29</xdr:row>
      <xdr:rowOff>133350</xdr:rowOff>
    </xdr:to>
    <xdr:sp macro="" textlink="">
      <xdr:nvSpPr>
        <xdr:cNvPr id="103029" name="Eingekerbter Pfeil nach rechts 254"/>
        <xdr:cNvSpPr>
          <a:spLocks noChangeArrowheads="1"/>
        </xdr:cNvSpPr>
      </xdr:nvSpPr>
      <xdr:spPr bwMode="auto">
        <a:xfrm rot="-1680000">
          <a:off x="3486150" y="3990975"/>
          <a:ext cx="190500" cy="28575"/>
        </a:xfrm>
        <a:prstGeom prst="notchedRightArrow">
          <a:avLst>
            <a:gd name="adj1" fmla="val 50000"/>
            <a:gd name="adj2" fmla="val 96512"/>
          </a:avLst>
        </a:prstGeom>
        <a:solidFill>
          <a:srgbClr val="FF0000"/>
        </a:solidFill>
        <a:ln w="6350" algn="ctr">
          <a:solidFill>
            <a:srgbClr val="000000"/>
          </a:solidFill>
          <a:miter lim="800000"/>
          <a:headEnd/>
          <a:tailEnd/>
        </a:ln>
      </xdr:spPr>
    </xdr:sp>
    <xdr:clientData/>
  </xdr:twoCellAnchor>
  <xdr:twoCellAnchor>
    <xdr:from>
      <xdr:col>4</xdr:col>
      <xdr:colOff>2781300</xdr:colOff>
      <xdr:row>37</xdr:row>
      <xdr:rowOff>161925</xdr:rowOff>
    </xdr:from>
    <xdr:to>
      <xdr:col>4</xdr:col>
      <xdr:colOff>2943225</xdr:colOff>
      <xdr:row>37</xdr:row>
      <xdr:rowOff>161925</xdr:rowOff>
    </xdr:to>
    <xdr:cxnSp macro="">
      <xdr:nvCxnSpPr>
        <xdr:cNvPr id="103030" name="Gerade Verbindung mit Pfeil 255"/>
        <xdr:cNvCxnSpPr>
          <a:cxnSpLocks noChangeShapeType="1"/>
        </xdr:cNvCxnSpPr>
      </xdr:nvCxnSpPr>
      <xdr:spPr bwMode="auto">
        <a:xfrm flipV="1">
          <a:off x="6448425" y="5305425"/>
          <a:ext cx="161925" cy="0"/>
        </a:xfrm>
        <a:prstGeom prst="straightConnector1">
          <a:avLst/>
        </a:prstGeom>
        <a:noFill/>
        <a:ln w="19050" algn="ctr">
          <a:solidFill>
            <a:srgbClr val="FF0000"/>
          </a:solidFill>
          <a:prstDash val="sysDash"/>
          <a:round/>
          <a:headEnd type="triangle" w="med" len="med"/>
          <a:tailEnd/>
        </a:ln>
        <a:extLst>
          <a:ext uri="{909E8E84-426E-40DD-AFC4-6F175D3DCCD1}">
            <a14:hiddenFill xmlns:a14="http://schemas.microsoft.com/office/drawing/2010/main">
              <a:noFill/>
            </a14:hiddenFill>
          </a:ext>
        </a:extLst>
      </xdr:spPr>
    </xdr:cxnSp>
    <xdr:clientData/>
  </xdr:twoCellAnchor>
  <xdr:twoCellAnchor>
    <xdr:from>
      <xdr:col>2</xdr:col>
      <xdr:colOff>95250</xdr:colOff>
      <xdr:row>76</xdr:row>
      <xdr:rowOff>57150</xdr:rowOff>
    </xdr:from>
    <xdr:to>
      <xdr:col>3</xdr:col>
      <xdr:colOff>295275</xdr:colOff>
      <xdr:row>76</xdr:row>
      <xdr:rowOff>95250</xdr:rowOff>
    </xdr:to>
    <xdr:sp macro="" textlink="">
      <xdr:nvSpPr>
        <xdr:cNvPr id="103031" name="Eingekerbter Pfeil nach rechts 256"/>
        <xdr:cNvSpPr>
          <a:spLocks noChangeArrowheads="1"/>
        </xdr:cNvSpPr>
      </xdr:nvSpPr>
      <xdr:spPr bwMode="auto">
        <a:xfrm>
          <a:off x="3152775" y="10296525"/>
          <a:ext cx="352425" cy="38100"/>
        </a:xfrm>
        <a:prstGeom prst="notchedRightArrow">
          <a:avLst>
            <a:gd name="adj1" fmla="val 50000"/>
            <a:gd name="adj2" fmla="val 42225"/>
          </a:avLst>
        </a:prstGeom>
        <a:solidFill>
          <a:srgbClr val="FF0000"/>
        </a:solidFill>
        <a:ln w="6350" algn="ctr">
          <a:solidFill>
            <a:srgbClr val="000000"/>
          </a:solidFill>
          <a:miter lim="800000"/>
          <a:headEnd/>
          <a:tailEn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omments" Target="../comments2.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3.xml"/><Relationship Id="rId7" Type="http://schemas.openxmlformats.org/officeDocument/2006/relationships/ctrlProp" Target="../ctrlProps/ctrlProp78.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3" Type="http://schemas.openxmlformats.org/officeDocument/2006/relationships/drawing" Target="../drawings/drawing4.xml"/><Relationship Id="rId7" Type="http://schemas.openxmlformats.org/officeDocument/2006/relationships/ctrlProp" Target="../ctrlProps/ctrlProp81.xml"/><Relationship Id="rId12" Type="http://schemas.openxmlformats.org/officeDocument/2006/relationships/ctrlProp" Target="../ctrlProps/ctrlProp86.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0" Type="http://schemas.openxmlformats.org/officeDocument/2006/relationships/ctrlProp" Target="../ctrlProps/ctrlProp84.xml"/><Relationship Id="rId4" Type="http://schemas.openxmlformats.org/officeDocument/2006/relationships/vmlDrawing" Target="../drawings/vmlDrawing4.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CH153"/>
  <sheetViews>
    <sheetView tabSelected="1" zoomScaleNormal="100" zoomScaleSheetLayoutView="85" workbookViewId="0">
      <selection activeCell="B5" sqref="B5"/>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0.85546875" style="15" customWidth="1"/>
    <col min="12" max="12" width="4.85546875" style="847" hidden="1" customWidth="1"/>
    <col min="13" max="13" width="12.42578125" style="1201" hidden="1" customWidth="1"/>
    <col min="14" max="14" width="8.85546875" style="1201" hidden="1" customWidth="1"/>
    <col min="15" max="15" width="2.7109375" style="1201" hidden="1" customWidth="1"/>
    <col min="16" max="17" width="10" style="1201" hidden="1" customWidth="1"/>
    <col min="18" max="18" width="6.28515625" style="1201" hidden="1" customWidth="1"/>
    <col min="19" max="19" width="8.85546875" style="1201" hidden="1" customWidth="1"/>
    <col min="20" max="20" width="5.28515625" style="1201" hidden="1" customWidth="1"/>
    <col min="21" max="21" width="6.42578125" style="1201" hidden="1" customWidth="1"/>
    <col min="22" max="23" width="12.28515625" style="1201" hidden="1" customWidth="1"/>
    <col min="24" max="26" width="8.7109375" style="1201" hidden="1" customWidth="1"/>
    <col min="27" max="27" width="11.140625" style="1201" hidden="1" customWidth="1"/>
    <col min="28" max="30" width="6.28515625" style="1201" hidden="1" customWidth="1"/>
    <col min="31" max="31" width="7" style="1201" hidden="1" customWidth="1"/>
    <col min="32" max="33" width="5.28515625" style="1201" hidden="1" customWidth="1"/>
    <col min="34" max="34" width="5.85546875" style="1201" hidden="1" customWidth="1"/>
    <col min="35" max="35" width="11.140625" style="1201" hidden="1" customWidth="1"/>
    <col min="36" max="36" width="10.28515625" style="1201" hidden="1" customWidth="1"/>
    <col min="37" max="38" width="5.28515625" style="1201" hidden="1" customWidth="1"/>
    <col min="39" max="39" width="12.85546875" style="1201" hidden="1" customWidth="1"/>
    <col min="40" max="40" width="13.42578125" style="1201" hidden="1" customWidth="1"/>
    <col min="41" max="41" width="6.28515625" style="1201" hidden="1" customWidth="1"/>
    <col min="42" max="42" width="9.85546875" style="1201" hidden="1" customWidth="1"/>
    <col min="43" max="45" width="5.7109375" style="1201" hidden="1" customWidth="1"/>
    <col min="46" max="46" width="7" style="1201" hidden="1" customWidth="1"/>
    <col min="47" max="55" width="5.7109375" style="1201" hidden="1" customWidth="1"/>
    <col min="56" max="56" width="11" style="1201" hidden="1" customWidth="1"/>
    <col min="57" max="63" width="11.85546875" style="1201" hidden="1" customWidth="1"/>
    <col min="64" max="67" width="11.85546875" style="1202" hidden="1" customWidth="1"/>
    <col min="68" max="68" width="11.85546875" style="1201" hidden="1" customWidth="1"/>
    <col min="69" max="69" width="12.42578125" style="1201" hidden="1" customWidth="1"/>
    <col min="70" max="73" width="11.85546875" style="1201" hidden="1" customWidth="1"/>
    <col min="74" max="83" width="11.85546875" style="847" hidden="1" customWidth="1"/>
    <col min="84" max="86" width="11.42578125" style="847" hidden="1" customWidth="1"/>
    <col min="87" max="119" width="11.42578125" style="847" customWidth="1"/>
    <col min="120" max="16384" width="11.42578125" style="847"/>
  </cols>
  <sheetData>
    <row r="1" spans="1:50" ht="20.25" customHeight="1" x14ac:dyDescent="0.2">
      <c r="A1" s="1393" t="s">
        <v>54</v>
      </c>
      <c r="B1" s="1393"/>
      <c r="C1" s="1393"/>
      <c r="D1" s="1393"/>
      <c r="E1" s="1393"/>
      <c r="F1" s="1393"/>
      <c r="G1" s="1393"/>
      <c r="H1" s="1393"/>
      <c r="I1" s="14"/>
      <c r="J1" s="13"/>
    </row>
    <row r="2" spans="1:50" ht="15.75" customHeight="1" x14ac:dyDescent="0.2">
      <c r="A2" s="13"/>
      <c r="B2" s="16"/>
      <c r="C2" s="1200" t="s">
        <v>582</v>
      </c>
      <c r="D2" s="16"/>
      <c r="E2" s="16"/>
      <c r="F2" s="16"/>
      <c r="G2" s="16"/>
      <c r="H2" s="16"/>
      <c r="I2" s="17"/>
      <c r="J2" s="13"/>
    </row>
    <row r="3" spans="1:50" ht="15" customHeight="1" x14ac:dyDescent="0.2">
      <c r="A3" s="1368" t="s">
        <v>581</v>
      </c>
      <c r="B3" s="1368"/>
      <c r="C3" s="1368"/>
      <c r="D3" s="1368"/>
      <c r="E3" s="1368"/>
      <c r="F3" s="1368"/>
      <c r="G3" s="1368"/>
      <c r="H3" s="1016"/>
      <c r="I3" s="1016"/>
      <c r="J3" s="13"/>
    </row>
    <row r="4" spans="1:50" x14ac:dyDescent="0.2">
      <c r="A4" s="13"/>
      <c r="B4" s="13"/>
      <c r="C4" s="13"/>
      <c r="D4" s="13"/>
      <c r="E4" s="13"/>
      <c r="F4" s="13"/>
      <c r="G4" s="13"/>
      <c r="H4" s="13"/>
      <c r="I4" s="18"/>
      <c r="J4" s="13"/>
    </row>
    <row r="5" spans="1:50" ht="21" customHeight="1" x14ac:dyDescent="0.2">
      <c r="A5" s="19" t="s">
        <v>18</v>
      </c>
      <c r="B5" s="51"/>
      <c r="C5" s="20" t="s">
        <v>23</v>
      </c>
      <c r="D5" s="531">
        <v>2019</v>
      </c>
      <c r="E5" s="21"/>
      <c r="F5" s="22"/>
      <c r="G5" s="23" t="s">
        <v>589</v>
      </c>
      <c r="H5" s="13"/>
      <c r="I5" s="13"/>
    </row>
    <row r="6" spans="1:50" ht="21" customHeight="1" x14ac:dyDescent="0.2">
      <c r="A6" s="19" t="s">
        <v>19</v>
      </c>
      <c r="B6" s="1408"/>
      <c r="C6" s="1409"/>
      <c r="D6" s="1409"/>
      <c r="E6" s="672"/>
      <c r="F6" s="22"/>
      <c r="G6" s="23" t="s">
        <v>30</v>
      </c>
      <c r="H6" s="13"/>
      <c r="I6" s="13"/>
    </row>
    <row r="7" spans="1:50" ht="21" customHeight="1" x14ac:dyDescent="0.2">
      <c r="A7" s="19" t="s">
        <v>20</v>
      </c>
      <c r="B7" s="1394"/>
      <c r="C7" s="1395"/>
      <c r="D7" s="1395"/>
      <c r="E7" s="672"/>
      <c r="F7" s="13"/>
      <c r="G7" s="22"/>
      <c r="H7" s="23" t="s">
        <v>32</v>
      </c>
      <c r="I7" s="13"/>
    </row>
    <row r="8" spans="1:50" ht="21" customHeight="1" x14ac:dyDescent="0.2">
      <c r="A8" s="19" t="s">
        <v>21</v>
      </c>
      <c r="B8" s="1394"/>
      <c r="C8" s="1395"/>
      <c r="D8" s="1395"/>
      <c r="E8" s="672"/>
      <c r="F8" s="22"/>
      <c r="G8" s="23" t="s">
        <v>31</v>
      </c>
      <c r="H8" s="13"/>
      <c r="I8" s="13"/>
    </row>
    <row r="9" spans="1:50" ht="21" customHeight="1" x14ac:dyDescent="0.2">
      <c r="A9" s="19" t="s">
        <v>22</v>
      </c>
      <c r="B9" s="1394"/>
      <c r="C9" s="1395"/>
      <c r="D9" s="1395"/>
      <c r="E9" s="672"/>
      <c r="F9" s="13"/>
      <c r="G9" s="22"/>
      <c r="H9" s="23" t="s">
        <v>33</v>
      </c>
      <c r="I9" s="13"/>
    </row>
    <row r="10" spans="1:50" ht="9" customHeight="1" x14ac:dyDescent="0.2">
      <c r="A10" s="1071"/>
      <c r="B10" s="1175"/>
      <c r="C10" s="1176"/>
      <c r="D10" s="1176"/>
      <c r="E10" s="1176"/>
      <c r="F10" s="1178" t="str">
        <f>IF(F6+F8&lt;&gt;F5,"Flächenangaben nicht plausibel",IF(G7&gt;F6,"Flächenangaben nicht plausibel",IF(G9&gt;F8,"Flächenangaben nicht plausibel"," ")))</f>
        <v xml:space="preserve"> </v>
      </c>
      <c r="G10" s="29"/>
      <c r="H10" s="23"/>
      <c r="I10" s="13"/>
      <c r="J10" s="13"/>
      <c r="R10" s="1201" t="s">
        <v>288</v>
      </c>
    </row>
    <row r="11" spans="1:50" ht="10.5" customHeight="1" x14ac:dyDescent="0.2">
      <c r="A11" s="1071"/>
      <c r="B11" s="1177" t="str">
        <f>IF(AP41=2,IF(F5&lt;0.001,"Flächenangaben nicht plausibel"," ")," ")</f>
        <v xml:space="preserve"> </v>
      </c>
      <c r="C11" s="1176"/>
      <c r="D11" s="1176"/>
      <c r="E11" s="1176"/>
      <c r="F11" s="1396"/>
      <c r="G11" s="1410" t="s">
        <v>571</v>
      </c>
      <c r="H11" s="1410"/>
      <c r="I11" s="1410"/>
      <c r="J11" s="1410"/>
    </row>
    <row r="12" spans="1:50" ht="10.5" customHeight="1" thickBot="1" x14ac:dyDescent="0.25">
      <c r="A12" s="1071"/>
      <c r="B12" s="1177" t="str">
        <f>IF(AP41=2,IF(B13&lt;3000,"Milchleistung nicht plausibel"," ")," ")</f>
        <v xml:space="preserve"> </v>
      </c>
      <c r="C12" s="1176"/>
      <c r="D12" s="1176"/>
      <c r="E12" s="1176"/>
      <c r="F12" s="1397"/>
      <c r="G12" s="1410"/>
      <c r="H12" s="1410"/>
      <c r="I12" s="1410"/>
      <c r="J12" s="1410"/>
    </row>
    <row r="13" spans="1:50" ht="21" customHeight="1" thickBot="1" x14ac:dyDescent="0.25">
      <c r="A13" s="19" t="s">
        <v>24</v>
      </c>
      <c r="B13" s="25"/>
      <c r="C13" s="13" t="s">
        <v>25</v>
      </c>
      <c r="D13" s="13"/>
      <c r="E13" s="1071"/>
      <c r="F13" s="34"/>
      <c r="G13" s="1400" t="s">
        <v>566</v>
      </c>
      <c r="H13" s="1400"/>
      <c r="I13" s="1400"/>
      <c r="J13" s="1400"/>
      <c r="N13" s="1203" t="s">
        <v>454</v>
      </c>
      <c r="T13" s="1204">
        <f>IF(W13=1,0,100)</f>
        <v>0</v>
      </c>
      <c r="W13" s="1201">
        <v>1</v>
      </c>
      <c r="X13" s="1205" t="s">
        <v>508</v>
      </c>
      <c r="AU13" s="1206">
        <f>IF(F5=0,0,+(F8-G9)/(F5-G7-G9))</f>
        <v>0</v>
      </c>
      <c r="AV13" s="1206"/>
      <c r="AW13" s="1206"/>
      <c r="AX13" s="1201" t="s">
        <v>38</v>
      </c>
    </row>
    <row r="14" spans="1:50" ht="21" customHeight="1" x14ac:dyDescent="0.2">
      <c r="A14" s="19" t="s">
        <v>35</v>
      </c>
      <c r="B14" s="778"/>
      <c r="C14" s="19" t="s">
        <v>36</v>
      </c>
      <c r="D14" s="13"/>
      <c r="E14" s="13"/>
      <c r="F14" s="13"/>
      <c r="G14" s="13"/>
      <c r="H14" s="13"/>
      <c r="I14" s="13"/>
      <c r="J14" s="13"/>
      <c r="X14" s="1205" t="s">
        <v>507</v>
      </c>
    </row>
    <row r="15" spans="1:50" ht="4.5" customHeight="1" x14ac:dyDescent="0.2">
      <c r="A15" s="55"/>
      <c r="B15" s="867"/>
      <c r="E15" s="13"/>
      <c r="F15" s="13"/>
      <c r="G15" s="13"/>
      <c r="H15" s="13"/>
      <c r="I15" s="13"/>
      <c r="J15" s="13"/>
    </row>
    <row r="16" spans="1:50" ht="15" customHeight="1" thickBot="1" x14ac:dyDescent="0.25">
      <c r="A16" s="19"/>
      <c r="B16" s="1188" t="str">
        <f>IF((G42+G43+G44)&gt;1,IF(B14&lt;10,"Bitte Niederschlag eingeben"," ")," ")</f>
        <v xml:space="preserve"> </v>
      </c>
      <c r="C16" s="19"/>
      <c r="D16" s="13"/>
      <c r="E16" s="13"/>
      <c r="F16" s="13"/>
      <c r="G16" s="24"/>
      <c r="H16" s="13"/>
      <c r="I16" s="13"/>
      <c r="J16" s="13"/>
      <c r="AB16" s="1207"/>
      <c r="AC16" s="1207"/>
      <c r="AD16" s="1207"/>
      <c r="AE16" s="1207"/>
    </row>
    <row r="17" spans="1:83" s="848" customFormat="1" ht="15.75" thickBot="1" x14ac:dyDescent="0.25">
      <c r="A17" s="940" t="s">
        <v>488</v>
      </c>
      <c r="B17" s="941"/>
      <c r="C17" s="941"/>
      <c r="D17" s="941"/>
      <c r="E17" s="941"/>
      <c r="F17" s="941"/>
      <c r="G17" s="941"/>
      <c r="H17" s="941"/>
      <c r="I17" s="941"/>
      <c r="J17" s="942"/>
      <c r="K17" s="27"/>
      <c r="M17" s="1208"/>
      <c r="N17" s="1208"/>
      <c r="O17" s="1208"/>
      <c r="P17" s="1208"/>
      <c r="Q17" s="1208"/>
      <c r="R17" s="1208"/>
      <c r="S17" s="1208"/>
      <c r="T17" s="1208"/>
      <c r="U17" s="1208"/>
      <c r="V17" s="1208"/>
      <c r="W17" s="1208"/>
      <c r="X17" s="1208"/>
      <c r="Y17" s="1208"/>
      <c r="Z17" s="1208"/>
      <c r="AA17" s="1208"/>
      <c r="AB17" s="1208"/>
      <c r="AC17" s="1208"/>
      <c r="AD17" s="1208"/>
      <c r="AE17" s="1208"/>
      <c r="AF17" s="1208"/>
      <c r="AG17" s="1208"/>
      <c r="AH17" s="1208"/>
      <c r="AI17" s="1208"/>
      <c r="AJ17" s="1208"/>
      <c r="AK17" s="1208"/>
      <c r="AL17" s="1208"/>
      <c r="AM17" s="1208"/>
      <c r="AN17" s="1208"/>
      <c r="AO17" s="1208"/>
      <c r="AP17" s="1208"/>
      <c r="AQ17" s="1208"/>
      <c r="AR17" s="1208"/>
      <c r="AS17" s="1208"/>
      <c r="AT17" s="1208"/>
      <c r="AU17" s="1208"/>
      <c r="AV17" s="1208"/>
      <c r="AW17" s="1208"/>
      <c r="AX17" s="1208"/>
      <c r="AY17" s="1208"/>
      <c r="AZ17" s="1208"/>
      <c r="BA17" s="1208"/>
      <c r="BB17" s="1208"/>
      <c r="BC17" s="1208"/>
      <c r="BD17" s="1208"/>
      <c r="BE17" s="1208"/>
      <c r="BF17" s="1208"/>
      <c r="BG17" s="1208"/>
      <c r="BH17" s="1208"/>
      <c r="BI17" s="1208"/>
      <c r="BJ17" s="1208"/>
      <c r="BK17" s="1208"/>
      <c r="BL17" s="1209"/>
      <c r="BM17" s="1209"/>
      <c r="BN17" s="1209"/>
      <c r="BO17" s="1209"/>
      <c r="BP17" s="1208"/>
      <c r="BQ17" s="1208"/>
      <c r="BR17" s="1208"/>
      <c r="BS17" s="1208"/>
      <c r="BT17" s="1208"/>
      <c r="BU17" s="1208"/>
    </row>
    <row r="18" spans="1:83" s="848" customFormat="1" ht="0.75" customHeight="1" x14ac:dyDescent="0.2">
      <c r="A18" s="1"/>
      <c r="B18" s="26"/>
      <c r="C18" s="26"/>
      <c r="D18" s="26"/>
      <c r="E18" s="26"/>
      <c r="F18" s="26"/>
      <c r="G18" s="26"/>
      <c r="H18" s="26"/>
      <c r="I18" s="26"/>
      <c r="J18" s="26"/>
      <c r="K18" s="27"/>
      <c r="M18" s="1208"/>
      <c r="N18" s="1208"/>
      <c r="O18" s="1208"/>
      <c r="P18" s="1208"/>
      <c r="Q18" s="1208"/>
      <c r="R18" s="1208"/>
      <c r="S18" s="1208"/>
      <c r="T18" s="1208"/>
      <c r="U18" s="1208"/>
      <c r="V18" s="1208"/>
      <c r="W18" s="1208"/>
      <c r="X18" s="1208"/>
      <c r="Y18" s="1208"/>
      <c r="Z18" s="1208"/>
      <c r="AA18" s="1208"/>
      <c r="AB18" s="1208"/>
      <c r="AC18" s="1208"/>
      <c r="AD18" s="1208"/>
      <c r="AE18" s="1208"/>
      <c r="AF18" s="1208"/>
      <c r="AG18" s="1208"/>
      <c r="AH18" s="1208"/>
      <c r="AI18" s="1208"/>
      <c r="AJ18" s="1208"/>
      <c r="AK18" s="1208"/>
      <c r="AL18" s="1208"/>
      <c r="AM18" s="1208"/>
      <c r="AN18" s="1208"/>
      <c r="AO18" s="1208"/>
      <c r="AP18" s="1208"/>
      <c r="AQ18" s="1208"/>
      <c r="AR18" s="1208"/>
      <c r="AS18" s="1208"/>
      <c r="AT18" s="1208"/>
      <c r="AU18" s="1208"/>
      <c r="AV18" s="1208"/>
      <c r="AW18" s="1208"/>
      <c r="AX18" s="1208"/>
      <c r="AY18" s="1208"/>
      <c r="AZ18" s="1208"/>
      <c r="BA18" s="1208"/>
      <c r="BB18" s="1208"/>
      <c r="BC18" s="1208"/>
      <c r="BD18" s="1208"/>
      <c r="BE18" s="1208"/>
      <c r="BF18" s="1208"/>
      <c r="BG18" s="1208"/>
      <c r="BH18" s="1208"/>
      <c r="BI18" s="1208"/>
      <c r="BJ18" s="1208"/>
      <c r="BK18" s="1208"/>
      <c r="BL18" s="1209"/>
      <c r="BM18" s="1209"/>
      <c r="BN18" s="1209"/>
      <c r="BO18" s="1209"/>
      <c r="BP18" s="1208"/>
      <c r="BQ18" s="1208"/>
      <c r="BR18" s="1208"/>
      <c r="BS18" s="1208"/>
      <c r="BT18" s="1208"/>
      <c r="BU18" s="1208"/>
    </row>
    <row r="19" spans="1:83" s="849" customFormat="1" ht="6.75" customHeight="1" thickBot="1" x14ac:dyDescent="0.25">
      <c r="A19" s="28"/>
      <c r="B19" s="1"/>
      <c r="C19" s="1"/>
      <c r="D19" s="1"/>
      <c r="E19" s="1"/>
      <c r="F19" s="1"/>
      <c r="G19" s="1"/>
      <c r="H19" s="1"/>
      <c r="I19" s="1"/>
      <c r="J19" s="1"/>
      <c r="K19" s="28"/>
      <c r="M19" s="1210"/>
      <c r="N19" s="1210"/>
      <c r="O19" s="1210"/>
      <c r="P19" s="1210"/>
      <c r="Q19" s="1210"/>
      <c r="R19" s="1210"/>
      <c r="S19" s="1210"/>
      <c r="T19" s="1210"/>
      <c r="U19" s="1210"/>
      <c r="V19" s="1210"/>
      <c r="W19" s="1210"/>
      <c r="X19" s="1210"/>
      <c r="Y19" s="1210"/>
      <c r="Z19" s="1210"/>
      <c r="AA19" s="1210"/>
      <c r="AB19" s="1210"/>
      <c r="AC19" s="1210"/>
      <c r="AD19" s="1210"/>
      <c r="AE19" s="1210"/>
      <c r="AF19" s="1210"/>
      <c r="AG19" s="1210"/>
      <c r="AH19" s="1210"/>
      <c r="AI19" s="1210"/>
      <c r="AJ19" s="1210"/>
      <c r="AK19" s="1210"/>
      <c r="AL19" s="1210"/>
      <c r="AM19" s="1210"/>
      <c r="AN19" s="1210"/>
      <c r="AO19" s="1210"/>
      <c r="AP19" s="1210"/>
      <c r="AQ19" s="1210"/>
      <c r="AR19" s="1210"/>
      <c r="AS19" s="1210"/>
      <c r="AT19" s="1210"/>
      <c r="AU19" s="1210"/>
      <c r="AV19" s="1210"/>
      <c r="AW19" s="1210"/>
      <c r="AX19" s="1210"/>
      <c r="AY19" s="1210"/>
      <c r="AZ19" s="1210"/>
      <c r="BA19" s="1210"/>
      <c r="BB19" s="1210"/>
      <c r="BC19" s="1210"/>
      <c r="BD19" s="1210"/>
      <c r="BE19" s="1210"/>
      <c r="BF19" s="1210"/>
      <c r="BG19" s="1210"/>
      <c r="BH19" s="1210"/>
      <c r="BI19" s="1210"/>
      <c r="BJ19" s="1210"/>
      <c r="BK19" s="1210"/>
      <c r="BL19" s="1211"/>
      <c r="BM19" s="1211"/>
      <c r="BN19" s="1211"/>
      <c r="BO19" s="1211"/>
      <c r="BP19" s="1210"/>
      <c r="BQ19" s="1210"/>
      <c r="BR19" s="1210"/>
      <c r="BS19" s="1210"/>
      <c r="BT19" s="1210"/>
      <c r="BU19" s="1210"/>
    </row>
    <row r="20" spans="1:83" x14ac:dyDescent="0.2">
      <c r="A20" s="1369" t="s">
        <v>48</v>
      </c>
      <c r="B20" s="1370"/>
      <c r="C20" s="1371"/>
      <c r="D20" s="1360" t="s">
        <v>405</v>
      </c>
      <c r="E20" s="1359"/>
      <c r="F20" s="1359"/>
      <c r="G20" s="1359"/>
      <c r="H20" s="1359"/>
      <c r="I20" s="1362" t="s">
        <v>64</v>
      </c>
      <c r="J20" s="1363"/>
      <c r="K20" s="29"/>
      <c r="L20" s="34"/>
      <c r="M20" s="1212"/>
      <c r="N20" s="1213" t="s">
        <v>364</v>
      </c>
      <c r="O20" s="1212"/>
      <c r="P20" s="1212"/>
      <c r="Q20" s="1212"/>
      <c r="R20" s="1214" t="s">
        <v>371</v>
      </c>
      <c r="S20" s="1214"/>
      <c r="T20" s="1215"/>
      <c r="U20" s="1215"/>
      <c r="V20" s="1215"/>
      <c r="W20" s="1215"/>
      <c r="X20" s="1215"/>
      <c r="Y20" s="1212"/>
      <c r="Z20" s="1212"/>
      <c r="AA20" s="1212"/>
      <c r="AB20" s="1212"/>
      <c r="AC20" s="1212"/>
      <c r="AD20" s="1212"/>
      <c r="AE20" s="1212"/>
      <c r="AF20" s="1212"/>
      <c r="AG20" s="1212"/>
      <c r="AH20" s="1212"/>
      <c r="AI20" s="1212"/>
      <c r="AK20" s="1212"/>
      <c r="AL20" s="1212"/>
      <c r="AM20" s="1212"/>
      <c r="AN20" s="1212"/>
      <c r="AO20" s="1212"/>
      <c r="AP20" s="1212"/>
      <c r="AQ20" s="1212"/>
      <c r="AR20" s="1212"/>
      <c r="AS20" s="1212"/>
      <c r="AT20" s="1212"/>
      <c r="AU20" s="1212"/>
      <c r="AV20" s="1212"/>
      <c r="AW20" s="1212"/>
      <c r="AX20" s="1212"/>
      <c r="AY20" s="1212"/>
      <c r="AZ20" s="1212"/>
      <c r="BA20" s="1212"/>
      <c r="BB20" s="1212"/>
      <c r="BC20" s="1212"/>
      <c r="BD20" s="1212"/>
      <c r="BE20" s="1212"/>
      <c r="BF20" s="1212"/>
      <c r="BG20" s="1212"/>
      <c r="BH20" s="1212"/>
      <c r="BI20" s="1212"/>
      <c r="BJ20" s="1212"/>
      <c r="BK20" s="1212"/>
      <c r="BL20" s="1212"/>
      <c r="BM20" s="1212"/>
      <c r="BN20" s="1212"/>
      <c r="BO20" s="1212"/>
      <c r="BP20" s="1212"/>
      <c r="BQ20" s="1212"/>
      <c r="BR20" s="1212"/>
      <c r="BS20" s="1212"/>
      <c r="BT20" s="1212"/>
      <c r="BU20" s="1212"/>
      <c r="BV20" s="34"/>
      <c r="BW20" s="34"/>
      <c r="BX20" s="34"/>
      <c r="BY20" s="34"/>
      <c r="BZ20" s="34"/>
      <c r="CA20" s="34"/>
      <c r="CB20" s="34"/>
      <c r="CC20" s="34"/>
    </row>
    <row r="21" spans="1:83" x14ac:dyDescent="0.2">
      <c r="A21" s="1372"/>
      <c r="B21" s="1373"/>
      <c r="C21" s="1374"/>
      <c r="D21" s="879" t="s">
        <v>0</v>
      </c>
      <c r="E21" s="1364" t="s">
        <v>67</v>
      </c>
      <c r="F21" s="1365"/>
      <c r="G21" s="1398" t="s">
        <v>55</v>
      </c>
      <c r="H21" s="1399"/>
      <c r="I21" s="880" t="s">
        <v>63</v>
      </c>
      <c r="J21" s="880" t="s">
        <v>61</v>
      </c>
      <c r="K21" s="29"/>
      <c r="L21" s="34"/>
      <c r="M21" s="1212"/>
      <c r="N21" s="1213" t="s">
        <v>407</v>
      </c>
      <c r="O21" s="1212"/>
      <c r="P21" s="1366" t="s">
        <v>455</v>
      </c>
      <c r="Q21" s="1367"/>
      <c r="R21" s="1349" t="s">
        <v>376</v>
      </c>
      <c r="S21" s="1350"/>
      <c r="T21" s="1350"/>
      <c r="U21" s="1351"/>
      <c r="V21" s="1220" t="s">
        <v>0</v>
      </c>
      <c r="W21" s="1220" t="s">
        <v>12</v>
      </c>
      <c r="X21" s="1349" t="s">
        <v>372</v>
      </c>
      <c r="Y21" s="1350"/>
      <c r="Z21" s="1351"/>
      <c r="AA21" s="1220" t="s">
        <v>372</v>
      </c>
      <c r="AB21" s="1349" t="s">
        <v>363</v>
      </c>
      <c r="AC21" s="1350"/>
      <c r="AD21" s="1351"/>
      <c r="AE21" s="1212"/>
      <c r="AF21" s="1217" t="s">
        <v>60</v>
      </c>
      <c r="AG21" s="1218" t="s">
        <v>60</v>
      </c>
      <c r="AH21" s="1221">
        <v>170</v>
      </c>
      <c r="AI21" s="1222">
        <v>170</v>
      </c>
      <c r="AJ21" s="1217" t="s">
        <v>364</v>
      </c>
      <c r="AK21" s="1219" t="s">
        <v>364</v>
      </c>
      <c r="AL21" s="1217"/>
      <c r="AM21" s="1218"/>
      <c r="AN21" s="1219"/>
      <c r="AO21" s="1223"/>
      <c r="AP21" s="1224"/>
      <c r="AQ21" s="1224"/>
      <c r="AR21" s="1224"/>
      <c r="AS21" s="1224"/>
      <c r="AT21" s="1224"/>
      <c r="AU21" s="1349" t="s">
        <v>381</v>
      </c>
      <c r="AV21" s="1350"/>
      <c r="AW21" s="1351"/>
      <c r="AX21" s="1212"/>
      <c r="AY21" s="1212"/>
      <c r="AZ21" s="1212"/>
      <c r="BA21" s="1212"/>
      <c r="BB21" s="1212"/>
      <c r="BC21" s="1212"/>
      <c r="BD21" s="1212"/>
      <c r="BE21" s="1212"/>
      <c r="BF21" s="1212"/>
      <c r="BG21" s="1212"/>
      <c r="BH21" s="1212"/>
      <c r="BI21" s="1212"/>
      <c r="BJ21" s="1212"/>
      <c r="BK21" s="1212"/>
      <c r="BL21" s="1212"/>
      <c r="BM21" s="1212"/>
      <c r="BN21" s="1212"/>
      <c r="BO21" s="1212"/>
      <c r="BP21" s="1212"/>
      <c r="BQ21" s="1212"/>
      <c r="BR21" s="1212"/>
      <c r="BS21" s="1212"/>
      <c r="BT21" s="1212"/>
      <c r="BU21" s="1212"/>
      <c r="BV21" s="34"/>
      <c r="BW21" s="34"/>
      <c r="BX21" s="34"/>
      <c r="BY21" s="34"/>
      <c r="BZ21" s="34"/>
      <c r="CA21" s="34"/>
      <c r="CB21" s="34"/>
      <c r="CC21" s="34"/>
      <c r="CD21" s="1428"/>
      <c r="CE21" s="1429"/>
    </row>
    <row r="22" spans="1:83" x14ac:dyDescent="0.2">
      <c r="A22" s="1372"/>
      <c r="B22" s="1373"/>
      <c r="C22" s="1374"/>
      <c r="D22" s="881"/>
      <c r="E22" s="882"/>
      <c r="F22" s="883" t="s">
        <v>68</v>
      </c>
      <c r="G22" s="884" t="s">
        <v>66</v>
      </c>
      <c r="H22" s="885" t="s">
        <v>65</v>
      </c>
      <c r="I22" s="880" t="s">
        <v>12</v>
      </c>
      <c r="J22" s="880" t="s">
        <v>62</v>
      </c>
      <c r="K22" s="29"/>
      <c r="L22" s="34"/>
      <c r="M22" s="1212"/>
      <c r="N22" s="1212"/>
      <c r="O22" s="1212"/>
      <c r="P22" s="1213" t="s">
        <v>0</v>
      </c>
      <c r="Q22" s="1213" t="s">
        <v>16</v>
      </c>
      <c r="R22" s="1225" t="s">
        <v>5</v>
      </c>
      <c r="S22" s="1213" t="s">
        <v>5</v>
      </c>
      <c r="T22" s="1213" t="s">
        <v>373</v>
      </c>
      <c r="U22" s="1216" t="s">
        <v>7</v>
      </c>
      <c r="V22" s="1226" t="s">
        <v>468</v>
      </c>
      <c r="W22" s="1226" t="s">
        <v>468</v>
      </c>
      <c r="X22" s="1225" t="s">
        <v>5</v>
      </c>
      <c r="Y22" s="1213" t="s">
        <v>373</v>
      </c>
      <c r="Z22" s="1216" t="s">
        <v>7</v>
      </c>
      <c r="AA22" s="1227" t="s">
        <v>468</v>
      </c>
      <c r="AB22" s="1225" t="s">
        <v>5</v>
      </c>
      <c r="AC22" s="1213" t="s">
        <v>373</v>
      </c>
      <c r="AD22" s="1216" t="s">
        <v>7</v>
      </c>
      <c r="AE22" s="1212"/>
      <c r="AF22" s="1225" t="s">
        <v>0</v>
      </c>
      <c r="AG22" s="1213" t="s">
        <v>16</v>
      </c>
      <c r="AH22" s="1213" t="s">
        <v>0</v>
      </c>
      <c r="AI22" s="1216" t="s">
        <v>16</v>
      </c>
      <c r="AJ22" s="1225" t="s">
        <v>12</v>
      </c>
      <c r="AK22" s="1216" t="s">
        <v>16</v>
      </c>
      <c r="AL22" s="1430" t="s">
        <v>375</v>
      </c>
      <c r="AM22" s="1366"/>
      <c r="AN22" s="1367"/>
      <c r="AO22" s="1228"/>
      <c r="AP22" s="1229"/>
      <c r="AQ22" s="1229"/>
      <c r="AR22" s="1228" t="s">
        <v>281</v>
      </c>
      <c r="AS22" s="1228" t="s">
        <v>281</v>
      </c>
      <c r="AT22" s="1228" t="s">
        <v>281</v>
      </c>
      <c r="AU22" s="1230"/>
      <c r="AV22" s="1231"/>
      <c r="AW22" s="1232"/>
      <c r="AX22" s="1217" t="s">
        <v>0</v>
      </c>
      <c r="AY22" s="1219" t="s">
        <v>12</v>
      </c>
      <c r="AZ22" s="1349" t="s">
        <v>16</v>
      </c>
      <c r="BA22" s="1350"/>
      <c r="BB22" s="1351"/>
      <c r="BC22" s="1349" t="s">
        <v>365</v>
      </c>
      <c r="BD22" s="1351"/>
      <c r="BE22" s="1223" t="s">
        <v>406</v>
      </c>
      <c r="BF22" s="1349" t="s">
        <v>443</v>
      </c>
      <c r="BG22" s="1350"/>
      <c r="BH22" s="1351"/>
      <c r="BI22" s="1349" t="s">
        <v>440</v>
      </c>
      <c r="BJ22" s="1350"/>
      <c r="BK22" s="1351"/>
      <c r="BL22" s="1349" t="s">
        <v>461</v>
      </c>
      <c r="BM22" s="1350"/>
      <c r="BN22" s="1350" t="s">
        <v>465</v>
      </c>
      <c r="BO22" s="1351"/>
      <c r="BP22" s="1233" t="s">
        <v>472</v>
      </c>
      <c r="BQ22" s="1222" t="s">
        <v>474</v>
      </c>
      <c r="BR22" s="1212"/>
      <c r="BS22" s="1212"/>
      <c r="BT22" s="1212"/>
      <c r="BU22" s="1212"/>
      <c r="BV22" s="34"/>
      <c r="BW22" s="34"/>
      <c r="BX22" s="34"/>
      <c r="BY22" s="34"/>
      <c r="BZ22" s="34"/>
      <c r="CA22" s="34"/>
      <c r="CB22" s="34"/>
      <c r="CC22" s="34"/>
      <c r="CD22" s="850"/>
      <c r="CE22" s="851"/>
    </row>
    <row r="23" spans="1:83" ht="13.5" thickBot="1" x14ac:dyDescent="0.25">
      <c r="A23" s="1375"/>
      <c r="B23" s="1376"/>
      <c r="C23" s="1377"/>
      <c r="D23" s="888" t="s">
        <v>17</v>
      </c>
      <c r="E23" s="889" t="s">
        <v>17</v>
      </c>
      <c r="F23" s="890" t="s">
        <v>52</v>
      </c>
      <c r="G23" s="891" t="s">
        <v>56</v>
      </c>
      <c r="H23" s="892" t="s">
        <v>56</v>
      </c>
      <c r="I23" s="893" t="s">
        <v>369</v>
      </c>
      <c r="J23" s="893" t="s">
        <v>370</v>
      </c>
      <c r="K23" s="29"/>
      <c r="L23" s="34"/>
      <c r="M23" s="1212"/>
      <c r="N23" s="1213" t="s">
        <v>369</v>
      </c>
      <c r="O23" s="1212"/>
      <c r="P23" s="1213" t="s">
        <v>17</v>
      </c>
      <c r="Q23" s="1213" t="s">
        <v>17</v>
      </c>
      <c r="R23" s="1234"/>
      <c r="S23" s="1213" t="s">
        <v>296</v>
      </c>
      <c r="T23" s="1212"/>
      <c r="U23" s="1235"/>
      <c r="V23" s="1236"/>
      <c r="W23" s="1236"/>
      <c r="X23" s="1234"/>
      <c r="Y23" s="1212"/>
      <c r="Z23" s="1235"/>
      <c r="AA23" s="1226"/>
      <c r="AB23" s="1234"/>
      <c r="AC23" s="1212"/>
      <c r="AD23" s="1235"/>
      <c r="AE23" s="1212"/>
      <c r="AF23" s="1430" t="s">
        <v>368</v>
      </c>
      <c r="AG23" s="1366"/>
      <c r="AH23" s="1366"/>
      <c r="AI23" s="1367"/>
      <c r="AJ23" s="1225"/>
      <c r="AK23" s="1216"/>
      <c r="AL23" s="1225" t="s">
        <v>5</v>
      </c>
      <c r="AM23" s="1213" t="s">
        <v>373</v>
      </c>
      <c r="AN23" s="1216" t="s">
        <v>7</v>
      </c>
      <c r="AO23" s="1228" t="s">
        <v>374</v>
      </c>
      <c r="AP23" s="1228" t="s">
        <v>367</v>
      </c>
      <c r="AQ23" s="1228" t="s">
        <v>363</v>
      </c>
      <c r="AR23" s="1228"/>
      <c r="AS23" s="1228"/>
      <c r="AT23" s="1228" t="s">
        <v>383</v>
      </c>
      <c r="AU23" s="1225" t="s">
        <v>5</v>
      </c>
      <c r="AV23" s="1213" t="s">
        <v>373</v>
      </c>
      <c r="AW23" s="1216" t="s">
        <v>7</v>
      </c>
      <c r="AX23" s="1237" t="s">
        <v>364</v>
      </c>
      <c r="AY23" s="1238" t="s">
        <v>364</v>
      </c>
      <c r="AZ23" s="1237" t="s">
        <v>57</v>
      </c>
      <c r="BA23" s="1239" t="s">
        <v>58</v>
      </c>
      <c r="BB23" s="1238" t="s">
        <v>59</v>
      </c>
      <c r="BC23" s="1237" t="s">
        <v>0</v>
      </c>
      <c r="BD23" s="1238" t="s">
        <v>366</v>
      </c>
      <c r="BE23" s="1240" t="s">
        <v>16</v>
      </c>
      <c r="BF23" s="1237" t="s">
        <v>439</v>
      </c>
      <c r="BG23" s="1239" t="s">
        <v>58</v>
      </c>
      <c r="BH23" s="1238" t="s">
        <v>59</v>
      </c>
      <c r="BI23" s="1237" t="s">
        <v>5</v>
      </c>
      <c r="BJ23" s="1239" t="s">
        <v>373</v>
      </c>
      <c r="BK23" s="1238" t="s">
        <v>7</v>
      </c>
      <c r="BL23" s="1237" t="s">
        <v>462</v>
      </c>
      <c r="BM23" s="1239" t="s">
        <v>463</v>
      </c>
      <c r="BN23" s="1239" t="s">
        <v>462</v>
      </c>
      <c r="BO23" s="1238" t="s">
        <v>463</v>
      </c>
      <c r="BP23" s="1234" t="s">
        <v>473</v>
      </c>
      <c r="BQ23" s="1235" t="s">
        <v>475</v>
      </c>
      <c r="BR23" s="1212"/>
      <c r="BS23" s="1212"/>
      <c r="BT23" s="1212"/>
      <c r="BU23" s="1212"/>
      <c r="BV23" s="34"/>
      <c r="BW23" s="34"/>
      <c r="BX23" s="34"/>
      <c r="BY23" s="34"/>
      <c r="BZ23" s="34"/>
      <c r="CA23" s="34"/>
      <c r="CB23" s="34"/>
      <c r="CC23" s="34"/>
    </row>
    <row r="24" spans="1:83" ht="2.25" customHeight="1" x14ac:dyDescent="0.2">
      <c r="A24" s="61"/>
      <c r="B24" s="30"/>
      <c r="C24" s="30"/>
      <c r="D24" s="31"/>
      <c r="E24" s="64"/>
      <c r="F24" s="63"/>
      <c r="G24" s="65"/>
      <c r="H24" s="58"/>
      <c r="I24" s="1132"/>
      <c r="J24" s="60"/>
      <c r="K24" s="29"/>
      <c r="L24" s="34"/>
      <c r="M24" s="1212"/>
      <c r="N24" s="1212"/>
      <c r="O24" s="1212"/>
      <c r="P24" s="1212"/>
      <c r="Q24" s="1212"/>
      <c r="R24" s="1234"/>
      <c r="S24" s="1212"/>
      <c r="T24" s="1212"/>
      <c r="U24" s="1235"/>
      <c r="V24" s="1226"/>
      <c r="W24" s="1226"/>
      <c r="X24" s="1234"/>
      <c r="Y24" s="1212"/>
      <c r="Z24" s="1235"/>
      <c r="AA24" s="1226"/>
      <c r="AB24" s="1234"/>
      <c r="AC24" s="1212"/>
      <c r="AD24" s="1235"/>
      <c r="AE24" s="1212"/>
      <c r="AF24" s="1234"/>
      <c r="AG24" s="1212"/>
      <c r="AH24" s="1212"/>
      <c r="AI24" s="1235"/>
      <c r="AJ24" s="1234"/>
      <c r="AK24" s="1235"/>
      <c r="AL24" s="1234"/>
      <c r="AM24" s="1212"/>
      <c r="AN24" s="1235"/>
      <c r="AO24" s="1229"/>
      <c r="AP24" s="1228"/>
      <c r="AQ24" s="1228"/>
      <c r="AR24" s="1228"/>
      <c r="AS24" s="1228"/>
      <c r="AT24" s="1228"/>
      <c r="AU24" s="1225"/>
      <c r="AV24" s="1213"/>
      <c r="AW24" s="1216"/>
      <c r="AX24" s="1213"/>
      <c r="AY24" s="1213"/>
      <c r="AZ24" s="1225"/>
      <c r="BA24" s="1213"/>
      <c r="BB24" s="1216"/>
      <c r="BC24" s="1225"/>
      <c r="BD24" s="1216"/>
      <c r="BE24" s="1212"/>
      <c r="BF24" s="1212"/>
      <c r="BG24" s="1212"/>
      <c r="BH24" s="1212"/>
      <c r="BI24" s="1212"/>
      <c r="BJ24" s="1212"/>
      <c r="BK24" s="1212"/>
      <c r="BL24" s="1212"/>
      <c r="BM24" s="1212"/>
      <c r="BN24" s="1212"/>
      <c r="BO24" s="1212"/>
      <c r="BP24" s="1234"/>
      <c r="BQ24" s="1235"/>
      <c r="BR24" s="1212"/>
      <c r="BS24" s="1212"/>
      <c r="BT24" s="1212"/>
      <c r="BU24" s="1212"/>
      <c r="BV24" s="34"/>
      <c r="BW24" s="34"/>
      <c r="BX24" s="34"/>
      <c r="BY24" s="34"/>
      <c r="BZ24" s="34"/>
      <c r="CA24" s="34"/>
      <c r="CB24" s="34"/>
      <c r="CC24" s="34"/>
    </row>
    <row r="25" spans="1:83" ht="15.75" customHeight="1" x14ac:dyDescent="0.2">
      <c r="A25" s="1354"/>
      <c r="B25" s="1355"/>
      <c r="C25" s="1411"/>
      <c r="D25" s="1028"/>
      <c r="E25" s="1060"/>
      <c r="F25" s="674"/>
      <c r="G25" s="1028"/>
      <c r="H25" s="1064"/>
      <c r="I25" s="1059" t="str">
        <f>IF(BS25=FALSE," ",IF(P25+Q25=0," ",IF(AF25*AX25+AG25*AJ25=0," ",AF25*AX25+AG25*AJ25)))</f>
        <v xml:space="preserve"> </v>
      </c>
      <c r="J25" s="1059" t="str">
        <f t="shared" ref="J25:J36" si="0">IF(BS25=FALSE," ",IF(Q25=0," ",IF(AG25*AK25=0," ",IF(AO25=4,AG25*AK25-(D25*(1-H25/100)*AK25)*((1220/1000)/(2*11)),AG25*AK25))))</f>
        <v xml:space="preserve"> </v>
      </c>
      <c r="K25" s="33"/>
      <c r="L25" s="33"/>
      <c r="M25" s="1241"/>
      <c r="N25" s="1241" t="str">
        <f t="shared" ref="N25:N36" si="1">IF(J25=" "," ",(J25*(1/BE25)))</f>
        <v xml:space="preserve"> </v>
      </c>
      <c r="O25" s="1241"/>
      <c r="P25" s="1242">
        <f t="shared" ref="P25:P36" si="2">IF(AX25=0,0,D25)</f>
        <v>0</v>
      </c>
      <c r="Q25" s="1243">
        <f t="shared" ref="Q25:Q36" si="3">IF(AX25=0,D25+E25,E25)</f>
        <v>0</v>
      </c>
      <c r="R25" s="1244">
        <f>+(AF25*AU25*(100-BC25)/100)+(AJ25*AL25*AG25*(100-BD25)/100)</f>
        <v>0</v>
      </c>
      <c r="S25" s="1241">
        <f>IF(AO25=2,R25,0)</f>
        <v>0</v>
      </c>
      <c r="T25" s="1241">
        <f>AF25*AV25+AG25*AJ25*AM25</f>
        <v>0</v>
      </c>
      <c r="U25" s="1245">
        <f>AF25*AW25+AG25*AJ25*AN25</f>
        <v>0</v>
      </c>
      <c r="V25" s="1246">
        <f>INDEX(Tiere!K$30:K$79,'Berech. Lagerraum flüssig+fest'!$AP25)</f>
        <v>0</v>
      </c>
      <c r="W25" s="1246">
        <f>INDEX(Tiere!S$30:S$79,'Berech. Lagerraum flüssig+fest'!AP25)</f>
        <v>0</v>
      </c>
      <c r="X25" s="1244">
        <f>+(AG25*AU25*(100-BD25)/100)-AJ25*AG25*AL25</f>
        <v>0</v>
      </c>
      <c r="Y25" s="1241">
        <f>AG25*AV25-AG25*AJ25*AM25</f>
        <v>0</v>
      </c>
      <c r="Z25" s="1245">
        <f>AG25*AW25-AG25*AJ25*AN25</f>
        <v>0</v>
      </c>
      <c r="AA25" s="1246">
        <f>INDEX(Tiere!P$30:P$79,'Berech. Lagerraum flüssig+fest'!$AP25)</f>
        <v>0</v>
      </c>
      <c r="AB25" s="1244">
        <f>IF(AQ25=1,AG25*BF25*AS25*365/1000*BI25,IF(AQ25=2,AG25*BG25*AS25*365/1000*BI25,AG25*BH25*AS25*365/1000*BI25))</f>
        <v>0</v>
      </c>
      <c r="AC25" s="1241">
        <f>IF(AQ25=1,AG25*BF25*AS25*365/1000*BJ25,IF(AQ25=2,AG25*BG25*AS25*365/1000*BJ25,AG25*BH25*AS25*365/1000*BJ25))</f>
        <v>0</v>
      </c>
      <c r="AD25" s="1245">
        <f>IF(AQ25=1,AG25*BF25*AS25*365/1000*BK25,IF(AQ25=2,AG25*BG25*AS25*365/1000*BK25,AG25*BH25*AS25*365/1000*BK25))</f>
        <v>0</v>
      </c>
      <c r="AE25" s="1241"/>
      <c r="AF25" s="1244">
        <f>+P25*(100-$H25)/100</f>
        <v>0</v>
      </c>
      <c r="AG25" s="1241">
        <f t="shared" ref="AG25:AG35" si="4">+Q25*(100-$H25)/100</f>
        <v>0</v>
      </c>
      <c r="AH25" s="1247">
        <f t="shared" ref="AH25:AH36" si="5">+P25-(P25*((G25+H25)/2))/100</f>
        <v>0</v>
      </c>
      <c r="AI25" s="1248">
        <f t="shared" ref="AI25:AI36" si="6">+Q25+P25-AH25</f>
        <v>0</v>
      </c>
      <c r="AJ25" s="1249">
        <f>IF(AQ25=1,AY25,IF(AQ25=2,AY25/2,0))</f>
        <v>0</v>
      </c>
      <c r="AK25" s="1250">
        <f>IF(AQ25=1,AZ25,IF(AQ25=2,BA25,BB25))</f>
        <v>0</v>
      </c>
      <c r="AL25" s="1251">
        <f>IF(AO25=2,3.2,IF(AO25=3,3.3,0))</f>
        <v>0</v>
      </c>
      <c r="AM25" s="1251">
        <f>IF(AO25=2,0,IF(AO25=3,0,0))</f>
        <v>0</v>
      </c>
      <c r="AN25" s="1251">
        <f>IF(AO25=2,7.9,IF(AO25=3,3.1,0))</f>
        <v>0</v>
      </c>
      <c r="AO25" s="1252">
        <f>IF(AP25&lt;2,1,IF(AP25&lt;11,2,IF(AP25&lt;26,3,IF(AP25&lt;40,4,5))))</f>
        <v>1</v>
      </c>
      <c r="AP25" s="1253">
        <v>1</v>
      </c>
      <c r="AQ25" s="1253">
        <v>1</v>
      </c>
      <c r="AR25" s="1252">
        <f>INDEX(Tiere!C$30:C$79,'Berech. Lagerraum flüssig+fest'!$AP25)</f>
        <v>0</v>
      </c>
      <c r="AS25" s="1252" t="str">
        <f>IF(AR25&gt;0.001,AR25,"1")</f>
        <v>1</v>
      </c>
      <c r="AT25" s="1252">
        <f>P25*AR25+Q25*AR25</f>
        <v>0</v>
      </c>
      <c r="AU25" s="1251">
        <f>INDEX(Tiere!D$30:D$79,'Berech. Lagerraum flüssig+fest'!$AP25)</f>
        <v>0</v>
      </c>
      <c r="AV25" s="1247">
        <f>INDEX(Tiere!E$30:E$79,'Berech. Lagerraum flüssig+fest'!$AP25)</f>
        <v>0</v>
      </c>
      <c r="AW25" s="1248">
        <f>INDEX(Tiere!F$30:F$79,'Berech. Lagerraum flüssig+fest'!$AP25)</f>
        <v>0</v>
      </c>
      <c r="AX25" s="1247">
        <f>INDEX(Tiere!J$30:J$79,'Berech. Lagerraum flüssig+fest'!$AP25)</f>
        <v>0</v>
      </c>
      <c r="AY25" s="1247">
        <f>INDEX(Tiere!R$30:R$79,'Berech. Lagerraum flüssig+fest'!$AP25)</f>
        <v>0</v>
      </c>
      <c r="AZ25" s="1251">
        <f>INDEX(Tiere!M$30:M$79,'Berech. Lagerraum flüssig+fest'!$AP25)</f>
        <v>0</v>
      </c>
      <c r="BA25" s="1247">
        <f>INDEX(Tiere!N$30:N$79,'Berech. Lagerraum flüssig+fest'!$AP25)</f>
        <v>0</v>
      </c>
      <c r="BB25" s="1248">
        <f>INDEX(Tiere!O$30:O$79,'Berech. Lagerraum flüssig+fest'!$AP25)</f>
        <v>0</v>
      </c>
      <c r="BC25" s="1251">
        <f>INDEX(Tiere!T$30:T$79,'Berech. Lagerraum flüssig+fest'!$AP25)</f>
        <v>0</v>
      </c>
      <c r="BD25" s="1248">
        <f>INDEX(Tiere!U$30:U$79,'Berech. Lagerraum flüssig+fest'!$AP25)</f>
        <v>0</v>
      </c>
      <c r="BE25" s="1254">
        <f>INDEX(Tiere!V$30:V$79,'Berech. Lagerraum flüssig+fest'!$AP25)</f>
        <v>0</v>
      </c>
      <c r="BF25" s="1248">
        <f>INDEX(Tiere!W$30:W$79,'Berech. Lagerraum flüssig+fest'!$AP25)</f>
        <v>0</v>
      </c>
      <c r="BG25" s="1248">
        <f>INDEX(Tiere!X$30:X$79,'Berech. Lagerraum flüssig+fest'!$AP25)</f>
        <v>0</v>
      </c>
      <c r="BH25" s="1248">
        <f>INDEX(Tiere!Y$30:Y$79,'Berech. Lagerraum flüssig+fest'!$AP25)</f>
        <v>0</v>
      </c>
      <c r="BI25" s="1241">
        <v>5</v>
      </c>
      <c r="BJ25" s="1241">
        <v>3</v>
      </c>
      <c r="BK25" s="1245">
        <v>17</v>
      </c>
      <c r="BL25" s="1245">
        <f>INDEX(Tiere!Z$30:Z$79,'Berech. Lagerraum flüssig+fest'!$AP25)</f>
        <v>0</v>
      </c>
      <c r="BM25" s="1245">
        <f>INDEX(Tiere!AA$30:AA$79,'Berech. Lagerraum flüssig+fest'!$AP25)</f>
        <v>0</v>
      </c>
      <c r="BN25" s="1255">
        <f>IF(N25=" ",0,BL25*N25)</f>
        <v>0</v>
      </c>
      <c r="BO25" s="1256">
        <f>IF(N25=" ",0,BM25*N25)</f>
        <v>0</v>
      </c>
      <c r="BP25" s="1241">
        <f>AF25*AX25</f>
        <v>0</v>
      </c>
      <c r="BQ25" s="1245">
        <f>AG25*AJ25</f>
        <v>0</v>
      </c>
      <c r="BR25" s="1241"/>
      <c r="BS25" s="1241" t="b">
        <f>AND(AP25&gt;1)</f>
        <v>0</v>
      </c>
      <c r="BT25" s="1241"/>
      <c r="BU25" s="1241"/>
      <c r="BV25" s="33"/>
      <c r="BW25" s="33"/>
      <c r="BX25" s="852"/>
      <c r="BY25" s="33"/>
      <c r="BZ25" s="33"/>
      <c r="CA25" s="33"/>
      <c r="CB25" s="33"/>
      <c r="CC25" s="33"/>
    </row>
    <row r="26" spans="1:83" ht="15.75" customHeight="1" x14ac:dyDescent="0.2">
      <c r="A26" s="1354"/>
      <c r="B26" s="1355"/>
      <c r="C26" s="1411"/>
      <c r="D26" s="1030"/>
      <c r="E26" s="1061"/>
      <c r="F26" s="674"/>
      <c r="G26" s="1030"/>
      <c r="H26" s="1058"/>
      <c r="I26" s="1059" t="str">
        <f t="shared" ref="I26:I36" si="7">IF(BS26=FALSE," ",IF(P26+Q26=0," ",IF(AF26*AX26+AG26*AJ26=0," ",AF26*AX26+AG26*AJ26)))</f>
        <v xml:space="preserve"> </v>
      </c>
      <c r="J26" s="1059" t="str">
        <f t="shared" si="0"/>
        <v xml:space="preserve"> </v>
      </c>
      <c r="K26" s="33"/>
      <c r="L26" s="33"/>
      <c r="M26" s="1241"/>
      <c r="N26" s="1241" t="str">
        <f t="shared" si="1"/>
        <v xml:space="preserve"> </v>
      </c>
      <c r="O26" s="1241"/>
      <c r="P26" s="1242">
        <f t="shared" si="2"/>
        <v>0</v>
      </c>
      <c r="Q26" s="1243">
        <f t="shared" si="3"/>
        <v>0</v>
      </c>
      <c r="R26" s="1244">
        <f t="shared" ref="R26:R36" si="8">+(AF26*AU26*(100-BC26)/100)+(AJ26*AL26*AG26*(100-BD26)/100)</f>
        <v>0</v>
      </c>
      <c r="S26" s="1241">
        <f t="shared" ref="S26:S36" si="9">IF(AO26=2,R26,0)</f>
        <v>0</v>
      </c>
      <c r="T26" s="1241">
        <f t="shared" ref="T26:T36" si="10">AF26*AV26+AG26*AJ26*AM26</f>
        <v>0</v>
      </c>
      <c r="U26" s="1245">
        <f t="shared" ref="U26:U36" si="11">AF26*AW26+AG26*AJ26*AN26</f>
        <v>0</v>
      </c>
      <c r="V26" s="1246">
        <f>INDEX(Tiere!K$30:K$79,'Berech. Lagerraum flüssig+fest'!$AP26)</f>
        <v>0</v>
      </c>
      <c r="W26" s="1246">
        <f>INDEX(Tiere!S$30:S$79,'Berech. Lagerraum flüssig+fest'!AP26)</f>
        <v>0</v>
      </c>
      <c r="X26" s="1244">
        <f t="shared" ref="X26:X40" si="12">+(AG26*AU26*(100-BD26)/100)-AJ26*AG26*AL26</f>
        <v>0</v>
      </c>
      <c r="Y26" s="1241">
        <f t="shared" ref="Y26:Y35" si="13">AG26*AV26-AG26*AJ26*AM26</f>
        <v>0</v>
      </c>
      <c r="Z26" s="1245">
        <f t="shared" ref="Z26:Z35" si="14">AG26*AW26-AG26*AJ26*AN26</f>
        <v>0</v>
      </c>
      <c r="AA26" s="1246">
        <f>INDEX(Tiere!P$30:P$79,'Berech. Lagerraum flüssig+fest'!$AP26)</f>
        <v>0</v>
      </c>
      <c r="AB26" s="1244">
        <f t="shared" ref="AB26:AB36" si="15">IF(AQ26=1,AG26*BF26*AS26*365/1000*BI26,IF(AQ26=2,AG26*BG26*AS26*365/1000*BI26,AG26*BH26*AS26*365/1000*BI26))</f>
        <v>0</v>
      </c>
      <c r="AC26" s="1241">
        <f t="shared" ref="AC26:AC36" si="16">IF(AQ26=1,AG26*BF26*AS26*365/1000*BJ26,IF(AQ26=2,AG26*BG26*AS26*365/1000*BJ26,AG26*BH26*AS26*365/1000*BJ26))</f>
        <v>0</v>
      </c>
      <c r="AD26" s="1245">
        <f t="shared" ref="AD26:AD36" si="17">IF(AQ26=1,AG26*BF26*AS26*365/1000*BK26,IF(AQ26=2,AG26*BG26*AS26*365/1000*BK26,AG26*BH26*AS26*365/1000*BK26))</f>
        <v>0</v>
      </c>
      <c r="AE26" s="1241"/>
      <c r="AF26" s="1244">
        <f t="shared" ref="AF26:AF36" si="18">+P26*(100-$H26)/100</f>
        <v>0</v>
      </c>
      <c r="AG26" s="1241">
        <f>+Q26*(100-$H26)/100</f>
        <v>0</v>
      </c>
      <c r="AH26" s="1247">
        <f t="shared" si="5"/>
        <v>0</v>
      </c>
      <c r="AI26" s="1248">
        <f t="shared" si="6"/>
        <v>0</v>
      </c>
      <c r="AJ26" s="1249">
        <f t="shared" ref="AJ26:AJ36" si="19">IF(AQ26=1,AY26,IF(AQ26=2,AY26/2,0))</f>
        <v>0</v>
      </c>
      <c r="AK26" s="1250">
        <f t="shared" ref="AK26:AK36" si="20">IF(AQ26=1,AZ26,IF(AQ26=2,BA26,BB26))</f>
        <v>0</v>
      </c>
      <c r="AL26" s="1251">
        <f>IF(AO26=2,3.2,IF(AO26=3,3.3,0))</f>
        <v>0</v>
      </c>
      <c r="AM26" s="1251">
        <f t="shared" ref="AM26:AM36" si="21">IF(AO26=2,0,IF(AO26=3,0,0))</f>
        <v>0</v>
      </c>
      <c r="AN26" s="1251">
        <f t="shared" ref="AN26:AN36" si="22">IF(AO26=2,7.9,IF(AO26=3,3.1,0))</f>
        <v>0</v>
      </c>
      <c r="AO26" s="1252">
        <f t="shared" ref="AO26:AO36" si="23">IF(AP26&lt;2,1,IF(AP26&lt;11,2,IF(AP26&lt;26,3,IF(AP26&lt;40,4,5))))</f>
        <v>1</v>
      </c>
      <c r="AP26" s="1253">
        <v>1</v>
      </c>
      <c r="AQ26" s="1253">
        <v>1</v>
      </c>
      <c r="AR26" s="1252">
        <f>INDEX(Tiere!C$30:C$79,'Berech. Lagerraum flüssig+fest'!$AP26)</f>
        <v>0</v>
      </c>
      <c r="AS26" s="1252" t="str">
        <f t="shared" ref="AS26:AS40" si="24">IF(AR26&gt;0.001,AR26,"1")</f>
        <v>1</v>
      </c>
      <c r="AT26" s="1252">
        <f t="shared" ref="AT26:AT36" si="25">D26*AR26+E26*AR26</f>
        <v>0</v>
      </c>
      <c r="AU26" s="1251">
        <f>INDEX(Tiere!D$30:D$79,'Berech. Lagerraum flüssig+fest'!$AP26)</f>
        <v>0</v>
      </c>
      <c r="AV26" s="1247">
        <f>INDEX(Tiere!E$30:E$79,'Berech. Lagerraum flüssig+fest'!$AP26)</f>
        <v>0</v>
      </c>
      <c r="AW26" s="1248">
        <f>INDEX(Tiere!F$30:F$79,'Berech. Lagerraum flüssig+fest'!$AP26)</f>
        <v>0</v>
      </c>
      <c r="AX26" s="1247">
        <f>INDEX(Tiere!J$30:J$79,'Berech. Lagerraum flüssig+fest'!$AP26)</f>
        <v>0</v>
      </c>
      <c r="AY26" s="1247">
        <f>INDEX(Tiere!R$30:R$79,'Berech. Lagerraum flüssig+fest'!$AP26)</f>
        <v>0</v>
      </c>
      <c r="AZ26" s="1251">
        <f>INDEX(Tiere!M$30:M$79,'Berech. Lagerraum flüssig+fest'!$AP26)</f>
        <v>0</v>
      </c>
      <c r="BA26" s="1247">
        <f>INDEX(Tiere!N$30:N$79,'Berech. Lagerraum flüssig+fest'!$AP26)</f>
        <v>0</v>
      </c>
      <c r="BB26" s="1248">
        <f>INDEX(Tiere!O$30:O$79,'Berech. Lagerraum flüssig+fest'!$AP26)</f>
        <v>0</v>
      </c>
      <c r="BC26" s="1251">
        <f>INDEX(Tiere!T$30:T$79,'Berech. Lagerraum flüssig+fest'!$AP26)</f>
        <v>0</v>
      </c>
      <c r="BD26" s="1248">
        <f>INDEX(Tiere!U$30:U$79,'Berech. Lagerraum flüssig+fest'!$AP26)</f>
        <v>0</v>
      </c>
      <c r="BE26" s="1254">
        <f>INDEX(Tiere!V$30:V$79,'Berech. Lagerraum flüssig+fest'!$AP26)</f>
        <v>0</v>
      </c>
      <c r="BF26" s="1248">
        <f>INDEX(Tiere!W$30:W$79,'Berech. Lagerraum flüssig+fest'!$AP26)</f>
        <v>0</v>
      </c>
      <c r="BG26" s="1248">
        <f>INDEX(Tiere!X$30:X$79,'Berech. Lagerraum flüssig+fest'!$AP26)</f>
        <v>0</v>
      </c>
      <c r="BH26" s="1248">
        <f>INDEX(Tiere!Y$30:Y$79,'Berech. Lagerraum flüssig+fest'!$AP26)</f>
        <v>0</v>
      </c>
      <c r="BI26" s="1241">
        <v>5</v>
      </c>
      <c r="BJ26" s="1241">
        <v>3</v>
      </c>
      <c r="BK26" s="1245">
        <v>17</v>
      </c>
      <c r="BL26" s="1245">
        <f>INDEX(Tiere!Z$30:Z$79,'Berech. Lagerraum flüssig+fest'!$AP26)</f>
        <v>0</v>
      </c>
      <c r="BM26" s="1245">
        <f>INDEX(Tiere!AA$30:AA$79,'Berech. Lagerraum flüssig+fest'!$AP26)</f>
        <v>0</v>
      </c>
      <c r="BN26" s="1244">
        <f>IF(N26=" ",0,BL26*N26)</f>
        <v>0</v>
      </c>
      <c r="BO26" s="1245">
        <f>IF(N26=" ",0,BM26*N26)</f>
        <v>0</v>
      </c>
      <c r="BP26" s="1241">
        <f t="shared" ref="BP26:BP40" si="26">AF26*AX26</f>
        <v>0</v>
      </c>
      <c r="BQ26" s="1245">
        <f t="shared" ref="BQ26:BQ40" si="27">AG26*AJ26</f>
        <v>0</v>
      </c>
      <c r="BR26" s="1241"/>
      <c r="BS26" s="1241" t="b">
        <f t="shared" ref="BS26:BS36" si="28">AND(AP26&gt;1)</f>
        <v>0</v>
      </c>
      <c r="BT26" s="1241"/>
      <c r="BU26" s="1241"/>
      <c r="BV26" s="33"/>
      <c r="BW26" s="33"/>
      <c r="BX26" s="33"/>
      <c r="BY26" s="33"/>
      <c r="BZ26" s="33"/>
      <c r="CA26" s="33"/>
      <c r="CB26" s="33"/>
      <c r="CC26" s="33"/>
    </row>
    <row r="27" spans="1:83" ht="15.75" customHeight="1" x14ac:dyDescent="0.2">
      <c r="A27" s="1354"/>
      <c r="B27" s="1355"/>
      <c r="C27" s="1355"/>
      <c r="D27" s="1030"/>
      <c r="E27" s="1061"/>
      <c r="F27" s="674"/>
      <c r="G27" s="1030"/>
      <c r="H27" s="1058"/>
      <c r="I27" s="1059" t="str">
        <f t="shared" si="7"/>
        <v xml:space="preserve"> </v>
      </c>
      <c r="J27" s="1059" t="str">
        <f t="shared" si="0"/>
        <v xml:space="preserve"> </v>
      </c>
      <c r="K27" s="33"/>
      <c r="L27" s="33"/>
      <c r="M27" s="1241"/>
      <c r="N27" s="1241" t="str">
        <f t="shared" si="1"/>
        <v xml:space="preserve"> </v>
      </c>
      <c r="O27" s="1241"/>
      <c r="P27" s="1242">
        <f t="shared" si="2"/>
        <v>0</v>
      </c>
      <c r="Q27" s="1243">
        <f t="shared" si="3"/>
        <v>0</v>
      </c>
      <c r="R27" s="1244">
        <f t="shared" si="8"/>
        <v>0</v>
      </c>
      <c r="S27" s="1241">
        <f t="shared" si="9"/>
        <v>0</v>
      </c>
      <c r="T27" s="1241">
        <f t="shared" si="10"/>
        <v>0</v>
      </c>
      <c r="U27" s="1245">
        <f t="shared" si="11"/>
        <v>0</v>
      </c>
      <c r="V27" s="1246">
        <f>INDEX(Tiere!K$30:K$79,'Berech. Lagerraum flüssig+fest'!$AP27)</f>
        <v>0</v>
      </c>
      <c r="W27" s="1246">
        <f>INDEX(Tiere!S$30:S$79,'Berech. Lagerraum flüssig+fest'!AP27)</f>
        <v>0</v>
      </c>
      <c r="X27" s="1244">
        <f t="shared" si="12"/>
        <v>0</v>
      </c>
      <c r="Y27" s="1241">
        <f t="shared" si="13"/>
        <v>0</v>
      </c>
      <c r="Z27" s="1245">
        <f t="shared" si="14"/>
        <v>0</v>
      </c>
      <c r="AA27" s="1246">
        <f>INDEX(Tiere!P$30:P$79,'Berech. Lagerraum flüssig+fest'!$AP27)</f>
        <v>0</v>
      </c>
      <c r="AB27" s="1244">
        <f t="shared" si="15"/>
        <v>0</v>
      </c>
      <c r="AC27" s="1241">
        <f t="shared" si="16"/>
        <v>0</v>
      </c>
      <c r="AD27" s="1245">
        <f t="shared" si="17"/>
        <v>0</v>
      </c>
      <c r="AE27" s="1241"/>
      <c r="AF27" s="1244">
        <f t="shared" si="18"/>
        <v>0</v>
      </c>
      <c r="AG27" s="1241">
        <f t="shared" si="4"/>
        <v>0</v>
      </c>
      <c r="AH27" s="1247">
        <f t="shared" si="5"/>
        <v>0</v>
      </c>
      <c r="AI27" s="1248">
        <f t="shared" si="6"/>
        <v>0</v>
      </c>
      <c r="AJ27" s="1251">
        <f t="shared" si="19"/>
        <v>0</v>
      </c>
      <c r="AK27" s="1248">
        <f t="shared" si="20"/>
        <v>0</v>
      </c>
      <c r="AL27" s="1251">
        <f t="shared" ref="AL27:AL36" si="29">IF(AO27=2,3.2,IF(AO27=3,3.3,0))</f>
        <v>0</v>
      </c>
      <c r="AM27" s="1251">
        <f t="shared" si="21"/>
        <v>0</v>
      </c>
      <c r="AN27" s="1251">
        <f t="shared" si="22"/>
        <v>0</v>
      </c>
      <c r="AO27" s="1252">
        <f t="shared" si="23"/>
        <v>1</v>
      </c>
      <c r="AP27" s="1253">
        <v>1</v>
      </c>
      <c r="AQ27" s="1253">
        <v>1</v>
      </c>
      <c r="AR27" s="1252">
        <f>INDEX(Tiere!C$30:C$79,'Berech. Lagerraum flüssig+fest'!$AP27)</f>
        <v>0</v>
      </c>
      <c r="AS27" s="1252" t="str">
        <f t="shared" si="24"/>
        <v>1</v>
      </c>
      <c r="AT27" s="1252">
        <f t="shared" si="25"/>
        <v>0</v>
      </c>
      <c r="AU27" s="1251">
        <f>INDEX(Tiere!D$30:D$79,'Berech. Lagerraum flüssig+fest'!$AP27)</f>
        <v>0</v>
      </c>
      <c r="AV27" s="1247">
        <f>INDEX(Tiere!E$30:E$79,'Berech. Lagerraum flüssig+fest'!$AP27)</f>
        <v>0</v>
      </c>
      <c r="AW27" s="1248">
        <f>INDEX(Tiere!F$30:F$79,'Berech. Lagerraum flüssig+fest'!$AP27)</f>
        <v>0</v>
      </c>
      <c r="AX27" s="1247">
        <f>INDEX(Tiere!J$30:J$79,'Berech. Lagerraum flüssig+fest'!$AP27)</f>
        <v>0</v>
      </c>
      <c r="AY27" s="1247">
        <f>INDEX(Tiere!R$30:R$79,'Berech. Lagerraum flüssig+fest'!$AP27)</f>
        <v>0</v>
      </c>
      <c r="AZ27" s="1251">
        <f>INDEX(Tiere!M$30:M$79,'Berech. Lagerraum flüssig+fest'!$AP27)</f>
        <v>0</v>
      </c>
      <c r="BA27" s="1247">
        <f>INDEX(Tiere!N$30:N$79,'Berech. Lagerraum flüssig+fest'!$AP27)</f>
        <v>0</v>
      </c>
      <c r="BB27" s="1248">
        <f>INDEX(Tiere!O$30:O$79,'Berech. Lagerraum flüssig+fest'!$AP27)</f>
        <v>0</v>
      </c>
      <c r="BC27" s="1251">
        <f>INDEX(Tiere!T$30:T$79,'Berech. Lagerraum flüssig+fest'!$AP27)</f>
        <v>0</v>
      </c>
      <c r="BD27" s="1248">
        <f>INDEX(Tiere!U$30:U$79,'Berech. Lagerraum flüssig+fest'!$AP27)</f>
        <v>0</v>
      </c>
      <c r="BE27" s="1254">
        <f>INDEX(Tiere!V$30:V$79,'Berech. Lagerraum flüssig+fest'!$AP27)</f>
        <v>0</v>
      </c>
      <c r="BF27" s="1248">
        <f>INDEX(Tiere!W$30:W$79,'Berech. Lagerraum flüssig+fest'!$AP27)</f>
        <v>0</v>
      </c>
      <c r="BG27" s="1248">
        <f>INDEX(Tiere!X$30:X$79,'Berech. Lagerraum flüssig+fest'!$AP27)</f>
        <v>0</v>
      </c>
      <c r="BH27" s="1248">
        <f>INDEX(Tiere!Y$30:Y$79,'Berech. Lagerraum flüssig+fest'!$AP27)</f>
        <v>0</v>
      </c>
      <c r="BI27" s="1241">
        <v>5</v>
      </c>
      <c r="BJ27" s="1241">
        <v>3</v>
      </c>
      <c r="BK27" s="1245">
        <v>17</v>
      </c>
      <c r="BL27" s="1245">
        <f>INDEX(Tiere!Z$30:Z$79,'Berech. Lagerraum flüssig+fest'!$AP27)</f>
        <v>0</v>
      </c>
      <c r="BM27" s="1245">
        <f>INDEX(Tiere!AA$30:AA$79,'Berech. Lagerraum flüssig+fest'!$AP27)</f>
        <v>0</v>
      </c>
      <c r="BN27" s="1244">
        <f t="shared" ref="BN27:BN36" si="30">IF(N27=" ",0,BL27*N27)</f>
        <v>0</v>
      </c>
      <c r="BO27" s="1245">
        <f t="shared" ref="BO27:BO36" si="31">IF(N27=" ",0,BM27*N27)</f>
        <v>0</v>
      </c>
      <c r="BP27" s="1241">
        <f t="shared" si="26"/>
        <v>0</v>
      </c>
      <c r="BQ27" s="1245">
        <f t="shared" si="27"/>
        <v>0</v>
      </c>
      <c r="BR27" s="1241"/>
      <c r="BS27" s="1241" t="b">
        <f t="shared" si="28"/>
        <v>0</v>
      </c>
      <c r="BT27" s="1241"/>
      <c r="BU27" s="1241"/>
      <c r="BV27" s="33"/>
      <c r="BW27" s="33"/>
      <c r="BX27" s="33"/>
      <c r="BY27" s="33"/>
      <c r="BZ27" s="33"/>
      <c r="CA27" s="33"/>
      <c r="CB27" s="33"/>
      <c r="CC27" s="33"/>
    </row>
    <row r="28" spans="1:83" ht="15.75" customHeight="1" x14ac:dyDescent="0.2">
      <c r="A28" s="1354"/>
      <c r="B28" s="1355"/>
      <c r="C28" s="1355"/>
      <c r="D28" s="1030"/>
      <c r="E28" s="1061"/>
      <c r="F28" s="674"/>
      <c r="G28" s="1030"/>
      <c r="H28" s="1058"/>
      <c r="I28" s="1059" t="str">
        <f t="shared" si="7"/>
        <v xml:space="preserve"> </v>
      </c>
      <c r="J28" s="1059" t="str">
        <f t="shared" si="0"/>
        <v xml:space="preserve"> </v>
      </c>
      <c r="K28" s="33"/>
      <c r="L28" s="33"/>
      <c r="M28" s="1241"/>
      <c r="N28" s="1241" t="str">
        <f t="shared" si="1"/>
        <v xml:space="preserve"> </v>
      </c>
      <c r="O28" s="1241"/>
      <c r="P28" s="1242">
        <f t="shared" si="2"/>
        <v>0</v>
      </c>
      <c r="Q28" s="1243">
        <f t="shared" si="3"/>
        <v>0</v>
      </c>
      <c r="R28" s="1244">
        <f t="shared" si="8"/>
        <v>0</v>
      </c>
      <c r="S28" s="1241">
        <f t="shared" si="9"/>
        <v>0</v>
      </c>
      <c r="T28" s="1241">
        <f t="shared" si="10"/>
        <v>0</v>
      </c>
      <c r="U28" s="1245">
        <f t="shared" si="11"/>
        <v>0</v>
      </c>
      <c r="V28" s="1246">
        <f>INDEX(Tiere!K$30:K$79,'Berech. Lagerraum flüssig+fest'!$AP28)</f>
        <v>0</v>
      </c>
      <c r="W28" s="1246">
        <f>INDEX(Tiere!S$30:S$79,'Berech. Lagerraum flüssig+fest'!AP28)</f>
        <v>0</v>
      </c>
      <c r="X28" s="1244">
        <f t="shared" si="12"/>
        <v>0</v>
      </c>
      <c r="Y28" s="1241">
        <f t="shared" si="13"/>
        <v>0</v>
      </c>
      <c r="Z28" s="1245">
        <f t="shared" si="14"/>
        <v>0</v>
      </c>
      <c r="AA28" s="1246">
        <f>INDEX(Tiere!P$30:P$79,'Berech. Lagerraum flüssig+fest'!$AP28)</f>
        <v>0</v>
      </c>
      <c r="AB28" s="1244">
        <f t="shared" si="15"/>
        <v>0</v>
      </c>
      <c r="AC28" s="1241">
        <f t="shared" si="16"/>
        <v>0</v>
      </c>
      <c r="AD28" s="1245">
        <f t="shared" si="17"/>
        <v>0</v>
      </c>
      <c r="AE28" s="1241"/>
      <c r="AF28" s="1244">
        <f t="shared" si="18"/>
        <v>0</v>
      </c>
      <c r="AG28" s="1241">
        <f t="shared" si="4"/>
        <v>0</v>
      </c>
      <c r="AH28" s="1247">
        <f t="shared" si="5"/>
        <v>0</v>
      </c>
      <c r="AI28" s="1248">
        <f t="shared" si="6"/>
        <v>0</v>
      </c>
      <c r="AJ28" s="1251">
        <f t="shared" si="19"/>
        <v>0</v>
      </c>
      <c r="AK28" s="1248">
        <f t="shared" si="20"/>
        <v>0</v>
      </c>
      <c r="AL28" s="1251">
        <f t="shared" si="29"/>
        <v>0</v>
      </c>
      <c r="AM28" s="1251">
        <f t="shared" si="21"/>
        <v>0</v>
      </c>
      <c r="AN28" s="1251">
        <f t="shared" si="22"/>
        <v>0</v>
      </c>
      <c r="AO28" s="1252">
        <f t="shared" si="23"/>
        <v>1</v>
      </c>
      <c r="AP28" s="1253">
        <v>1</v>
      </c>
      <c r="AQ28" s="1253">
        <v>1</v>
      </c>
      <c r="AR28" s="1252">
        <f>INDEX(Tiere!C$30:C$79,'Berech. Lagerraum flüssig+fest'!$AP28)</f>
        <v>0</v>
      </c>
      <c r="AS28" s="1252" t="str">
        <f t="shared" si="24"/>
        <v>1</v>
      </c>
      <c r="AT28" s="1252">
        <f t="shared" si="25"/>
        <v>0</v>
      </c>
      <c r="AU28" s="1251">
        <f>INDEX(Tiere!D$30:D$79,'Berech. Lagerraum flüssig+fest'!$AP28)</f>
        <v>0</v>
      </c>
      <c r="AV28" s="1247">
        <f>INDEX(Tiere!E$30:E$79,'Berech. Lagerraum flüssig+fest'!$AP28)</f>
        <v>0</v>
      </c>
      <c r="AW28" s="1248">
        <f>INDEX(Tiere!F$30:F$79,'Berech. Lagerraum flüssig+fest'!$AP28)</f>
        <v>0</v>
      </c>
      <c r="AX28" s="1247">
        <f>INDEX(Tiere!J$30:J$79,'Berech. Lagerraum flüssig+fest'!$AP28)</f>
        <v>0</v>
      </c>
      <c r="AY28" s="1247">
        <f>INDEX(Tiere!R$30:R$79,'Berech. Lagerraum flüssig+fest'!$AP28)</f>
        <v>0</v>
      </c>
      <c r="AZ28" s="1251">
        <f>INDEX(Tiere!M$30:M$79,'Berech. Lagerraum flüssig+fest'!$AP28)</f>
        <v>0</v>
      </c>
      <c r="BA28" s="1247">
        <f>INDEX(Tiere!N$30:N$79,'Berech. Lagerraum flüssig+fest'!$AP28)</f>
        <v>0</v>
      </c>
      <c r="BB28" s="1248">
        <f>INDEX(Tiere!O$30:O$79,'Berech. Lagerraum flüssig+fest'!$AP28)</f>
        <v>0</v>
      </c>
      <c r="BC28" s="1251">
        <f>INDEX(Tiere!T$30:T$79,'Berech. Lagerraum flüssig+fest'!$AP28)</f>
        <v>0</v>
      </c>
      <c r="BD28" s="1248">
        <f>INDEX(Tiere!U$30:U$79,'Berech. Lagerraum flüssig+fest'!$AP28)</f>
        <v>0</v>
      </c>
      <c r="BE28" s="1254">
        <f>INDEX(Tiere!V$30:V$79,'Berech. Lagerraum flüssig+fest'!$AP28)</f>
        <v>0</v>
      </c>
      <c r="BF28" s="1248">
        <f>INDEX(Tiere!W$30:W$79,'Berech. Lagerraum flüssig+fest'!$AP28)</f>
        <v>0</v>
      </c>
      <c r="BG28" s="1248">
        <f>INDEX(Tiere!X$30:X$79,'Berech. Lagerraum flüssig+fest'!$AP28)</f>
        <v>0</v>
      </c>
      <c r="BH28" s="1248">
        <f>INDEX(Tiere!Y$30:Y$79,'Berech. Lagerraum flüssig+fest'!$AP28)</f>
        <v>0</v>
      </c>
      <c r="BI28" s="1241">
        <v>5</v>
      </c>
      <c r="BJ28" s="1241">
        <v>3</v>
      </c>
      <c r="BK28" s="1245">
        <v>17</v>
      </c>
      <c r="BL28" s="1245">
        <f>INDEX(Tiere!Z$30:Z$79,'Berech. Lagerraum flüssig+fest'!$AP28)</f>
        <v>0</v>
      </c>
      <c r="BM28" s="1245">
        <f>INDEX(Tiere!AA$30:AA$79,'Berech. Lagerraum flüssig+fest'!$AP28)</f>
        <v>0</v>
      </c>
      <c r="BN28" s="1244">
        <f t="shared" si="30"/>
        <v>0</v>
      </c>
      <c r="BO28" s="1245">
        <f t="shared" si="31"/>
        <v>0</v>
      </c>
      <c r="BP28" s="1241">
        <f t="shared" si="26"/>
        <v>0</v>
      </c>
      <c r="BQ28" s="1245">
        <f t="shared" si="27"/>
        <v>0</v>
      </c>
      <c r="BR28" s="1241"/>
      <c r="BS28" s="1241" t="b">
        <f t="shared" si="28"/>
        <v>0</v>
      </c>
      <c r="BT28" s="1241"/>
      <c r="BU28" s="1241"/>
      <c r="BV28" s="33"/>
      <c r="BW28" s="33"/>
      <c r="BX28" s="33"/>
      <c r="BY28" s="33"/>
      <c r="BZ28" s="33"/>
      <c r="CA28" s="33"/>
      <c r="CB28" s="33"/>
      <c r="CC28" s="33"/>
    </row>
    <row r="29" spans="1:83" ht="15.75" customHeight="1" x14ac:dyDescent="0.2">
      <c r="A29" s="1354"/>
      <c r="B29" s="1355"/>
      <c r="C29" s="1355"/>
      <c r="D29" s="1030"/>
      <c r="E29" s="1061"/>
      <c r="F29" s="674"/>
      <c r="G29" s="1030"/>
      <c r="H29" s="1058"/>
      <c r="I29" s="1059" t="str">
        <f t="shared" si="7"/>
        <v xml:space="preserve"> </v>
      </c>
      <c r="J29" s="1059" t="str">
        <f t="shared" si="0"/>
        <v xml:space="preserve"> </v>
      </c>
      <c r="K29" s="34"/>
      <c r="L29" s="34"/>
      <c r="M29" s="1212"/>
      <c r="N29" s="1241" t="str">
        <f t="shared" si="1"/>
        <v xml:space="preserve"> </v>
      </c>
      <c r="O29" s="1241"/>
      <c r="P29" s="1242">
        <f t="shared" si="2"/>
        <v>0</v>
      </c>
      <c r="Q29" s="1243">
        <f t="shared" si="3"/>
        <v>0</v>
      </c>
      <c r="R29" s="1244">
        <f t="shared" si="8"/>
        <v>0</v>
      </c>
      <c r="S29" s="1241">
        <f t="shared" si="9"/>
        <v>0</v>
      </c>
      <c r="T29" s="1241">
        <f t="shared" si="10"/>
        <v>0</v>
      </c>
      <c r="U29" s="1245">
        <f t="shared" si="11"/>
        <v>0</v>
      </c>
      <c r="V29" s="1246">
        <f>INDEX(Tiere!K$30:K$79,'Berech. Lagerraum flüssig+fest'!$AP29)</f>
        <v>0</v>
      </c>
      <c r="W29" s="1246">
        <f>INDEX(Tiere!S$30:S$79,'Berech. Lagerraum flüssig+fest'!AP29)</f>
        <v>0</v>
      </c>
      <c r="X29" s="1244">
        <f t="shared" si="12"/>
        <v>0</v>
      </c>
      <c r="Y29" s="1241">
        <f t="shared" si="13"/>
        <v>0</v>
      </c>
      <c r="Z29" s="1245">
        <f t="shared" si="14"/>
        <v>0</v>
      </c>
      <c r="AA29" s="1246">
        <f>INDEX(Tiere!P$30:P$79,'Berech. Lagerraum flüssig+fest'!$AP29)</f>
        <v>0</v>
      </c>
      <c r="AB29" s="1244">
        <f t="shared" si="15"/>
        <v>0</v>
      </c>
      <c r="AC29" s="1241">
        <f t="shared" si="16"/>
        <v>0</v>
      </c>
      <c r="AD29" s="1245">
        <f t="shared" si="17"/>
        <v>0</v>
      </c>
      <c r="AE29" s="1241"/>
      <c r="AF29" s="1244">
        <f t="shared" si="18"/>
        <v>0</v>
      </c>
      <c r="AG29" s="1241">
        <f t="shared" si="4"/>
        <v>0</v>
      </c>
      <c r="AH29" s="1247">
        <f t="shared" si="5"/>
        <v>0</v>
      </c>
      <c r="AI29" s="1248">
        <f t="shared" si="6"/>
        <v>0</v>
      </c>
      <c r="AJ29" s="1251">
        <f t="shared" si="19"/>
        <v>0</v>
      </c>
      <c r="AK29" s="1248">
        <f t="shared" si="20"/>
        <v>0</v>
      </c>
      <c r="AL29" s="1251">
        <f t="shared" si="29"/>
        <v>0</v>
      </c>
      <c r="AM29" s="1251">
        <f t="shared" si="21"/>
        <v>0</v>
      </c>
      <c r="AN29" s="1251">
        <f t="shared" si="22"/>
        <v>0</v>
      </c>
      <c r="AO29" s="1252">
        <f t="shared" si="23"/>
        <v>1</v>
      </c>
      <c r="AP29" s="1253">
        <v>1</v>
      </c>
      <c r="AQ29" s="1253">
        <v>1</v>
      </c>
      <c r="AR29" s="1252">
        <f>INDEX(Tiere!C$30:C$79,'Berech. Lagerraum flüssig+fest'!$AP29)</f>
        <v>0</v>
      </c>
      <c r="AS29" s="1252" t="str">
        <f t="shared" si="24"/>
        <v>1</v>
      </c>
      <c r="AT29" s="1252">
        <f t="shared" si="25"/>
        <v>0</v>
      </c>
      <c r="AU29" s="1251">
        <f>INDEX(Tiere!D$30:D$79,'Berech. Lagerraum flüssig+fest'!$AP29)</f>
        <v>0</v>
      </c>
      <c r="AV29" s="1247">
        <f>INDEX(Tiere!E$30:E$79,'Berech. Lagerraum flüssig+fest'!$AP29)</f>
        <v>0</v>
      </c>
      <c r="AW29" s="1248">
        <f>INDEX(Tiere!F$30:F$79,'Berech. Lagerraum flüssig+fest'!$AP29)</f>
        <v>0</v>
      </c>
      <c r="AX29" s="1247">
        <f>INDEX(Tiere!J$30:J$79,'Berech. Lagerraum flüssig+fest'!$AP29)</f>
        <v>0</v>
      </c>
      <c r="AY29" s="1247">
        <f>INDEX(Tiere!R$30:R$79,'Berech. Lagerraum flüssig+fest'!$AP29)</f>
        <v>0</v>
      </c>
      <c r="AZ29" s="1251">
        <f>INDEX(Tiere!M$30:M$79,'Berech. Lagerraum flüssig+fest'!$AP29)</f>
        <v>0</v>
      </c>
      <c r="BA29" s="1247">
        <f>INDEX(Tiere!N$30:N$79,'Berech. Lagerraum flüssig+fest'!$AP29)</f>
        <v>0</v>
      </c>
      <c r="BB29" s="1248">
        <f>INDEX(Tiere!O$30:O$79,'Berech. Lagerraum flüssig+fest'!$AP29)</f>
        <v>0</v>
      </c>
      <c r="BC29" s="1251">
        <f>INDEX(Tiere!T$30:T$79,'Berech. Lagerraum flüssig+fest'!$AP29)</f>
        <v>0</v>
      </c>
      <c r="BD29" s="1248">
        <f>INDEX(Tiere!U$30:U$79,'Berech. Lagerraum flüssig+fest'!$AP29)</f>
        <v>0</v>
      </c>
      <c r="BE29" s="1254">
        <f>INDEX(Tiere!V$30:V$79,'Berech. Lagerraum flüssig+fest'!$AP29)</f>
        <v>0</v>
      </c>
      <c r="BF29" s="1248">
        <f>INDEX(Tiere!W$30:W$79,'Berech. Lagerraum flüssig+fest'!$AP29)</f>
        <v>0</v>
      </c>
      <c r="BG29" s="1248">
        <f>INDEX(Tiere!X$30:X$79,'Berech. Lagerraum flüssig+fest'!$AP29)</f>
        <v>0</v>
      </c>
      <c r="BH29" s="1248">
        <f>INDEX(Tiere!Y$30:Y$79,'Berech. Lagerraum flüssig+fest'!$AP29)</f>
        <v>0</v>
      </c>
      <c r="BI29" s="1212">
        <v>5</v>
      </c>
      <c r="BJ29" s="1212">
        <v>3</v>
      </c>
      <c r="BK29" s="1235">
        <v>17</v>
      </c>
      <c r="BL29" s="1245">
        <f>INDEX(Tiere!Z$30:Z$79,'Berech. Lagerraum flüssig+fest'!$AP29)</f>
        <v>0</v>
      </c>
      <c r="BM29" s="1245">
        <f>INDEX(Tiere!AA$30:AA$79,'Berech. Lagerraum flüssig+fest'!$AP29)</f>
        <v>0</v>
      </c>
      <c r="BN29" s="1244">
        <f t="shared" si="30"/>
        <v>0</v>
      </c>
      <c r="BO29" s="1245">
        <f t="shared" si="31"/>
        <v>0</v>
      </c>
      <c r="BP29" s="1241">
        <f t="shared" si="26"/>
        <v>0</v>
      </c>
      <c r="BQ29" s="1245">
        <f t="shared" si="27"/>
        <v>0</v>
      </c>
      <c r="BR29" s="1212"/>
      <c r="BS29" s="1241" t="b">
        <f t="shared" si="28"/>
        <v>0</v>
      </c>
      <c r="BT29" s="1212"/>
      <c r="BU29" s="1212"/>
      <c r="BV29" s="34"/>
      <c r="BW29" s="34"/>
      <c r="BX29" s="34"/>
      <c r="BY29" s="34"/>
      <c r="BZ29" s="34"/>
      <c r="CA29" s="34"/>
      <c r="CB29" s="34"/>
      <c r="CC29" s="33"/>
      <c r="CD29" s="53"/>
    </row>
    <row r="30" spans="1:83" ht="15.75" customHeight="1" x14ac:dyDescent="0.2">
      <c r="A30" s="1354"/>
      <c r="B30" s="1355"/>
      <c r="C30" s="1355"/>
      <c r="D30" s="1030"/>
      <c r="E30" s="1061"/>
      <c r="F30" s="674"/>
      <c r="G30" s="1030"/>
      <c r="H30" s="1058"/>
      <c r="I30" s="1059" t="str">
        <f t="shared" si="7"/>
        <v xml:space="preserve"> </v>
      </c>
      <c r="J30" s="1059" t="str">
        <f t="shared" si="0"/>
        <v xml:space="preserve"> </v>
      </c>
      <c r="K30" s="34"/>
      <c r="L30" s="34"/>
      <c r="M30" s="1212"/>
      <c r="N30" s="1241" t="str">
        <f t="shared" si="1"/>
        <v xml:space="preserve"> </v>
      </c>
      <c r="O30" s="1241"/>
      <c r="P30" s="1242">
        <f t="shared" si="2"/>
        <v>0</v>
      </c>
      <c r="Q30" s="1243">
        <f t="shared" si="3"/>
        <v>0</v>
      </c>
      <c r="R30" s="1244">
        <f t="shared" si="8"/>
        <v>0</v>
      </c>
      <c r="S30" s="1241">
        <f t="shared" si="9"/>
        <v>0</v>
      </c>
      <c r="T30" s="1241">
        <f t="shared" si="10"/>
        <v>0</v>
      </c>
      <c r="U30" s="1245">
        <f t="shared" si="11"/>
        <v>0</v>
      </c>
      <c r="V30" s="1246">
        <f>INDEX(Tiere!K$30:K$79,'Berech. Lagerraum flüssig+fest'!$AP30)</f>
        <v>0</v>
      </c>
      <c r="W30" s="1246">
        <f>INDEX(Tiere!S$30:S$79,'Berech. Lagerraum flüssig+fest'!AP30)</f>
        <v>0</v>
      </c>
      <c r="X30" s="1244">
        <f t="shared" si="12"/>
        <v>0</v>
      </c>
      <c r="Y30" s="1241">
        <f t="shared" si="13"/>
        <v>0</v>
      </c>
      <c r="Z30" s="1245">
        <f t="shared" si="14"/>
        <v>0</v>
      </c>
      <c r="AA30" s="1246">
        <f>INDEX(Tiere!P$30:P$79,'Berech. Lagerraum flüssig+fest'!$AP30)</f>
        <v>0</v>
      </c>
      <c r="AB30" s="1244">
        <f t="shared" si="15"/>
        <v>0</v>
      </c>
      <c r="AC30" s="1241">
        <f t="shared" si="16"/>
        <v>0</v>
      </c>
      <c r="AD30" s="1245">
        <f t="shared" si="17"/>
        <v>0</v>
      </c>
      <c r="AE30" s="1241"/>
      <c r="AF30" s="1244">
        <f t="shared" si="18"/>
        <v>0</v>
      </c>
      <c r="AG30" s="1241">
        <f t="shared" si="4"/>
        <v>0</v>
      </c>
      <c r="AH30" s="1247">
        <f t="shared" si="5"/>
        <v>0</v>
      </c>
      <c r="AI30" s="1248">
        <f t="shared" si="6"/>
        <v>0</v>
      </c>
      <c r="AJ30" s="1251">
        <f t="shared" si="19"/>
        <v>0</v>
      </c>
      <c r="AK30" s="1248">
        <f t="shared" si="20"/>
        <v>0</v>
      </c>
      <c r="AL30" s="1251">
        <f t="shared" si="29"/>
        <v>0</v>
      </c>
      <c r="AM30" s="1251">
        <f t="shared" si="21"/>
        <v>0</v>
      </c>
      <c r="AN30" s="1251">
        <f t="shared" si="22"/>
        <v>0</v>
      </c>
      <c r="AO30" s="1252">
        <f t="shared" si="23"/>
        <v>1</v>
      </c>
      <c r="AP30" s="1253">
        <v>1</v>
      </c>
      <c r="AQ30" s="1253">
        <v>1</v>
      </c>
      <c r="AR30" s="1252">
        <f>INDEX(Tiere!C$30:C$79,'Berech. Lagerraum flüssig+fest'!$AP30)</f>
        <v>0</v>
      </c>
      <c r="AS30" s="1252" t="str">
        <f t="shared" si="24"/>
        <v>1</v>
      </c>
      <c r="AT30" s="1252">
        <f t="shared" si="25"/>
        <v>0</v>
      </c>
      <c r="AU30" s="1251">
        <f>INDEX(Tiere!D$30:D$79,'Berech. Lagerraum flüssig+fest'!$AP30)</f>
        <v>0</v>
      </c>
      <c r="AV30" s="1247">
        <f>INDEX(Tiere!E$30:E$79,'Berech. Lagerraum flüssig+fest'!$AP30)</f>
        <v>0</v>
      </c>
      <c r="AW30" s="1248">
        <f>INDEX(Tiere!F$30:F$79,'Berech. Lagerraum flüssig+fest'!$AP30)</f>
        <v>0</v>
      </c>
      <c r="AX30" s="1247">
        <f>INDEX(Tiere!J$30:J$79,'Berech. Lagerraum flüssig+fest'!$AP30)</f>
        <v>0</v>
      </c>
      <c r="AY30" s="1247">
        <f>INDEX(Tiere!R$30:R$79,'Berech. Lagerraum flüssig+fest'!$AP30)</f>
        <v>0</v>
      </c>
      <c r="AZ30" s="1251">
        <f>INDEX(Tiere!M$30:M$79,'Berech. Lagerraum flüssig+fest'!$AP30)</f>
        <v>0</v>
      </c>
      <c r="BA30" s="1247">
        <f>INDEX(Tiere!N$30:N$79,'Berech. Lagerraum flüssig+fest'!$AP30)</f>
        <v>0</v>
      </c>
      <c r="BB30" s="1248">
        <f>INDEX(Tiere!O$30:O$79,'Berech. Lagerraum flüssig+fest'!$AP30)</f>
        <v>0</v>
      </c>
      <c r="BC30" s="1251">
        <f>INDEX(Tiere!T$30:T$79,'Berech. Lagerraum flüssig+fest'!$AP30)</f>
        <v>0</v>
      </c>
      <c r="BD30" s="1248">
        <f>INDEX(Tiere!U$30:U$79,'Berech. Lagerraum flüssig+fest'!$AP30)</f>
        <v>0</v>
      </c>
      <c r="BE30" s="1254">
        <f>INDEX(Tiere!V$30:V$79,'Berech. Lagerraum flüssig+fest'!$AP30)</f>
        <v>0</v>
      </c>
      <c r="BF30" s="1248">
        <f>INDEX(Tiere!W$30:W$79,'Berech. Lagerraum flüssig+fest'!$AP30)</f>
        <v>0</v>
      </c>
      <c r="BG30" s="1248">
        <f>INDEX(Tiere!X$30:X$79,'Berech. Lagerraum flüssig+fest'!$AP30)</f>
        <v>0</v>
      </c>
      <c r="BH30" s="1248">
        <f>INDEX(Tiere!Y$30:Y$79,'Berech. Lagerraum flüssig+fest'!$AP30)</f>
        <v>0</v>
      </c>
      <c r="BI30" s="1212">
        <v>5</v>
      </c>
      <c r="BJ30" s="1212">
        <v>3</v>
      </c>
      <c r="BK30" s="1235">
        <v>17</v>
      </c>
      <c r="BL30" s="1245">
        <f>INDEX(Tiere!Z$30:Z$79,'Berech. Lagerraum flüssig+fest'!$AP30)</f>
        <v>0</v>
      </c>
      <c r="BM30" s="1245">
        <f>INDEX(Tiere!AA$30:AA$79,'Berech. Lagerraum flüssig+fest'!$AP30)</f>
        <v>0</v>
      </c>
      <c r="BN30" s="1244">
        <f t="shared" si="30"/>
        <v>0</v>
      </c>
      <c r="BO30" s="1245">
        <f t="shared" si="31"/>
        <v>0</v>
      </c>
      <c r="BP30" s="1241">
        <f t="shared" si="26"/>
        <v>0</v>
      </c>
      <c r="BQ30" s="1245">
        <f t="shared" si="27"/>
        <v>0</v>
      </c>
      <c r="BR30" s="1212"/>
      <c r="BS30" s="1241" t="b">
        <f t="shared" si="28"/>
        <v>0</v>
      </c>
      <c r="BT30" s="1212"/>
      <c r="BU30" s="1212"/>
      <c r="BV30" s="34"/>
      <c r="BW30" s="34"/>
      <c r="BX30" s="34"/>
      <c r="BY30" s="34"/>
      <c r="BZ30" s="34"/>
      <c r="CA30" s="34"/>
      <c r="CB30" s="34"/>
      <c r="CC30" s="33"/>
    </row>
    <row r="31" spans="1:83" ht="15.75" customHeight="1" x14ac:dyDescent="0.2">
      <c r="A31" s="1354"/>
      <c r="B31" s="1355"/>
      <c r="C31" s="1355"/>
      <c r="D31" s="1030"/>
      <c r="E31" s="1061"/>
      <c r="F31" s="674"/>
      <c r="G31" s="1030"/>
      <c r="H31" s="1058"/>
      <c r="I31" s="1059" t="str">
        <f t="shared" si="7"/>
        <v xml:space="preserve"> </v>
      </c>
      <c r="J31" s="1059" t="str">
        <f t="shared" si="0"/>
        <v xml:space="preserve"> </v>
      </c>
      <c r="K31" s="34"/>
      <c r="L31" s="34"/>
      <c r="M31" s="1212"/>
      <c r="N31" s="1241" t="str">
        <f t="shared" si="1"/>
        <v xml:space="preserve"> </v>
      </c>
      <c r="O31" s="1241"/>
      <c r="P31" s="1242">
        <f t="shared" si="2"/>
        <v>0</v>
      </c>
      <c r="Q31" s="1243">
        <f t="shared" si="3"/>
        <v>0</v>
      </c>
      <c r="R31" s="1244">
        <f t="shared" si="8"/>
        <v>0</v>
      </c>
      <c r="S31" s="1241">
        <f t="shared" si="9"/>
        <v>0</v>
      </c>
      <c r="T31" s="1241">
        <f t="shared" si="10"/>
        <v>0</v>
      </c>
      <c r="U31" s="1245">
        <f t="shared" si="11"/>
        <v>0</v>
      </c>
      <c r="V31" s="1246">
        <f>INDEX(Tiere!K$30:K$79,'Berech. Lagerraum flüssig+fest'!$AP31)</f>
        <v>0</v>
      </c>
      <c r="W31" s="1246">
        <f>INDEX(Tiere!S$30:S$79,'Berech. Lagerraum flüssig+fest'!AP31)</f>
        <v>0</v>
      </c>
      <c r="X31" s="1244">
        <f t="shared" si="12"/>
        <v>0</v>
      </c>
      <c r="Y31" s="1241">
        <f t="shared" si="13"/>
        <v>0</v>
      </c>
      <c r="Z31" s="1245">
        <f t="shared" si="14"/>
        <v>0</v>
      </c>
      <c r="AA31" s="1246">
        <f>INDEX(Tiere!P$30:P$79,'Berech. Lagerraum flüssig+fest'!$AP31)</f>
        <v>0</v>
      </c>
      <c r="AB31" s="1244">
        <f t="shared" si="15"/>
        <v>0</v>
      </c>
      <c r="AC31" s="1241">
        <f t="shared" si="16"/>
        <v>0</v>
      </c>
      <c r="AD31" s="1245">
        <f t="shared" si="17"/>
        <v>0</v>
      </c>
      <c r="AE31" s="1241"/>
      <c r="AF31" s="1244">
        <f t="shared" si="18"/>
        <v>0</v>
      </c>
      <c r="AG31" s="1241">
        <f t="shared" si="4"/>
        <v>0</v>
      </c>
      <c r="AH31" s="1247">
        <f t="shared" si="5"/>
        <v>0</v>
      </c>
      <c r="AI31" s="1248">
        <f t="shared" si="6"/>
        <v>0</v>
      </c>
      <c r="AJ31" s="1251">
        <f t="shared" si="19"/>
        <v>0</v>
      </c>
      <c r="AK31" s="1248">
        <f t="shared" si="20"/>
        <v>0</v>
      </c>
      <c r="AL31" s="1251">
        <f t="shared" si="29"/>
        <v>0</v>
      </c>
      <c r="AM31" s="1251">
        <f t="shared" si="21"/>
        <v>0</v>
      </c>
      <c r="AN31" s="1251">
        <f t="shared" si="22"/>
        <v>0</v>
      </c>
      <c r="AO31" s="1252">
        <f t="shared" si="23"/>
        <v>1</v>
      </c>
      <c r="AP31" s="1253">
        <v>1</v>
      </c>
      <c r="AQ31" s="1253">
        <v>1</v>
      </c>
      <c r="AR31" s="1252">
        <f>INDEX(Tiere!C$30:C$79,'Berech. Lagerraum flüssig+fest'!$AP31)</f>
        <v>0</v>
      </c>
      <c r="AS31" s="1252" t="str">
        <f t="shared" si="24"/>
        <v>1</v>
      </c>
      <c r="AT31" s="1252">
        <f t="shared" si="25"/>
        <v>0</v>
      </c>
      <c r="AU31" s="1251">
        <f>INDEX(Tiere!D$30:D$79,'Berech. Lagerraum flüssig+fest'!$AP31)</f>
        <v>0</v>
      </c>
      <c r="AV31" s="1247">
        <f>INDEX(Tiere!E$30:E$79,'Berech. Lagerraum flüssig+fest'!$AP31)</f>
        <v>0</v>
      </c>
      <c r="AW31" s="1248">
        <f>INDEX(Tiere!F$30:F$79,'Berech. Lagerraum flüssig+fest'!$AP31)</f>
        <v>0</v>
      </c>
      <c r="AX31" s="1247">
        <f>INDEX(Tiere!J$30:J$79,'Berech. Lagerraum flüssig+fest'!$AP31)</f>
        <v>0</v>
      </c>
      <c r="AY31" s="1247">
        <f>INDEX(Tiere!R$30:R$79,'Berech. Lagerraum flüssig+fest'!$AP31)</f>
        <v>0</v>
      </c>
      <c r="AZ31" s="1251">
        <f>INDEX(Tiere!M$30:M$79,'Berech. Lagerraum flüssig+fest'!$AP31)</f>
        <v>0</v>
      </c>
      <c r="BA31" s="1247">
        <f>INDEX(Tiere!N$30:N$79,'Berech. Lagerraum flüssig+fest'!$AP31)</f>
        <v>0</v>
      </c>
      <c r="BB31" s="1248">
        <f>INDEX(Tiere!O$30:O$79,'Berech. Lagerraum flüssig+fest'!$AP31)</f>
        <v>0</v>
      </c>
      <c r="BC31" s="1251">
        <f>INDEX(Tiere!T$30:T$79,'Berech. Lagerraum flüssig+fest'!$AP31)</f>
        <v>0</v>
      </c>
      <c r="BD31" s="1248">
        <f>INDEX(Tiere!U$30:U$79,'Berech. Lagerraum flüssig+fest'!$AP31)</f>
        <v>0</v>
      </c>
      <c r="BE31" s="1254">
        <f>INDEX(Tiere!V$30:V$79,'Berech. Lagerraum flüssig+fest'!$AP31)</f>
        <v>0</v>
      </c>
      <c r="BF31" s="1248">
        <f>INDEX(Tiere!W$30:W$79,'Berech. Lagerraum flüssig+fest'!$AP31)</f>
        <v>0</v>
      </c>
      <c r="BG31" s="1248">
        <f>INDEX(Tiere!X$30:X$79,'Berech. Lagerraum flüssig+fest'!$AP31)</f>
        <v>0</v>
      </c>
      <c r="BH31" s="1248">
        <f>INDEX(Tiere!Y$30:Y$79,'Berech. Lagerraum flüssig+fest'!$AP31)</f>
        <v>0</v>
      </c>
      <c r="BI31" s="1212">
        <v>5</v>
      </c>
      <c r="BJ31" s="1212">
        <v>3</v>
      </c>
      <c r="BK31" s="1235">
        <v>17</v>
      </c>
      <c r="BL31" s="1245">
        <f>INDEX(Tiere!Z$30:Z$79,'Berech. Lagerraum flüssig+fest'!$AP31)</f>
        <v>0</v>
      </c>
      <c r="BM31" s="1245">
        <f>INDEX(Tiere!AA$30:AA$79,'Berech. Lagerraum flüssig+fest'!$AP31)</f>
        <v>0</v>
      </c>
      <c r="BN31" s="1244">
        <f t="shared" si="30"/>
        <v>0</v>
      </c>
      <c r="BO31" s="1245">
        <f t="shared" si="31"/>
        <v>0</v>
      </c>
      <c r="BP31" s="1241">
        <f t="shared" si="26"/>
        <v>0</v>
      </c>
      <c r="BQ31" s="1245">
        <f t="shared" si="27"/>
        <v>0</v>
      </c>
      <c r="BR31" s="1212"/>
      <c r="BS31" s="1241" t="b">
        <f t="shared" si="28"/>
        <v>0</v>
      </c>
      <c r="BT31" s="1212"/>
      <c r="BU31" s="1212"/>
      <c r="BV31" s="34"/>
      <c r="BW31" s="34"/>
      <c r="BX31" s="34"/>
      <c r="BY31" s="34"/>
      <c r="BZ31" s="34"/>
      <c r="CA31" s="34"/>
      <c r="CB31" s="34"/>
      <c r="CC31" s="33"/>
    </row>
    <row r="32" spans="1:83" ht="15.75" customHeight="1" x14ac:dyDescent="0.2">
      <c r="A32" s="1354"/>
      <c r="B32" s="1355"/>
      <c r="C32" s="1355"/>
      <c r="D32" s="1030"/>
      <c r="E32" s="1061"/>
      <c r="F32" s="674"/>
      <c r="G32" s="1030"/>
      <c r="H32" s="1058"/>
      <c r="I32" s="1059" t="str">
        <f t="shared" si="7"/>
        <v xml:space="preserve"> </v>
      </c>
      <c r="J32" s="1059" t="str">
        <f t="shared" si="0"/>
        <v xml:space="preserve"> </v>
      </c>
      <c r="K32" s="34"/>
      <c r="L32" s="34"/>
      <c r="M32" s="1212"/>
      <c r="N32" s="1241" t="str">
        <f t="shared" si="1"/>
        <v xml:space="preserve"> </v>
      </c>
      <c r="O32" s="1241"/>
      <c r="P32" s="1242">
        <f t="shared" si="2"/>
        <v>0</v>
      </c>
      <c r="Q32" s="1243">
        <f t="shared" si="3"/>
        <v>0</v>
      </c>
      <c r="R32" s="1244">
        <f t="shared" si="8"/>
        <v>0</v>
      </c>
      <c r="S32" s="1241">
        <f t="shared" si="9"/>
        <v>0</v>
      </c>
      <c r="T32" s="1241">
        <f t="shared" si="10"/>
        <v>0</v>
      </c>
      <c r="U32" s="1245">
        <f t="shared" si="11"/>
        <v>0</v>
      </c>
      <c r="V32" s="1246">
        <f>INDEX(Tiere!K$30:K$79,'Berech. Lagerraum flüssig+fest'!$AP32)</f>
        <v>0</v>
      </c>
      <c r="W32" s="1246">
        <f>INDEX(Tiere!S$30:S$79,'Berech. Lagerraum flüssig+fest'!AP32)</f>
        <v>0</v>
      </c>
      <c r="X32" s="1244">
        <f t="shared" si="12"/>
        <v>0</v>
      </c>
      <c r="Y32" s="1241">
        <f t="shared" si="13"/>
        <v>0</v>
      </c>
      <c r="Z32" s="1245">
        <f t="shared" si="14"/>
        <v>0</v>
      </c>
      <c r="AA32" s="1246">
        <f>INDEX(Tiere!P$30:P$79,'Berech. Lagerraum flüssig+fest'!$AP32)</f>
        <v>0</v>
      </c>
      <c r="AB32" s="1244">
        <f t="shared" si="15"/>
        <v>0</v>
      </c>
      <c r="AC32" s="1241">
        <f t="shared" si="16"/>
        <v>0</v>
      </c>
      <c r="AD32" s="1245">
        <f t="shared" si="17"/>
        <v>0</v>
      </c>
      <c r="AE32" s="1241"/>
      <c r="AF32" s="1244">
        <f t="shared" si="18"/>
        <v>0</v>
      </c>
      <c r="AG32" s="1241">
        <f t="shared" si="4"/>
        <v>0</v>
      </c>
      <c r="AH32" s="1247">
        <f t="shared" si="5"/>
        <v>0</v>
      </c>
      <c r="AI32" s="1248">
        <f t="shared" si="6"/>
        <v>0</v>
      </c>
      <c r="AJ32" s="1251">
        <f t="shared" si="19"/>
        <v>0</v>
      </c>
      <c r="AK32" s="1248">
        <f t="shared" si="20"/>
        <v>0</v>
      </c>
      <c r="AL32" s="1251">
        <f t="shared" si="29"/>
        <v>0</v>
      </c>
      <c r="AM32" s="1251">
        <f t="shared" si="21"/>
        <v>0</v>
      </c>
      <c r="AN32" s="1251">
        <f t="shared" si="22"/>
        <v>0</v>
      </c>
      <c r="AO32" s="1252">
        <f t="shared" si="23"/>
        <v>1</v>
      </c>
      <c r="AP32" s="1253">
        <v>1</v>
      </c>
      <c r="AQ32" s="1253">
        <v>1</v>
      </c>
      <c r="AR32" s="1252">
        <f>INDEX(Tiere!C$30:C$79,'Berech. Lagerraum flüssig+fest'!$AP32)</f>
        <v>0</v>
      </c>
      <c r="AS32" s="1252" t="str">
        <f t="shared" si="24"/>
        <v>1</v>
      </c>
      <c r="AT32" s="1252">
        <f t="shared" si="25"/>
        <v>0</v>
      </c>
      <c r="AU32" s="1251">
        <f>INDEX(Tiere!D$30:D$79,'Berech. Lagerraum flüssig+fest'!$AP32)</f>
        <v>0</v>
      </c>
      <c r="AV32" s="1247">
        <f>INDEX(Tiere!E$30:E$79,'Berech. Lagerraum flüssig+fest'!$AP32)</f>
        <v>0</v>
      </c>
      <c r="AW32" s="1248">
        <f>INDEX(Tiere!F$30:F$79,'Berech. Lagerraum flüssig+fest'!$AP32)</f>
        <v>0</v>
      </c>
      <c r="AX32" s="1247">
        <f>INDEX(Tiere!J$30:J$79,'Berech. Lagerraum flüssig+fest'!$AP32)</f>
        <v>0</v>
      </c>
      <c r="AY32" s="1247">
        <f>INDEX(Tiere!R$30:R$79,'Berech. Lagerraum flüssig+fest'!$AP32)</f>
        <v>0</v>
      </c>
      <c r="AZ32" s="1251">
        <f>INDEX(Tiere!M$30:M$79,'Berech. Lagerraum flüssig+fest'!$AP32)</f>
        <v>0</v>
      </c>
      <c r="BA32" s="1247">
        <f>INDEX(Tiere!N$30:N$79,'Berech. Lagerraum flüssig+fest'!$AP32)</f>
        <v>0</v>
      </c>
      <c r="BB32" s="1248">
        <f>INDEX(Tiere!O$30:O$79,'Berech. Lagerraum flüssig+fest'!$AP32)</f>
        <v>0</v>
      </c>
      <c r="BC32" s="1251">
        <f>INDEX(Tiere!T$30:T$79,'Berech. Lagerraum flüssig+fest'!$AP32)</f>
        <v>0</v>
      </c>
      <c r="BD32" s="1248">
        <f>INDEX(Tiere!U$30:U$79,'Berech. Lagerraum flüssig+fest'!$AP32)</f>
        <v>0</v>
      </c>
      <c r="BE32" s="1254">
        <f>INDEX(Tiere!V$30:V$79,'Berech. Lagerraum flüssig+fest'!$AP32)</f>
        <v>0</v>
      </c>
      <c r="BF32" s="1248">
        <f>INDEX(Tiere!W$30:W$79,'Berech. Lagerraum flüssig+fest'!$AP32)</f>
        <v>0</v>
      </c>
      <c r="BG32" s="1248">
        <f>INDEX(Tiere!X$30:X$79,'Berech. Lagerraum flüssig+fest'!$AP32)</f>
        <v>0</v>
      </c>
      <c r="BH32" s="1248">
        <f>INDEX(Tiere!Y$30:Y$79,'Berech. Lagerraum flüssig+fest'!$AP32)</f>
        <v>0</v>
      </c>
      <c r="BI32" s="1212">
        <v>5</v>
      </c>
      <c r="BJ32" s="1212">
        <v>3</v>
      </c>
      <c r="BK32" s="1235">
        <v>17</v>
      </c>
      <c r="BL32" s="1245">
        <f>INDEX(Tiere!Z$30:Z$79,'Berech. Lagerraum flüssig+fest'!$AP32)</f>
        <v>0</v>
      </c>
      <c r="BM32" s="1245">
        <f>INDEX(Tiere!AA$30:AA$79,'Berech. Lagerraum flüssig+fest'!$AP32)</f>
        <v>0</v>
      </c>
      <c r="BN32" s="1244">
        <f t="shared" si="30"/>
        <v>0</v>
      </c>
      <c r="BO32" s="1245">
        <f t="shared" si="31"/>
        <v>0</v>
      </c>
      <c r="BP32" s="1241">
        <f t="shared" si="26"/>
        <v>0</v>
      </c>
      <c r="BQ32" s="1245">
        <f t="shared" si="27"/>
        <v>0</v>
      </c>
      <c r="BR32" s="1212"/>
      <c r="BS32" s="1241" t="b">
        <f t="shared" si="28"/>
        <v>0</v>
      </c>
      <c r="BT32" s="1212"/>
      <c r="BU32" s="1212"/>
      <c r="BV32" s="34"/>
      <c r="BW32" s="34"/>
      <c r="BX32" s="34"/>
      <c r="BY32" s="34"/>
      <c r="BZ32" s="34"/>
      <c r="CA32" s="34"/>
      <c r="CB32" s="34"/>
      <c r="CC32" s="33"/>
    </row>
    <row r="33" spans="1:83" ht="15.75" customHeight="1" x14ac:dyDescent="0.2">
      <c r="A33" s="1354"/>
      <c r="B33" s="1355"/>
      <c r="C33" s="1355"/>
      <c r="D33" s="1030"/>
      <c r="E33" s="1061"/>
      <c r="F33" s="674"/>
      <c r="G33" s="1030"/>
      <c r="H33" s="1058"/>
      <c r="I33" s="1059" t="str">
        <f t="shared" si="7"/>
        <v xml:space="preserve"> </v>
      </c>
      <c r="J33" s="1059" t="str">
        <f t="shared" si="0"/>
        <v xml:space="preserve"> </v>
      </c>
      <c r="K33" s="34"/>
      <c r="L33" s="34"/>
      <c r="M33" s="1212"/>
      <c r="N33" s="1241" t="str">
        <f t="shared" si="1"/>
        <v xml:space="preserve"> </v>
      </c>
      <c r="O33" s="1241"/>
      <c r="P33" s="1242">
        <f t="shared" si="2"/>
        <v>0</v>
      </c>
      <c r="Q33" s="1243">
        <f t="shared" si="3"/>
        <v>0</v>
      </c>
      <c r="R33" s="1244">
        <f t="shared" si="8"/>
        <v>0</v>
      </c>
      <c r="S33" s="1241">
        <f t="shared" si="9"/>
        <v>0</v>
      </c>
      <c r="T33" s="1241">
        <f t="shared" si="10"/>
        <v>0</v>
      </c>
      <c r="U33" s="1245">
        <f t="shared" si="11"/>
        <v>0</v>
      </c>
      <c r="V33" s="1246">
        <f>INDEX(Tiere!K$30:K$79,'Berech. Lagerraum flüssig+fest'!$AP33)</f>
        <v>0</v>
      </c>
      <c r="W33" s="1246">
        <f>INDEX(Tiere!S$30:S$79,'Berech. Lagerraum flüssig+fest'!AP33)</f>
        <v>0</v>
      </c>
      <c r="X33" s="1244">
        <f t="shared" si="12"/>
        <v>0</v>
      </c>
      <c r="Y33" s="1241">
        <f t="shared" si="13"/>
        <v>0</v>
      </c>
      <c r="Z33" s="1245">
        <f t="shared" si="14"/>
        <v>0</v>
      </c>
      <c r="AA33" s="1246">
        <f>INDEX(Tiere!P$30:P$79,'Berech. Lagerraum flüssig+fest'!$AP33)</f>
        <v>0</v>
      </c>
      <c r="AB33" s="1244">
        <f t="shared" si="15"/>
        <v>0</v>
      </c>
      <c r="AC33" s="1241">
        <f t="shared" si="16"/>
        <v>0</v>
      </c>
      <c r="AD33" s="1245">
        <f t="shared" si="17"/>
        <v>0</v>
      </c>
      <c r="AE33" s="1241"/>
      <c r="AF33" s="1244">
        <f t="shared" si="18"/>
        <v>0</v>
      </c>
      <c r="AG33" s="1241">
        <f t="shared" si="4"/>
        <v>0</v>
      </c>
      <c r="AH33" s="1247">
        <f t="shared" si="5"/>
        <v>0</v>
      </c>
      <c r="AI33" s="1248">
        <f t="shared" si="6"/>
        <v>0</v>
      </c>
      <c r="AJ33" s="1251">
        <f t="shared" si="19"/>
        <v>0</v>
      </c>
      <c r="AK33" s="1248">
        <f t="shared" si="20"/>
        <v>0</v>
      </c>
      <c r="AL33" s="1251">
        <f t="shared" si="29"/>
        <v>0</v>
      </c>
      <c r="AM33" s="1251">
        <f t="shared" si="21"/>
        <v>0</v>
      </c>
      <c r="AN33" s="1251">
        <f t="shared" si="22"/>
        <v>0</v>
      </c>
      <c r="AO33" s="1252">
        <f t="shared" si="23"/>
        <v>1</v>
      </c>
      <c r="AP33" s="1253">
        <v>1</v>
      </c>
      <c r="AQ33" s="1253">
        <v>1</v>
      </c>
      <c r="AR33" s="1252">
        <f>INDEX(Tiere!C$30:C$79,'Berech. Lagerraum flüssig+fest'!$AP33)</f>
        <v>0</v>
      </c>
      <c r="AS33" s="1252" t="str">
        <f t="shared" si="24"/>
        <v>1</v>
      </c>
      <c r="AT33" s="1252">
        <f t="shared" si="25"/>
        <v>0</v>
      </c>
      <c r="AU33" s="1251">
        <f>INDEX(Tiere!D$30:D$79,'Berech. Lagerraum flüssig+fest'!$AP33)</f>
        <v>0</v>
      </c>
      <c r="AV33" s="1247">
        <f>INDEX(Tiere!E$30:E$79,'Berech. Lagerraum flüssig+fest'!$AP33)</f>
        <v>0</v>
      </c>
      <c r="AW33" s="1248">
        <f>INDEX(Tiere!F$30:F$79,'Berech. Lagerraum flüssig+fest'!$AP33)</f>
        <v>0</v>
      </c>
      <c r="AX33" s="1247">
        <f>INDEX(Tiere!J$30:J$79,'Berech. Lagerraum flüssig+fest'!$AP33)</f>
        <v>0</v>
      </c>
      <c r="AY33" s="1247">
        <f>INDEX(Tiere!R$30:R$79,'Berech. Lagerraum flüssig+fest'!$AP33)</f>
        <v>0</v>
      </c>
      <c r="AZ33" s="1251">
        <f>INDEX(Tiere!M$30:M$79,'Berech. Lagerraum flüssig+fest'!$AP33)</f>
        <v>0</v>
      </c>
      <c r="BA33" s="1247">
        <f>INDEX(Tiere!N$30:N$79,'Berech. Lagerraum flüssig+fest'!$AP33)</f>
        <v>0</v>
      </c>
      <c r="BB33" s="1248">
        <f>INDEX(Tiere!O$30:O$79,'Berech. Lagerraum flüssig+fest'!$AP33)</f>
        <v>0</v>
      </c>
      <c r="BC33" s="1251">
        <f>INDEX(Tiere!T$30:T$79,'Berech. Lagerraum flüssig+fest'!$AP33)</f>
        <v>0</v>
      </c>
      <c r="BD33" s="1248">
        <f>INDEX(Tiere!U$30:U$79,'Berech. Lagerraum flüssig+fest'!$AP33)</f>
        <v>0</v>
      </c>
      <c r="BE33" s="1254">
        <f>INDEX(Tiere!V$30:V$79,'Berech. Lagerraum flüssig+fest'!$AP33)</f>
        <v>0</v>
      </c>
      <c r="BF33" s="1248">
        <f>INDEX(Tiere!W$30:W$79,'Berech. Lagerraum flüssig+fest'!$AP33)</f>
        <v>0</v>
      </c>
      <c r="BG33" s="1248">
        <f>INDEX(Tiere!X$30:X$79,'Berech. Lagerraum flüssig+fest'!$AP33)</f>
        <v>0</v>
      </c>
      <c r="BH33" s="1248">
        <f>INDEX(Tiere!Y$30:Y$79,'Berech. Lagerraum flüssig+fest'!$AP33)</f>
        <v>0</v>
      </c>
      <c r="BI33" s="1212">
        <v>5</v>
      </c>
      <c r="BJ33" s="1212">
        <v>3</v>
      </c>
      <c r="BK33" s="1235">
        <v>17</v>
      </c>
      <c r="BL33" s="1245">
        <f>INDEX(Tiere!Z$30:Z$79,'Berech. Lagerraum flüssig+fest'!$AP33)</f>
        <v>0</v>
      </c>
      <c r="BM33" s="1245">
        <f>INDEX(Tiere!AA$30:AA$79,'Berech. Lagerraum flüssig+fest'!$AP33)</f>
        <v>0</v>
      </c>
      <c r="BN33" s="1244">
        <f t="shared" si="30"/>
        <v>0</v>
      </c>
      <c r="BO33" s="1245">
        <f t="shared" si="31"/>
        <v>0</v>
      </c>
      <c r="BP33" s="1241">
        <f t="shared" si="26"/>
        <v>0</v>
      </c>
      <c r="BQ33" s="1245">
        <f t="shared" si="27"/>
        <v>0</v>
      </c>
      <c r="BR33" s="1212"/>
      <c r="BS33" s="1241" t="b">
        <f t="shared" si="28"/>
        <v>0</v>
      </c>
      <c r="BT33" s="1212"/>
      <c r="BU33" s="1212"/>
      <c r="BV33" s="34"/>
      <c r="BW33" s="34"/>
      <c r="BX33" s="34"/>
      <c r="BY33" s="34"/>
      <c r="BZ33" s="34"/>
      <c r="CA33" s="34"/>
      <c r="CB33" s="34"/>
      <c r="CC33" s="33"/>
    </row>
    <row r="34" spans="1:83" ht="15.75" customHeight="1" x14ac:dyDescent="0.2">
      <c r="A34" s="1354"/>
      <c r="B34" s="1355"/>
      <c r="C34" s="1355"/>
      <c r="D34" s="1030"/>
      <c r="E34" s="1061"/>
      <c r="F34" s="674"/>
      <c r="G34" s="1030"/>
      <c r="H34" s="1058"/>
      <c r="I34" s="1059" t="str">
        <f t="shared" si="7"/>
        <v xml:space="preserve"> </v>
      </c>
      <c r="J34" s="1059" t="str">
        <f t="shared" si="0"/>
        <v xml:space="preserve"> </v>
      </c>
      <c r="K34" s="34"/>
      <c r="L34" s="34"/>
      <c r="M34" s="1212"/>
      <c r="N34" s="1241" t="str">
        <f t="shared" si="1"/>
        <v xml:space="preserve"> </v>
      </c>
      <c r="O34" s="1241"/>
      <c r="P34" s="1242">
        <f t="shared" si="2"/>
        <v>0</v>
      </c>
      <c r="Q34" s="1243">
        <f t="shared" si="3"/>
        <v>0</v>
      </c>
      <c r="R34" s="1244">
        <f t="shared" si="8"/>
        <v>0</v>
      </c>
      <c r="S34" s="1241">
        <f t="shared" si="9"/>
        <v>0</v>
      </c>
      <c r="T34" s="1241">
        <f t="shared" si="10"/>
        <v>0</v>
      </c>
      <c r="U34" s="1245">
        <f t="shared" si="11"/>
        <v>0</v>
      </c>
      <c r="V34" s="1246">
        <f>INDEX(Tiere!K$30:K$79,'Berech. Lagerraum flüssig+fest'!$AP34)</f>
        <v>0</v>
      </c>
      <c r="W34" s="1246">
        <f>INDEX(Tiere!S$30:S$79,'Berech. Lagerraum flüssig+fest'!AP34)</f>
        <v>0</v>
      </c>
      <c r="X34" s="1244">
        <f t="shared" si="12"/>
        <v>0</v>
      </c>
      <c r="Y34" s="1241">
        <f t="shared" si="13"/>
        <v>0</v>
      </c>
      <c r="Z34" s="1245">
        <f t="shared" si="14"/>
        <v>0</v>
      </c>
      <c r="AA34" s="1246">
        <f>INDEX(Tiere!P$30:P$79,'Berech. Lagerraum flüssig+fest'!$AP34)</f>
        <v>0</v>
      </c>
      <c r="AB34" s="1244">
        <f t="shared" si="15"/>
        <v>0</v>
      </c>
      <c r="AC34" s="1241">
        <f t="shared" si="16"/>
        <v>0</v>
      </c>
      <c r="AD34" s="1245">
        <f t="shared" si="17"/>
        <v>0</v>
      </c>
      <c r="AE34" s="1241"/>
      <c r="AF34" s="1244">
        <f t="shared" si="18"/>
        <v>0</v>
      </c>
      <c r="AG34" s="1241">
        <f t="shared" si="4"/>
        <v>0</v>
      </c>
      <c r="AH34" s="1247">
        <f t="shared" si="5"/>
        <v>0</v>
      </c>
      <c r="AI34" s="1248">
        <f t="shared" si="6"/>
        <v>0</v>
      </c>
      <c r="AJ34" s="1251">
        <f t="shared" si="19"/>
        <v>0</v>
      </c>
      <c r="AK34" s="1248">
        <f t="shared" si="20"/>
        <v>0</v>
      </c>
      <c r="AL34" s="1251">
        <f t="shared" si="29"/>
        <v>0</v>
      </c>
      <c r="AM34" s="1251">
        <f t="shared" si="21"/>
        <v>0</v>
      </c>
      <c r="AN34" s="1251">
        <f t="shared" si="22"/>
        <v>0</v>
      </c>
      <c r="AO34" s="1252">
        <f t="shared" si="23"/>
        <v>1</v>
      </c>
      <c r="AP34" s="1253">
        <v>1</v>
      </c>
      <c r="AQ34" s="1253">
        <v>1</v>
      </c>
      <c r="AR34" s="1252">
        <f>INDEX(Tiere!C$30:C$79,'Berech. Lagerraum flüssig+fest'!$AP34)</f>
        <v>0</v>
      </c>
      <c r="AS34" s="1252" t="str">
        <f t="shared" si="24"/>
        <v>1</v>
      </c>
      <c r="AT34" s="1252">
        <f t="shared" si="25"/>
        <v>0</v>
      </c>
      <c r="AU34" s="1251">
        <f>INDEX(Tiere!D$30:D$79,'Berech. Lagerraum flüssig+fest'!$AP34)</f>
        <v>0</v>
      </c>
      <c r="AV34" s="1247">
        <f>INDEX(Tiere!E$30:E$79,'Berech. Lagerraum flüssig+fest'!$AP34)</f>
        <v>0</v>
      </c>
      <c r="AW34" s="1248">
        <f>INDEX(Tiere!F$30:F$79,'Berech. Lagerraum flüssig+fest'!$AP34)</f>
        <v>0</v>
      </c>
      <c r="AX34" s="1247">
        <f>INDEX(Tiere!J$30:J$79,'Berech. Lagerraum flüssig+fest'!$AP34)</f>
        <v>0</v>
      </c>
      <c r="AY34" s="1247">
        <f>INDEX(Tiere!R$30:R$79,'Berech. Lagerraum flüssig+fest'!$AP34)</f>
        <v>0</v>
      </c>
      <c r="AZ34" s="1251">
        <f>INDEX(Tiere!M$30:M$79,'Berech. Lagerraum flüssig+fest'!$AP34)</f>
        <v>0</v>
      </c>
      <c r="BA34" s="1247">
        <f>INDEX(Tiere!N$30:N$79,'Berech. Lagerraum flüssig+fest'!$AP34)</f>
        <v>0</v>
      </c>
      <c r="BB34" s="1248">
        <f>INDEX(Tiere!O$30:O$79,'Berech. Lagerraum flüssig+fest'!$AP34)</f>
        <v>0</v>
      </c>
      <c r="BC34" s="1251">
        <f>INDEX(Tiere!T$30:T$79,'Berech. Lagerraum flüssig+fest'!$AP34)</f>
        <v>0</v>
      </c>
      <c r="BD34" s="1248">
        <f>INDEX(Tiere!U$30:U$79,'Berech. Lagerraum flüssig+fest'!$AP34)</f>
        <v>0</v>
      </c>
      <c r="BE34" s="1254">
        <f>INDEX(Tiere!V$30:V$79,'Berech. Lagerraum flüssig+fest'!$AP34)</f>
        <v>0</v>
      </c>
      <c r="BF34" s="1248">
        <f>INDEX(Tiere!W$30:W$79,'Berech. Lagerraum flüssig+fest'!$AP34)</f>
        <v>0</v>
      </c>
      <c r="BG34" s="1248">
        <f>INDEX(Tiere!X$30:X$79,'Berech. Lagerraum flüssig+fest'!$AP34)</f>
        <v>0</v>
      </c>
      <c r="BH34" s="1248">
        <f>INDEX(Tiere!Y$30:Y$79,'Berech. Lagerraum flüssig+fest'!$AP34)</f>
        <v>0</v>
      </c>
      <c r="BI34" s="1212">
        <v>5</v>
      </c>
      <c r="BJ34" s="1212">
        <v>3</v>
      </c>
      <c r="BK34" s="1235">
        <v>17</v>
      </c>
      <c r="BL34" s="1245">
        <f>INDEX(Tiere!Z$30:Z$79,'Berech. Lagerraum flüssig+fest'!$AP34)</f>
        <v>0</v>
      </c>
      <c r="BM34" s="1245">
        <f>INDEX(Tiere!AA$30:AA$79,'Berech. Lagerraum flüssig+fest'!$AP34)</f>
        <v>0</v>
      </c>
      <c r="BN34" s="1244">
        <f t="shared" si="30"/>
        <v>0</v>
      </c>
      <c r="BO34" s="1245">
        <f t="shared" si="31"/>
        <v>0</v>
      </c>
      <c r="BP34" s="1241">
        <f t="shared" si="26"/>
        <v>0</v>
      </c>
      <c r="BQ34" s="1245">
        <f t="shared" si="27"/>
        <v>0</v>
      </c>
      <c r="BR34" s="1212"/>
      <c r="BS34" s="1241" t="b">
        <f t="shared" si="28"/>
        <v>0</v>
      </c>
      <c r="BT34" s="1212"/>
      <c r="BU34" s="1212"/>
      <c r="BV34" s="34"/>
      <c r="BW34" s="34"/>
      <c r="BX34" s="34"/>
      <c r="BY34" s="34"/>
      <c r="BZ34" s="34"/>
      <c r="CA34" s="34"/>
      <c r="CB34" s="34"/>
      <c r="CC34" s="33"/>
    </row>
    <row r="35" spans="1:83" ht="15.75" customHeight="1" x14ac:dyDescent="0.2">
      <c r="A35" s="1354"/>
      <c r="B35" s="1355"/>
      <c r="C35" s="1355"/>
      <c r="D35" s="1030"/>
      <c r="E35" s="1061"/>
      <c r="F35" s="674"/>
      <c r="G35" s="1030"/>
      <c r="H35" s="1058"/>
      <c r="I35" s="1059" t="str">
        <f>IF(BS35=FALSE," ",IF(P35+Q35=0," ",IF(AF35*AX35+AG35*AJ35=0," ",AF35*AX35+AG35*AJ35)))</f>
        <v xml:space="preserve"> </v>
      </c>
      <c r="J35" s="1059" t="str">
        <f t="shared" si="0"/>
        <v xml:space="preserve"> </v>
      </c>
      <c r="K35" s="34"/>
      <c r="L35" s="34"/>
      <c r="M35" s="1212"/>
      <c r="N35" s="1241" t="str">
        <f t="shared" si="1"/>
        <v xml:space="preserve"> </v>
      </c>
      <c r="O35" s="1241"/>
      <c r="P35" s="1242">
        <f t="shared" si="2"/>
        <v>0</v>
      </c>
      <c r="Q35" s="1243">
        <f t="shared" si="3"/>
        <v>0</v>
      </c>
      <c r="R35" s="1244">
        <f t="shared" si="8"/>
        <v>0</v>
      </c>
      <c r="S35" s="1241">
        <f t="shared" si="9"/>
        <v>0</v>
      </c>
      <c r="T35" s="1241">
        <f t="shared" si="10"/>
        <v>0</v>
      </c>
      <c r="U35" s="1245">
        <f t="shared" si="11"/>
        <v>0</v>
      </c>
      <c r="V35" s="1246">
        <f>INDEX(Tiere!K$30:K$79,'Berech. Lagerraum flüssig+fest'!$AP35)</f>
        <v>0</v>
      </c>
      <c r="W35" s="1246">
        <f>INDEX(Tiere!S$30:S$79,'Berech. Lagerraum flüssig+fest'!AP35)</f>
        <v>0</v>
      </c>
      <c r="X35" s="1244">
        <f t="shared" si="12"/>
        <v>0</v>
      </c>
      <c r="Y35" s="1241">
        <f t="shared" si="13"/>
        <v>0</v>
      </c>
      <c r="Z35" s="1245">
        <f t="shared" si="14"/>
        <v>0</v>
      </c>
      <c r="AA35" s="1246">
        <f>INDEX(Tiere!P$30:P$79,'Berech. Lagerraum flüssig+fest'!$AP35)</f>
        <v>0</v>
      </c>
      <c r="AB35" s="1244">
        <f t="shared" si="15"/>
        <v>0</v>
      </c>
      <c r="AC35" s="1241">
        <f t="shared" si="16"/>
        <v>0</v>
      </c>
      <c r="AD35" s="1245">
        <f t="shared" si="17"/>
        <v>0</v>
      </c>
      <c r="AE35" s="1241"/>
      <c r="AF35" s="1244">
        <f t="shared" si="18"/>
        <v>0</v>
      </c>
      <c r="AG35" s="1241">
        <f t="shared" si="4"/>
        <v>0</v>
      </c>
      <c r="AH35" s="1247">
        <f t="shared" si="5"/>
        <v>0</v>
      </c>
      <c r="AI35" s="1248">
        <f t="shared" si="6"/>
        <v>0</v>
      </c>
      <c r="AJ35" s="1251">
        <f t="shared" si="19"/>
        <v>0</v>
      </c>
      <c r="AK35" s="1248">
        <f t="shared" si="20"/>
        <v>0</v>
      </c>
      <c r="AL35" s="1251">
        <f t="shared" si="29"/>
        <v>0</v>
      </c>
      <c r="AM35" s="1251">
        <f>IF(AO35=2,0,IF(AO35=3,0,0))</f>
        <v>0</v>
      </c>
      <c r="AN35" s="1251">
        <f t="shared" si="22"/>
        <v>0</v>
      </c>
      <c r="AO35" s="1252">
        <f t="shared" si="23"/>
        <v>1</v>
      </c>
      <c r="AP35" s="1253">
        <v>1</v>
      </c>
      <c r="AQ35" s="1253">
        <v>1</v>
      </c>
      <c r="AR35" s="1252">
        <f>INDEX(Tiere!C$30:C$79,'Berech. Lagerraum flüssig+fest'!$AP35)</f>
        <v>0</v>
      </c>
      <c r="AS35" s="1252" t="str">
        <f t="shared" si="24"/>
        <v>1</v>
      </c>
      <c r="AT35" s="1252">
        <f t="shared" si="25"/>
        <v>0</v>
      </c>
      <c r="AU35" s="1251">
        <f>INDEX(Tiere!D$30:D$79,'Berech. Lagerraum flüssig+fest'!$AP35)</f>
        <v>0</v>
      </c>
      <c r="AV35" s="1247">
        <f>INDEX(Tiere!E$30:E$79,'Berech. Lagerraum flüssig+fest'!$AP35)</f>
        <v>0</v>
      </c>
      <c r="AW35" s="1248">
        <f>INDEX(Tiere!F$30:F$79,'Berech. Lagerraum flüssig+fest'!$AP35)</f>
        <v>0</v>
      </c>
      <c r="AX35" s="1247">
        <f>INDEX(Tiere!J$30:J$79,'Berech. Lagerraum flüssig+fest'!$AP35)</f>
        <v>0</v>
      </c>
      <c r="AY35" s="1247">
        <f>INDEX(Tiere!R$30:R$79,'Berech. Lagerraum flüssig+fest'!$AP35)</f>
        <v>0</v>
      </c>
      <c r="AZ35" s="1251">
        <f>INDEX(Tiere!M$30:M$79,'Berech. Lagerraum flüssig+fest'!$AP35)</f>
        <v>0</v>
      </c>
      <c r="BA35" s="1247">
        <f>INDEX(Tiere!N$30:N$79,'Berech. Lagerraum flüssig+fest'!$AP35)</f>
        <v>0</v>
      </c>
      <c r="BB35" s="1248">
        <f>INDEX(Tiere!O$30:O$79,'Berech. Lagerraum flüssig+fest'!$AP35)</f>
        <v>0</v>
      </c>
      <c r="BC35" s="1251">
        <f>INDEX(Tiere!T$30:T$79,'Berech. Lagerraum flüssig+fest'!$AP35)</f>
        <v>0</v>
      </c>
      <c r="BD35" s="1248">
        <f>INDEX(Tiere!U$30:U$79,'Berech. Lagerraum flüssig+fest'!$AP35)</f>
        <v>0</v>
      </c>
      <c r="BE35" s="1254">
        <f>INDEX(Tiere!V$30:V$79,'Berech. Lagerraum flüssig+fest'!$AP35)</f>
        <v>0</v>
      </c>
      <c r="BF35" s="1248">
        <f>INDEX(Tiere!W$30:W$79,'Berech. Lagerraum flüssig+fest'!$AP35)</f>
        <v>0</v>
      </c>
      <c r="BG35" s="1248">
        <f>INDEX(Tiere!X$30:X$79,'Berech. Lagerraum flüssig+fest'!$AP35)</f>
        <v>0</v>
      </c>
      <c r="BH35" s="1248">
        <f>INDEX(Tiere!Y$30:Y$79,'Berech. Lagerraum flüssig+fest'!$AP35)</f>
        <v>0</v>
      </c>
      <c r="BI35" s="1212">
        <v>5</v>
      </c>
      <c r="BJ35" s="1212">
        <v>3</v>
      </c>
      <c r="BK35" s="1235">
        <v>17</v>
      </c>
      <c r="BL35" s="1245">
        <f>INDEX(Tiere!Z$30:Z$79,'Berech. Lagerraum flüssig+fest'!$AP35)</f>
        <v>0</v>
      </c>
      <c r="BM35" s="1245">
        <f>INDEX(Tiere!AA$30:AA$79,'Berech. Lagerraum flüssig+fest'!$AP35)</f>
        <v>0</v>
      </c>
      <c r="BN35" s="1244">
        <f t="shared" si="30"/>
        <v>0</v>
      </c>
      <c r="BO35" s="1245">
        <f t="shared" si="31"/>
        <v>0</v>
      </c>
      <c r="BP35" s="1241">
        <f t="shared" si="26"/>
        <v>0</v>
      </c>
      <c r="BQ35" s="1245">
        <f t="shared" si="27"/>
        <v>0</v>
      </c>
      <c r="BR35" s="1212"/>
      <c r="BS35" s="1241" t="b">
        <f t="shared" si="28"/>
        <v>0</v>
      </c>
      <c r="BT35" s="1212"/>
      <c r="BU35" s="1212"/>
      <c r="BV35" s="34"/>
      <c r="BW35" s="34"/>
      <c r="BX35" s="34"/>
      <c r="BY35" s="34"/>
      <c r="BZ35" s="34"/>
      <c r="CA35" s="34"/>
      <c r="CB35" s="34"/>
      <c r="CC35" s="33"/>
    </row>
    <row r="36" spans="1:83" ht="15.75" customHeight="1" x14ac:dyDescent="0.2">
      <c r="A36" s="1354"/>
      <c r="B36" s="1355"/>
      <c r="C36" s="1355"/>
      <c r="D36" s="1062"/>
      <c r="E36" s="1063"/>
      <c r="F36" s="674"/>
      <c r="G36" s="1062"/>
      <c r="H36" s="1065"/>
      <c r="I36" s="1172" t="str">
        <f t="shared" si="7"/>
        <v xml:space="preserve"> </v>
      </c>
      <c r="J36" s="1172" t="str">
        <f t="shared" si="0"/>
        <v xml:space="preserve"> </v>
      </c>
      <c r="K36" s="34"/>
      <c r="L36" s="34"/>
      <c r="M36" s="1212"/>
      <c r="N36" s="1241" t="str">
        <f t="shared" si="1"/>
        <v xml:space="preserve"> </v>
      </c>
      <c r="O36" s="1241"/>
      <c r="P36" s="1242">
        <f t="shared" si="2"/>
        <v>0</v>
      </c>
      <c r="Q36" s="1243">
        <f t="shared" si="3"/>
        <v>0</v>
      </c>
      <c r="R36" s="1244">
        <f t="shared" si="8"/>
        <v>0</v>
      </c>
      <c r="S36" s="1241">
        <f t="shared" si="9"/>
        <v>0</v>
      </c>
      <c r="T36" s="1241">
        <f t="shared" si="10"/>
        <v>0</v>
      </c>
      <c r="U36" s="1245">
        <f t="shared" si="11"/>
        <v>0</v>
      </c>
      <c r="V36" s="1246">
        <f>INDEX(Tiere!K$30:K$79,'Berech. Lagerraum flüssig+fest'!$AP36)</f>
        <v>0</v>
      </c>
      <c r="W36" s="1246">
        <f>INDEX(Tiere!S$30:S$79,'Berech. Lagerraum flüssig+fest'!AP36)</f>
        <v>0</v>
      </c>
      <c r="X36" s="1244">
        <f t="shared" si="12"/>
        <v>0</v>
      </c>
      <c r="Y36" s="1241">
        <f>AG36*AV36-AG36*AJ36*AM36</f>
        <v>0</v>
      </c>
      <c r="Z36" s="1245">
        <f>AG36*AW36-AG36*AJ36*AN36</f>
        <v>0</v>
      </c>
      <c r="AA36" s="1246">
        <f>INDEX(Tiere!P$30:P$79,'Berech. Lagerraum flüssig+fest'!$AP36)</f>
        <v>0</v>
      </c>
      <c r="AB36" s="1244">
        <f t="shared" si="15"/>
        <v>0</v>
      </c>
      <c r="AC36" s="1241">
        <f t="shared" si="16"/>
        <v>0</v>
      </c>
      <c r="AD36" s="1245">
        <f t="shared" si="17"/>
        <v>0</v>
      </c>
      <c r="AE36" s="1241"/>
      <c r="AF36" s="1244">
        <f t="shared" si="18"/>
        <v>0</v>
      </c>
      <c r="AG36" s="1241">
        <f>+Q36*(100-$H36)/100</f>
        <v>0</v>
      </c>
      <c r="AH36" s="1247">
        <f t="shared" si="5"/>
        <v>0</v>
      </c>
      <c r="AI36" s="1248">
        <f t="shared" si="6"/>
        <v>0</v>
      </c>
      <c r="AJ36" s="1251">
        <f t="shared" si="19"/>
        <v>0</v>
      </c>
      <c r="AK36" s="1248">
        <f t="shared" si="20"/>
        <v>0</v>
      </c>
      <c r="AL36" s="1251">
        <f t="shared" si="29"/>
        <v>0</v>
      </c>
      <c r="AM36" s="1251">
        <f t="shared" si="21"/>
        <v>0</v>
      </c>
      <c r="AN36" s="1251">
        <f t="shared" si="22"/>
        <v>0</v>
      </c>
      <c r="AO36" s="1252">
        <f t="shared" si="23"/>
        <v>1</v>
      </c>
      <c r="AP36" s="1253">
        <v>1</v>
      </c>
      <c r="AQ36" s="1253">
        <v>1</v>
      </c>
      <c r="AR36" s="1252">
        <f>INDEX(Tiere!C$30:C$79,'Berech. Lagerraum flüssig+fest'!$AP36)</f>
        <v>0</v>
      </c>
      <c r="AS36" s="1252" t="str">
        <f t="shared" si="24"/>
        <v>1</v>
      </c>
      <c r="AT36" s="1252">
        <f t="shared" si="25"/>
        <v>0</v>
      </c>
      <c r="AU36" s="1251">
        <f>INDEX(Tiere!D$30:D$79,'Berech. Lagerraum flüssig+fest'!$AP36)</f>
        <v>0</v>
      </c>
      <c r="AV36" s="1247">
        <f>INDEX(Tiere!E$30:E$79,'Berech. Lagerraum flüssig+fest'!$AP36)</f>
        <v>0</v>
      </c>
      <c r="AW36" s="1248">
        <f>INDEX(Tiere!F$30:F$79,'Berech. Lagerraum flüssig+fest'!$AP36)</f>
        <v>0</v>
      </c>
      <c r="AX36" s="1247">
        <f>INDEX(Tiere!J$30:J$79,'Berech. Lagerraum flüssig+fest'!$AP36)</f>
        <v>0</v>
      </c>
      <c r="AY36" s="1247">
        <f>INDEX(Tiere!R$30:R$79,'Berech. Lagerraum flüssig+fest'!$AP36)</f>
        <v>0</v>
      </c>
      <c r="AZ36" s="1251">
        <f>INDEX(Tiere!M$30:M$79,'Berech. Lagerraum flüssig+fest'!$AP36)</f>
        <v>0</v>
      </c>
      <c r="BA36" s="1247">
        <f>INDEX(Tiere!N$30:N$79,'Berech. Lagerraum flüssig+fest'!$AP36)</f>
        <v>0</v>
      </c>
      <c r="BB36" s="1248">
        <f>INDEX(Tiere!O$30:O$79,'Berech. Lagerraum flüssig+fest'!$AP36)</f>
        <v>0</v>
      </c>
      <c r="BC36" s="1251">
        <f>INDEX(Tiere!T$30:T$79,'Berech. Lagerraum flüssig+fest'!$AP36)</f>
        <v>0</v>
      </c>
      <c r="BD36" s="1248">
        <f>INDEX(Tiere!U$30:U$79,'Berech. Lagerraum flüssig+fest'!$AP36)</f>
        <v>0</v>
      </c>
      <c r="BE36" s="1254">
        <f>INDEX(Tiere!V$30:V$79,'Berech. Lagerraum flüssig+fest'!$AP36)</f>
        <v>0</v>
      </c>
      <c r="BF36" s="1248">
        <f>INDEX(Tiere!W$30:W$79,'Berech. Lagerraum flüssig+fest'!$AP36)</f>
        <v>0</v>
      </c>
      <c r="BG36" s="1248">
        <f>INDEX(Tiere!X$30:X$79,'Berech. Lagerraum flüssig+fest'!$AP36)</f>
        <v>0</v>
      </c>
      <c r="BH36" s="1248">
        <f>INDEX(Tiere!Y$30:Y$79,'Berech. Lagerraum flüssig+fest'!$AP36)</f>
        <v>0</v>
      </c>
      <c r="BI36" s="1212">
        <v>5</v>
      </c>
      <c r="BJ36" s="1212">
        <v>3</v>
      </c>
      <c r="BK36" s="1235">
        <v>17</v>
      </c>
      <c r="BL36" s="1245">
        <f>INDEX(Tiere!Z$30:Z$79,'Berech. Lagerraum flüssig+fest'!$AP36)</f>
        <v>0</v>
      </c>
      <c r="BM36" s="1245">
        <f>INDEX(Tiere!AA$30:AA$79,'Berech. Lagerraum flüssig+fest'!$AP36)</f>
        <v>0</v>
      </c>
      <c r="BN36" s="1244">
        <f t="shared" si="30"/>
        <v>0</v>
      </c>
      <c r="BO36" s="1245">
        <f t="shared" si="31"/>
        <v>0</v>
      </c>
      <c r="BP36" s="1241">
        <f t="shared" si="26"/>
        <v>0</v>
      </c>
      <c r="BQ36" s="1245">
        <f t="shared" si="27"/>
        <v>0</v>
      </c>
      <c r="BR36" s="1212"/>
      <c r="BS36" s="1241" t="b">
        <f t="shared" si="28"/>
        <v>0</v>
      </c>
      <c r="BT36" s="1212"/>
      <c r="BU36" s="1212"/>
      <c r="BV36" s="34"/>
      <c r="BW36" s="34"/>
      <c r="BX36" s="34"/>
      <c r="BY36" s="34"/>
      <c r="BZ36" s="34"/>
      <c r="CA36" s="34"/>
      <c r="CB36" s="34"/>
      <c r="CC36" s="33"/>
    </row>
    <row r="37" spans="1:83" ht="15.75" customHeight="1" x14ac:dyDescent="0.2">
      <c r="A37" s="1356" t="str">
        <f>IF(M38+M39+M40&gt;=1,"Bitte Tierart im Arbeitsblatt 'Abweichende Werte' auswählen","Eingabemöglichkeit für andere Haltungsverfahren; siehe Arbeitsblatt 'Abweichende Werte' ")</f>
        <v xml:space="preserve">Eingabemöglichkeit für andere Haltungsverfahren; siehe Arbeitsblatt 'Abweichende Werte' </v>
      </c>
      <c r="B37" s="1357"/>
      <c r="C37" s="1357"/>
      <c r="D37" s="1357"/>
      <c r="E37" s="1357"/>
      <c r="F37" s="1357"/>
      <c r="G37" s="1357"/>
      <c r="H37" s="1358"/>
      <c r="I37" s="1199"/>
      <c r="J37" s="1199"/>
      <c r="K37" s="34"/>
      <c r="L37" s="34"/>
      <c r="M37" s="1212"/>
      <c r="N37" s="1241"/>
      <c r="O37" s="1212"/>
      <c r="P37" s="1242"/>
      <c r="Q37" s="1243"/>
      <c r="R37" s="1244"/>
      <c r="S37" s="1241"/>
      <c r="T37" s="1241"/>
      <c r="U37" s="1245"/>
      <c r="V37" s="1257"/>
      <c r="W37" s="1257"/>
      <c r="X37" s="1244"/>
      <c r="Y37" s="1241"/>
      <c r="Z37" s="1245"/>
      <c r="AA37" s="1257"/>
      <c r="AB37" s="1244"/>
      <c r="AC37" s="1241"/>
      <c r="AD37" s="1245"/>
      <c r="AE37" s="1212"/>
      <c r="AF37" s="1244"/>
      <c r="AG37" s="1241"/>
      <c r="AH37" s="1247"/>
      <c r="AI37" s="1248"/>
      <c r="AJ37" s="1234"/>
      <c r="AK37" s="1235"/>
      <c r="AL37" s="1251"/>
      <c r="AM37" s="1247"/>
      <c r="AN37" s="1248"/>
      <c r="AO37" s="1252"/>
      <c r="AP37" s="1229"/>
      <c r="AQ37" s="1229"/>
      <c r="AR37" s="1229"/>
      <c r="AS37" s="1252"/>
      <c r="AT37" s="1252"/>
      <c r="AU37" s="1234"/>
      <c r="AV37" s="1212"/>
      <c r="AW37" s="1235"/>
      <c r="AX37" s="1212"/>
      <c r="AY37" s="1212"/>
      <c r="AZ37" s="1234"/>
      <c r="BA37" s="1212"/>
      <c r="BB37" s="1235"/>
      <c r="BC37" s="1234"/>
      <c r="BD37" s="1235"/>
      <c r="BE37" s="1258"/>
      <c r="BF37" s="1212"/>
      <c r="BG37" s="1212"/>
      <c r="BH37" s="1212"/>
      <c r="BI37" s="1212"/>
      <c r="BJ37" s="1212"/>
      <c r="BK37" s="1212"/>
      <c r="BL37" s="1245"/>
      <c r="BM37" s="1245"/>
      <c r="BN37" s="1244"/>
      <c r="BO37" s="1245"/>
      <c r="BP37" s="1241"/>
      <c r="BQ37" s="1245"/>
      <c r="BR37" s="1212"/>
      <c r="BS37" s="1241"/>
      <c r="BT37" s="1212"/>
      <c r="BU37" s="1212"/>
      <c r="BV37" s="34"/>
      <c r="BW37" s="34"/>
      <c r="BX37" s="34"/>
      <c r="BY37" s="34"/>
      <c r="BZ37" s="34"/>
      <c r="CA37" s="34"/>
      <c r="CB37" s="34"/>
      <c r="CC37" s="33"/>
    </row>
    <row r="38" spans="1:83" ht="15.75" customHeight="1" x14ac:dyDescent="0.2">
      <c r="A38" s="1415" t="str">
        <f>+'Abweichende Werte'!V7</f>
        <v xml:space="preserve"> -- - </v>
      </c>
      <c r="B38" s="1416"/>
      <c r="C38" s="1416"/>
      <c r="D38" s="1028"/>
      <c r="E38" s="1198"/>
      <c r="F38" s="675"/>
      <c r="G38" s="1028"/>
      <c r="H38" s="1064"/>
      <c r="I38" s="1059" t="str">
        <f>IF(BS38=FALSE," ",IF(P38+Q38=0," ",IF(AF38*AX38+AG38*AJ38=0," ",AF38*AX38+AG38*AJ38)))</f>
        <v xml:space="preserve"> </v>
      </c>
      <c r="J38" s="1059" t="str">
        <f>IF(BS38=FALSE," ",IF(Q38=0," ",IF(AG38*AK38=0," ",IF(AO38=4,AG38*AK38-(D38*(1-H38/100)*AK38)*((1220/1000)/(2*11)),AG38*AK38))))</f>
        <v xml:space="preserve"> </v>
      </c>
      <c r="K38" s="34"/>
      <c r="L38" s="34"/>
      <c r="M38" s="1212">
        <f>IF(D38+E38&gt;=1,IF(AO38=1,1,0),0)</f>
        <v>0</v>
      </c>
      <c r="N38" s="1241" t="str">
        <f>IF(J38=" "," ",(J38*(1/BE38)))</f>
        <v xml:space="preserve"> </v>
      </c>
      <c r="O38" s="1241"/>
      <c r="P38" s="1242">
        <f>IF(AX38=0,0,D38)</f>
        <v>0</v>
      </c>
      <c r="Q38" s="1243">
        <f>IF(AX38=0,D38+E38,E38)</f>
        <v>0</v>
      </c>
      <c r="R38" s="1244">
        <f>+(AF38*AU38*(100-BC38)/100)+(AJ38*AL38*AG38*(100-BD38)/100)</f>
        <v>0</v>
      </c>
      <c r="S38" s="1241">
        <f>IF(AO38=2,R38,0)</f>
        <v>0</v>
      </c>
      <c r="T38" s="1241">
        <f>AF38*AV38+AG38*AJ38*AM38</f>
        <v>0</v>
      </c>
      <c r="U38" s="1245">
        <f>AF38*AW38+AG38*AJ38*AN38</f>
        <v>0</v>
      </c>
      <c r="V38" s="1246">
        <f>'Abweichende Werte'!L7</f>
        <v>0</v>
      </c>
      <c r="W38" s="1246">
        <f>'Abweichende Werte'!M7</f>
        <v>0</v>
      </c>
      <c r="X38" s="1244">
        <f t="shared" si="12"/>
        <v>0</v>
      </c>
      <c r="Y38" s="1241">
        <f>AG38*AV38-AG38*AJ38*AM38</f>
        <v>0</v>
      </c>
      <c r="Z38" s="1245">
        <f>AG38*AW38-AG38*AJ38*AN38</f>
        <v>0</v>
      </c>
      <c r="AA38" s="1257">
        <f>'Abweichende Werte'!N7</f>
        <v>0</v>
      </c>
      <c r="AB38" s="1244">
        <f>IF(AQ38=1,AG38*BF38*AS38*365/1000*BI38,IF(AQ38=2,AG38*BG38*AS38*365/1000*BI38,AG38*BH38*AS38*365/1000*BI38))</f>
        <v>0</v>
      </c>
      <c r="AC38" s="1241">
        <f>IF(AQ38=1,AG38*BF38*AS38*365/1000*BJ38,IF(AQ38=2,AG38*BG38*AS38*365/1000*BJ38,AG38*BH38*AS38*365/1000*BJ38))</f>
        <v>0</v>
      </c>
      <c r="AD38" s="1245">
        <f>IF(AQ38=1,AG38*BF38*AS38*365/1000*BK38,IF(AQ38=2,AG38*BG38*AS38*365/1000*BK38,AG38*BH38*AS38*365/1000*BK38))</f>
        <v>0</v>
      </c>
      <c r="AE38" s="1241"/>
      <c r="AF38" s="1244">
        <f t="shared" ref="AF38:AG40" si="32">+P38*(100-$H38)/100</f>
        <v>0</v>
      </c>
      <c r="AG38" s="1241">
        <f t="shared" si="32"/>
        <v>0</v>
      </c>
      <c r="AH38" s="1247">
        <f>+P38-(P38*((G38+H38)/2))/100</f>
        <v>0</v>
      </c>
      <c r="AI38" s="1248">
        <f>+E38+D38-AH38</f>
        <v>0</v>
      </c>
      <c r="AJ38" s="1251">
        <f>IF(AQ38=1,AY38,IF(AQ38=2,AY38/2,0))</f>
        <v>0</v>
      </c>
      <c r="AK38" s="1248">
        <f>IF(AQ38=1,AZ38,IF(AQ38=2,BA38,BB38))</f>
        <v>0</v>
      </c>
      <c r="AL38" s="1251">
        <f>IF(AO38=2,3.2,IF(AO38=3,3.3,0))</f>
        <v>0</v>
      </c>
      <c r="AM38" s="1251">
        <f>IF(AO38=2,0,IF(AO38=3,0,0))</f>
        <v>0</v>
      </c>
      <c r="AN38" s="1251">
        <f>IF(AO38=2,7.9,IF(AO38=3,3.1,0))</f>
        <v>0</v>
      </c>
      <c r="AO38" s="1252">
        <f>'Abweichende Werte'!T7</f>
        <v>1</v>
      </c>
      <c r="AP38" s="1253"/>
      <c r="AQ38" s="1253">
        <v>1</v>
      </c>
      <c r="AR38" s="1252">
        <f>'Abweichende Werte'!C7</f>
        <v>0</v>
      </c>
      <c r="AS38" s="1252" t="str">
        <f>IF(AR38&gt;0.001,AR38,"1")</f>
        <v>1</v>
      </c>
      <c r="AT38" s="1251">
        <f>D38*AR38+E38*AR38</f>
        <v>0</v>
      </c>
      <c r="AU38" s="1251">
        <f>'Abweichende Werte'!D7</f>
        <v>0</v>
      </c>
      <c r="AV38" s="1247">
        <f>'Abweichende Werte'!E7</f>
        <v>0</v>
      </c>
      <c r="AW38" s="1248">
        <f>'Abweichende Werte'!F7</f>
        <v>0</v>
      </c>
      <c r="AX38" s="1251">
        <f>'Abweichende Werte'!G7</f>
        <v>0</v>
      </c>
      <c r="AY38" s="1248">
        <f>'Abweichende Werte'!H7</f>
        <v>0</v>
      </c>
      <c r="AZ38" s="1247">
        <f>'Abweichende Werte'!I7</f>
        <v>0</v>
      </c>
      <c r="BA38" s="1247">
        <f>'Abweichende Werte'!J7</f>
        <v>0</v>
      </c>
      <c r="BB38" s="1247">
        <f>'Abweichende Werte'!K7</f>
        <v>0</v>
      </c>
      <c r="BC38" s="1251">
        <f>IF(AO38=2,15,IF(AO38=3,20,IF(AO38=4,40,IF(AO38=5,45,0))))</f>
        <v>0</v>
      </c>
      <c r="BD38" s="1248">
        <f>IF(AO38=2,30,IF(AO38=3,30,IF(AO38=4,40,IF(AO38=5,45,0))))</f>
        <v>0</v>
      </c>
      <c r="BE38" s="1254">
        <f>'Abweichende Werte'!R7</f>
        <v>0</v>
      </c>
      <c r="BF38" s="1212">
        <f>'Abweichende Werte'!O7</f>
        <v>0</v>
      </c>
      <c r="BG38" s="1229">
        <f>'Abweichende Werte'!P7</f>
        <v>0</v>
      </c>
      <c r="BH38" s="1212">
        <f>'Abweichende Werte'!Q7</f>
        <v>0</v>
      </c>
      <c r="BI38" s="1234">
        <v>5</v>
      </c>
      <c r="BJ38" s="1229">
        <v>3</v>
      </c>
      <c r="BK38" s="1235">
        <v>17</v>
      </c>
      <c r="BL38" s="1245">
        <f>IF(AO38=1,0,IF(AO38=2,1,IF(AO38=3,1,5)))</f>
        <v>0</v>
      </c>
      <c r="BM38" s="1245">
        <f>IF(AO38=1,0,IF(AO38=2,2,IF(AO38=3,2,5)))</f>
        <v>0</v>
      </c>
      <c r="BN38" s="1244">
        <f>IF(N38=" ",0,BL38*N38)</f>
        <v>0</v>
      </c>
      <c r="BO38" s="1245">
        <f>IF(N38=" ",0,BM38*N38)</f>
        <v>0</v>
      </c>
      <c r="BP38" s="1241">
        <f>AF38*AX38</f>
        <v>0</v>
      </c>
      <c r="BQ38" s="1245">
        <f>AG38*AJ38</f>
        <v>0</v>
      </c>
      <c r="BR38" s="1212"/>
      <c r="BS38" s="1241" t="b">
        <f>AND(AO38&gt;1)</f>
        <v>0</v>
      </c>
      <c r="BT38" s="1212"/>
      <c r="BU38" s="1212"/>
      <c r="BV38" s="34"/>
      <c r="BW38" s="34"/>
      <c r="BX38" s="34"/>
      <c r="BY38" s="34"/>
      <c r="BZ38" s="34"/>
      <c r="CA38" s="34"/>
      <c r="CB38" s="34"/>
      <c r="CC38" s="33"/>
    </row>
    <row r="39" spans="1:83" ht="15.75" customHeight="1" x14ac:dyDescent="0.2">
      <c r="A39" s="1415" t="str">
        <f>+'Abweichende Werte'!V8</f>
        <v xml:space="preserve"> -- - </v>
      </c>
      <c r="B39" s="1416"/>
      <c r="C39" s="1416"/>
      <c r="D39" s="1030"/>
      <c r="E39" s="1066"/>
      <c r="F39" s="675"/>
      <c r="G39" s="1030"/>
      <c r="H39" s="1058"/>
      <c r="I39" s="1059" t="str">
        <f>IF(BS39=FALSE," ",IF(P39+Q39=0," ",IF(AF39*AX39+AG39*AJ39=0," ",AF39*AX39+AG39*AJ39)))</f>
        <v xml:space="preserve"> </v>
      </c>
      <c r="J39" s="1059" t="str">
        <f>IF(BS39=FALSE," ",IF(Q39=0," ",IF(AG39*AK39=0," ",IF(AO39=4,AG39*AK39-(D39*(1-H39/100)*AK39)*((1220/1000)/(2*11)),AG39*AK39))))</f>
        <v xml:space="preserve"> </v>
      </c>
      <c r="K39" s="34"/>
      <c r="L39" s="34"/>
      <c r="M39" s="1212">
        <f>IF(D39+E39&gt;=1,IF(AO39=1,1,0),0)</f>
        <v>0</v>
      </c>
      <c r="N39" s="1241" t="str">
        <f>IF(J39=" "," ",(J39*(1/BE39)))</f>
        <v xml:space="preserve"> </v>
      </c>
      <c r="O39" s="1241"/>
      <c r="P39" s="1242">
        <f>IF(AX39=0,0,D39)</f>
        <v>0</v>
      </c>
      <c r="Q39" s="1243">
        <f>IF(AX39=0,D39+E39,E39)</f>
        <v>0</v>
      </c>
      <c r="R39" s="1244">
        <f>+(AF39*AU39*(100-BC39)/100)+(AJ39*AL39*AG39*(100-BD39)/100)</f>
        <v>0</v>
      </c>
      <c r="S39" s="1241">
        <f>IF(AO39=2,R39,0)</f>
        <v>0</v>
      </c>
      <c r="T39" s="1241">
        <f>AF39*AV39+AG39*AJ39*AM39</f>
        <v>0</v>
      </c>
      <c r="U39" s="1245">
        <f>AF39*AW39+AG39*AJ39*AN39</f>
        <v>0</v>
      </c>
      <c r="V39" s="1246">
        <f>'Abweichende Werte'!L8</f>
        <v>0</v>
      </c>
      <c r="W39" s="1246">
        <f>'Abweichende Werte'!M8</f>
        <v>0</v>
      </c>
      <c r="X39" s="1244">
        <f t="shared" si="12"/>
        <v>0</v>
      </c>
      <c r="Y39" s="1241">
        <f>AG39*AV39-AG39*AJ39*AM39</f>
        <v>0</v>
      </c>
      <c r="Z39" s="1245">
        <f>AG39*AW39-AG39*AJ39*AN39</f>
        <v>0</v>
      </c>
      <c r="AA39" s="1257">
        <f>'Abweichende Werte'!N8</f>
        <v>0</v>
      </c>
      <c r="AB39" s="1244">
        <f>IF(AQ39=1,AG39*BF39*AS39*365/1000*BI39,IF(AQ39=2,AG39*BG39*AS39*365/1000*BI39,AG39*BH39*AS39*365/1000*BI39))</f>
        <v>0</v>
      </c>
      <c r="AC39" s="1241">
        <f>IF(AQ39=1,AG39*BF39*AS39*365/1000*BJ39,IF(AQ39=2,AG39*BG39*AS39*365/1000*BJ39,AG39*BH39*AS39*365/1000*BJ39))</f>
        <v>0</v>
      </c>
      <c r="AD39" s="1245">
        <f>IF(AQ39=1,AG39*BF39*AS39*365/1000*BK39,IF(AQ39=2,AG39*BG39*AS39*365/1000*BK39,AG39*BH39*AS39*365/1000*BK39))</f>
        <v>0</v>
      </c>
      <c r="AE39" s="1241"/>
      <c r="AF39" s="1244">
        <f t="shared" si="32"/>
        <v>0</v>
      </c>
      <c r="AG39" s="1241">
        <f t="shared" si="32"/>
        <v>0</v>
      </c>
      <c r="AH39" s="1247">
        <f>+P39-(P39*((G39+H39)/2))/100</f>
        <v>0</v>
      </c>
      <c r="AI39" s="1248">
        <f>+E39+D39-AH39</f>
        <v>0</v>
      </c>
      <c r="AJ39" s="1251">
        <f>IF(AQ39=1,AY39,IF(AQ39=2,AY39/2,0))</f>
        <v>0</v>
      </c>
      <c r="AK39" s="1248">
        <f>IF(AQ39=1,AZ39,IF(AQ39=2,BA39,BB39))</f>
        <v>0</v>
      </c>
      <c r="AL39" s="1251">
        <f>IF(AO39=2,3.2,IF(AO39=3,3.3,0))</f>
        <v>0</v>
      </c>
      <c r="AM39" s="1251">
        <f>IF(AO39=2,0,IF(AO39=3,0,0))</f>
        <v>0</v>
      </c>
      <c r="AN39" s="1251">
        <f>IF(AO39=2,7.9,IF(AO39=3,3.1,0))</f>
        <v>0</v>
      </c>
      <c r="AO39" s="1252">
        <f>'Abweichende Werte'!T8</f>
        <v>1</v>
      </c>
      <c r="AP39" s="1253"/>
      <c r="AQ39" s="1253">
        <v>1</v>
      </c>
      <c r="AR39" s="1252">
        <f>'Abweichende Werte'!C8</f>
        <v>0</v>
      </c>
      <c r="AS39" s="1252" t="str">
        <f t="shared" si="24"/>
        <v>1</v>
      </c>
      <c r="AT39" s="1251">
        <f>D39*AR39+E39*AR39</f>
        <v>0</v>
      </c>
      <c r="AU39" s="1251">
        <f>'Abweichende Werte'!D8</f>
        <v>0</v>
      </c>
      <c r="AV39" s="1247">
        <f>'Abweichende Werte'!E8</f>
        <v>0</v>
      </c>
      <c r="AW39" s="1248">
        <f>'Abweichende Werte'!F8</f>
        <v>0</v>
      </c>
      <c r="AX39" s="1251">
        <f>'Abweichende Werte'!G8</f>
        <v>0</v>
      </c>
      <c r="AY39" s="1248">
        <f>'Abweichende Werte'!H8</f>
        <v>0</v>
      </c>
      <c r="AZ39" s="1247">
        <f>'Abweichende Werte'!I8</f>
        <v>0</v>
      </c>
      <c r="BA39" s="1247">
        <f>'Abweichende Werte'!J8</f>
        <v>0</v>
      </c>
      <c r="BB39" s="1247">
        <f>'Abweichende Werte'!K8</f>
        <v>0</v>
      </c>
      <c r="BC39" s="1251">
        <f>IF(AO39=2,15,IF(AO39=3,20,IF(AO39=4,40,IF(AO39=5,45,0))))</f>
        <v>0</v>
      </c>
      <c r="BD39" s="1248">
        <f>IF(AO39=2,30,IF(AO39=3,30,IF(AO39=4,40,IF(AO39=5,45,0))))</f>
        <v>0</v>
      </c>
      <c r="BE39" s="1254">
        <f>'Abweichende Werte'!R8</f>
        <v>0</v>
      </c>
      <c r="BF39" s="1212">
        <f>'Abweichende Werte'!O8</f>
        <v>0</v>
      </c>
      <c r="BG39" s="1229">
        <f>'Abweichende Werte'!P8</f>
        <v>0</v>
      </c>
      <c r="BH39" s="1212">
        <f>'Abweichende Werte'!Q8</f>
        <v>0</v>
      </c>
      <c r="BI39" s="1234">
        <v>5</v>
      </c>
      <c r="BJ39" s="1229">
        <v>3</v>
      </c>
      <c r="BK39" s="1235">
        <v>17</v>
      </c>
      <c r="BL39" s="1245">
        <f>IF(AO39=1,0,IF(AO39=2,1,IF(AO39=3,1,5)))</f>
        <v>0</v>
      </c>
      <c r="BM39" s="1245">
        <f>IF(AO39=1,0,IF(AO39=2,2,IF(AO39=3,2,5)))</f>
        <v>0</v>
      </c>
      <c r="BN39" s="1244">
        <f>IF(N39=" ",0,BL39*N39)</f>
        <v>0</v>
      </c>
      <c r="BO39" s="1245">
        <f>IF(N39=" ",0,BM39*N39)</f>
        <v>0</v>
      </c>
      <c r="BP39" s="1241">
        <f t="shared" si="26"/>
        <v>0</v>
      </c>
      <c r="BQ39" s="1245">
        <f t="shared" si="27"/>
        <v>0</v>
      </c>
      <c r="BR39" s="1212"/>
      <c r="BS39" s="1241" t="b">
        <f>AND(AO39&gt;1)</f>
        <v>0</v>
      </c>
      <c r="BT39" s="1212"/>
      <c r="BU39" s="1212"/>
      <c r="BV39" s="34"/>
      <c r="BW39" s="34"/>
      <c r="BX39" s="34"/>
      <c r="BY39" s="34"/>
      <c r="BZ39" s="34"/>
      <c r="CA39" s="34"/>
      <c r="CB39" s="34"/>
      <c r="CC39" s="33"/>
    </row>
    <row r="40" spans="1:83" ht="15.75" customHeight="1" x14ac:dyDescent="0.2">
      <c r="A40" s="1436" t="str">
        <f>+'Abweichende Werte'!V9</f>
        <v xml:space="preserve"> -- - </v>
      </c>
      <c r="B40" s="1437"/>
      <c r="C40" s="1437"/>
      <c r="D40" s="1062"/>
      <c r="E40" s="1067"/>
      <c r="F40" s="675"/>
      <c r="G40" s="1062"/>
      <c r="H40" s="1065"/>
      <c r="I40" s="1059" t="str">
        <f>IF(BS40=FALSE," ",IF(P40+Q40=0," ",IF(AF40*AX40+AG40*AJ40=0," ",AF40*AX40+AG40*AJ40)))</f>
        <v xml:space="preserve"> </v>
      </c>
      <c r="J40" s="1059" t="str">
        <f>IF(BS40=FALSE," ",IF(Q40=0," ",IF(AG40*AK40=0," ",IF(AO40=4,AG40*AK40-(D40*(1-H40/100)*AK40)*((1220/1000)/(2*11)),AG40*AK40))))</f>
        <v xml:space="preserve"> </v>
      </c>
      <c r="K40" s="34"/>
      <c r="L40" s="34"/>
      <c r="M40" s="1212">
        <f>IF(D40+E40&gt;=1,IF(AO40=1,1,0),0)</f>
        <v>0</v>
      </c>
      <c r="N40" s="1241" t="str">
        <f>IF(J40=" "," ",(J40*(1/BE40)))</f>
        <v xml:space="preserve"> </v>
      </c>
      <c r="O40" s="1241"/>
      <c r="P40" s="1242">
        <f>IF(AX40=0,0,D40)</f>
        <v>0</v>
      </c>
      <c r="Q40" s="1243">
        <f>IF(AX40=0,D40+E40,E40)</f>
        <v>0</v>
      </c>
      <c r="R40" s="1244">
        <f>+(AF40*AU40*(100-BC40)/100)+(AJ40*AL40*AG40*(100-BD40)/100)</f>
        <v>0</v>
      </c>
      <c r="S40" s="1241">
        <f>IF(AO40=2,R40,0)</f>
        <v>0</v>
      </c>
      <c r="T40" s="1241">
        <f>AF40*AV40+AG40*AJ40*AM40</f>
        <v>0</v>
      </c>
      <c r="U40" s="1245">
        <f>AF40*AW40+AG40*AJ40*AN40</f>
        <v>0</v>
      </c>
      <c r="V40" s="1246">
        <f>'Abweichende Werte'!L9</f>
        <v>0</v>
      </c>
      <c r="W40" s="1246">
        <f>'Abweichende Werte'!M9</f>
        <v>0</v>
      </c>
      <c r="X40" s="1244">
        <f t="shared" si="12"/>
        <v>0</v>
      </c>
      <c r="Y40" s="1241">
        <f>AG40*AV40-AG40*AJ40*AM40</f>
        <v>0</v>
      </c>
      <c r="Z40" s="1245">
        <f>AG40*AW40-AG40*AJ40*AN40</f>
        <v>0</v>
      </c>
      <c r="AA40" s="1257">
        <f>'Abweichende Werte'!N9</f>
        <v>0</v>
      </c>
      <c r="AB40" s="1244">
        <f>IF(AQ40=1,AG40*BF40*AS40*365/1000*BI40,IF(AQ40=2,AG40*BG40*AS40*365/1000*BI40,AG40*BH40*AS40*365/1000*BI40))</f>
        <v>0</v>
      </c>
      <c r="AC40" s="1241">
        <f>IF(AQ40=1,AG40*BF40*AS40*365/1000*BJ40,IF(AQ40=2,AG40*BG40*AS40*365/1000*BJ40,AG40*BH40*AS40*365/1000*BJ40))</f>
        <v>0</v>
      </c>
      <c r="AD40" s="1245">
        <f>IF(AQ40=1,AG40*BF40*AS40*365/1000*BK40,IF(AQ40=2,AG40*BG40*AS40*365/1000*BK40,AG40*BH40*AS40*365/1000*BK40))</f>
        <v>0</v>
      </c>
      <c r="AE40" s="1241"/>
      <c r="AF40" s="1244">
        <f t="shared" si="32"/>
        <v>0</v>
      </c>
      <c r="AG40" s="1241">
        <f t="shared" si="32"/>
        <v>0</v>
      </c>
      <c r="AH40" s="1247">
        <f>+P40-(P40*((G40+H40)/2))/100</f>
        <v>0</v>
      </c>
      <c r="AI40" s="1248">
        <f>+E40+D40-AH40</f>
        <v>0</v>
      </c>
      <c r="AJ40" s="1251">
        <f>IF(AQ40=1,AY40,IF(AQ40=2,AY40/2,0))</f>
        <v>0</v>
      </c>
      <c r="AK40" s="1248">
        <f>IF(AQ40=1,AZ40,IF(AQ40=2,BA40,BB40))</f>
        <v>0</v>
      </c>
      <c r="AL40" s="1251">
        <f>IF(AO40=2,3.2,IF(AO40=3,3.3,0))</f>
        <v>0</v>
      </c>
      <c r="AM40" s="1251">
        <f>IF(AO40=2,0,IF(AO40=3,0,0))</f>
        <v>0</v>
      </c>
      <c r="AN40" s="1251">
        <f>IF(AO40=2,7.9,IF(AO40=3,3.1,0))</f>
        <v>0</v>
      </c>
      <c r="AO40" s="1252">
        <f>'Abweichende Werte'!T9</f>
        <v>1</v>
      </c>
      <c r="AP40" s="1253"/>
      <c r="AQ40" s="1253">
        <v>1</v>
      </c>
      <c r="AR40" s="1252">
        <f>'Abweichende Werte'!C9</f>
        <v>0</v>
      </c>
      <c r="AS40" s="1252" t="str">
        <f t="shared" si="24"/>
        <v>1</v>
      </c>
      <c r="AT40" s="1251">
        <f>D40*AR40+E40*AR40</f>
        <v>0</v>
      </c>
      <c r="AU40" s="1251">
        <f>'Abweichende Werte'!D9</f>
        <v>0</v>
      </c>
      <c r="AV40" s="1247">
        <f>'Abweichende Werte'!E9</f>
        <v>0</v>
      </c>
      <c r="AW40" s="1248">
        <f>'Abweichende Werte'!F9</f>
        <v>0</v>
      </c>
      <c r="AX40" s="1251">
        <f>'Abweichende Werte'!G9</f>
        <v>0</v>
      </c>
      <c r="AY40" s="1248">
        <f>'Abweichende Werte'!H9</f>
        <v>0</v>
      </c>
      <c r="AZ40" s="1247">
        <f>'Abweichende Werte'!I9</f>
        <v>0</v>
      </c>
      <c r="BA40" s="1247">
        <f>'Abweichende Werte'!J9</f>
        <v>0</v>
      </c>
      <c r="BB40" s="1247">
        <f>'Abweichende Werte'!K9</f>
        <v>0</v>
      </c>
      <c r="BC40" s="1251">
        <f>IF(AO40=2,15,IF(AO40=3,20,IF(AO40=4,40,IF(AO40=5,45,0))))</f>
        <v>0</v>
      </c>
      <c r="BD40" s="1248">
        <f>IF(AO40=2,30,IF(AO40=3,30,IF(AO40=4,40,IF(AO40=5,45,0))))</f>
        <v>0</v>
      </c>
      <c r="BE40" s="1254">
        <f>'Abweichende Werte'!R9</f>
        <v>0</v>
      </c>
      <c r="BF40" s="1212">
        <f>'Abweichende Werte'!O9</f>
        <v>0</v>
      </c>
      <c r="BG40" s="1229">
        <f>'Abweichende Werte'!P9</f>
        <v>0</v>
      </c>
      <c r="BH40" s="1212">
        <f>'Abweichende Werte'!Q9</f>
        <v>0</v>
      </c>
      <c r="BI40" s="1234">
        <v>5</v>
      </c>
      <c r="BJ40" s="1229">
        <v>3</v>
      </c>
      <c r="BK40" s="1235">
        <v>17</v>
      </c>
      <c r="BL40" s="1245">
        <f>IF(AO40=1,0,IF(AO40=2,1,IF(AO40=3,1,5)))</f>
        <v>0</v>
      </c>
      <c r="BM40" s="1245">
        <f>IF(AO40=1,0,IF(AO40=2,2,IF(AO40=3,2,5)))</f>
        <v>0</v>
      </c>
      <c r="BN40" s="1244">
        <f>IF(N40=" ",0,BL40*N40)</f>
        <v>0</v>
      </c>
      <c r="BO40" s="1245">
        <f>IF(N40=" ",0,BM40*N40)</f>
        <v>0</v>
      </c>
      <c r="BP40" s="1241">
        <f t="shared" si="26"/>
        <v>0</v>
      </c>
      <c r="BQ40" s="1245">
        <f t="shared" si="27"/>
        <v>0</v>
      </c>
      <c r="BR40" s="1212"/>
      <c r="BS40" s="1241" t="b">
        <f>AND(AO40&gt;1)</f>
        <v>0</v>
      </c>
      <c r="BT40" s="1212"/>
      <c r="BU40" s="1212"/>
      <c r="BV40" s="34"/>
      <c r="BW40" s="34"/>
      <c r="BX40" s="34"/>
      <c r="BY40" s="34"/>
      <c r="BZ40" s="34"/>
      <c r="CA40" s="34"/>
      <c r="CB40" s="34"/>
      <c r="CC40" s="33"/>
    </row>
    <row r="41" spans="1:83" ht="15.75" customHeight="1" x14ac:dyDescent="0.2">
      <c r="A41" s="1346" t="s">
        <v>569</v>
      </c>
      <c r="B41" s="1347"/>
      <c r="C41" s="1347"/>
      <c r="D41" s="1348"/>
      <c r="E41" s="1348"/>
      <c r="F41" s="1348"/>
      <c r="G41" s="1420"/>
      <c r="H41" s="1421"/>
      <c r="I41" s="1032"/>
      <c r="J41" s="1033"/>
      <c r="K41" s="34"/>
      <c r="L41" s="1189" t="s">
        <v>580</v>
      </c>
      <c r="M41" s="1223" t="s">
        <v>467</v>
      </c>
      <c r="N41" s="1212" t="s">
        <v>479</v>
      </c>
      <c r="O41" s="1212"/>
      <c r="P41" s="1212"/>
      <c r="Q41" s="1212"/>
      <c r="R41" s="1234"/>
      <c r="S41" s="1212"/>
      <c r="T41" s="1212"/>
      <c r="U41" s="1235"/>
      <c r="V41" s="1226"/>
      <c r="W41" s="1226"/>
      <c r="X41" s="1234"/>
      <c r="Y41" s="1212"/>
      <c r="Z41" s="1235"/>
      <c r="AA41" s="1226"/>
      <c r="AB41" s="1234"/>
      <c r="AC41" s="1212"/>
      <c r="AD41" s="1235"/>
      <c r="AE41" s="1212"/>
      <c r="AF41" s="1212"/>
      <c r="AG41" s="1212"/>
      <c r="AH41" s="1212"/>
      <c r="AI41" s="1212"/>
      <c r="AJ41" s="1212"/>
      <c r="AK41" s="1212"/>
      <c r="AL41" s="1212"/>
      <c r="AM41" s="1212"/>
      <c r="AN41" s="1212"/>
      <c r="AO41" s="1212"/>
      <c r="AP41" s="1212">
        <f>IF(OR(AP25=2,AP26=2,AP27=2,AP28=2,AP29=2,AP30=2,AP31=2,AP32=2,AP33=2,AP34=2,AP35=2,AP36=2,),2,1)</f>
        <v>1</v>
      </c>
      <c r="AQ41" s="1241"/>
      <c r="AR41" s="1241"/>
      <c r="AS41" s="1241"/>
      <c r="AT41" s="1259"/>
      <c r="AU41" s="1212"/>
      <c r="AV41" s="1212"/>
      <c r="AW41" s="1212"/>
      <c r="AX41" s="1247"/>
      <c r="AY41" s="1247"/>
      <c r="AZ41" s="1247"/>
      <c r="BA41" s="1247"/>
      <c r="BB41" s="1247"/>
      <c r="BC41" s="1212"/>
      <c r="BD41" s="1212"/>
      <c r="BE41" s="1258"/>
      <c r="BF41" s="1212"/>
      <c r="BG41" s="1212"/>
      <c r="BH41" s="1212"/>
      <c r="BI41" s="1212"/>
      <c r="BJ41" s="1212"/>
      <c r="BK41" s="1212"/>
      <c r="BL41" s="1260"/>
      <c r="BM41" s="1260"/>
      <c r="BN41" s="1261"/>
      <c r="BO41" s="1262"/>
      <c r="BP41" s="1212"/>
      <c r="BQ41" s="1235"/>
      <c r="BR41" s="1212"/>
      <c r="BS41" s="1212"/>
      <c r="BT41" s="1212"/>
      <c r="BU41" s="1212"/>
      <c r="BV41" s="34"/>
      <c r="BW41" s="34"/>
      <c r="BX41" s="34"/>
      <c r="BY41" s="34"/>
      <c r="BZ41" s="34"/>
      <c r="CA41" s="34"/>
      <c r="CB41" s="34"/>
      <c r="CC41" s="34"/>
      <c r="CD41" s="34"/>
      <c r="CE41" s="34"/>
    </row>
    <row r="42" spans="1:83" ht="15.75" customHeight="1" x14ac:dyDescent="0.2">
      <c r="A42" s="1422" t="s">
        <v>585</v>
      </c>
      <c r="B42" s="1423"/>
      <c r="C42" s="1423"/>
      <c r="D42" s="1423"/>
      <c r="E42" s="1423"/>
      <c r="F42" s="1424"/>
      <c r="G42" s="1028"/>
      <c r="H42" s="1029" t="s">
        <v>37</v>
      </c>
      <c r="I42" s="1195" t="str">
        <f>IF(G42&gt;0.1,IF($B$14&lt;1,"Fehler",L42)," ")</f>
        <v xml:space="preserve"> </v>
      </c>
      <c r="J42" s="920"/>
      <c r="K42" s="34"/>
      <c r="L42" s="1190" t="str">
        <f>IF(($B$14*G42*0.7)/1000=0," ",($B$14*G42*0.7)/1000)</f>
        <v xml:space="preserve"> </v>
      </c>
      <c r="M42" s="1235">
        <f>+M43+M44+M46</f>
        <v>0</v>
      </c>
      <c r="N42" s="1212">
        <f>IF(L42=" ",0,L42)</f>
        <v>0</v>
      </c>
      <c r="O42" s="1212"/>
      <c r="P42" s="1212"/>
      <c r="Q42" s="1212"/>
      <c r="R42" s="1234"/>
      <c r="S42" s="1212"/>
      <c r="T42" s="1212"/>
      <c r="U42" s="1235"/>
      <c r="V42" s="1226"/>
      <c r="W42" s="1226"/>
      <c r="X42" s="1234"/>
      <c r="Y42" s="1212"/>
      <c r="Z42" s="1235"/>
      <c r="AA42" s="1226"/>
      <c r="AB42" s="1234"/>
      <c r="AC42" s="1212"/>
      <c r="AD42" s="1235"/>
      <c r="AE42" s="1212"/>
      <c r="AF42" s="1212"/>
      <c r="AG42" s="1212"/>
      <c r="AH42" s="1212"/>
      <c r="AI42" s="1212"/>
      <c r="AJ42" s="1212"/>
      <c r="AK42" s="1212"/>
      <c r="AL42" s="1213"/>
      <c r="AM42" s="1213"/>
      <c r="AN42" s="1213"/>
      <c r="AO42" s="1213"/>
      <c r="AP42" s="1212"/>
      <c r="AQ42" s="1212"/>
      <c r="AR42" s="1212"/>
      <c r="AS42" s="1212"/>
      <c r="AT42" s="1229"/>
      <c r="AU42" s="1212"/>
      <c r="AV42" s="1212"/>
      <c r="AW42" s="1212"/>
      <c r="AX42" s="1212"/>
      <c r="AY42" s="1212"/>
      <c r="AZ42" s="1212"/>
      <c r="BA42" s="1212"/>
      <c r="BB42" s="1212"/>
      <c r="BC42" s="1212"/>
      <c r="BD42" s="1212"/>
      <c r="BE42" s="1212"/>
      <c r="BF42" s="1212"/>
      <c r="BG42" s="1212"/>
      <c r="BH42" s="1212"/>
      <c r="BI42" s="1212"/>
      <c r="BJ42" s="1212"/>
      <c r="BK42" s="1212"/>
      <c r="BL42" s="1260"/>
      <c r="BM42" s="1260"/>
      <c r="BN42" s="1261"/>
      <c r="BO42" s="1262"/>
      <c r="BP42" s="1263">
        <f>SUM(BP25:BP40)</f>
        <v>0</v>
      </c>
      <c r="BQ42" s="1264">
        <f>SUM(BQ25:BQ40)</f>
        <v>0</v>
      </c>
      <c r="BR42" s="1212"/>
      <c r="BS42" s="1212"/>
      <c r="BT42" s="1212"/>
      <c r="BU42" s="1212"/>
      <c r="BV42" s="34"/>
      <c r="BW42" s="34"/>
      <c r="BX42" s="34"/>
      <c r="BY42" s="34"/>
      <c r="BZ42" s="34"/>
      <c r="CA42" s="34"/>
      <c r="CB42" s="34"/>
      <c r="CC42" s="34"/>
      <c r="CD42" s="34"/>
      <c r="CE42" s="34"/>
    </row>
    <row r="43" spans="1:83" s="855" customFormat="1" ht="15.75" customHeight="1" thickBot="1" x14ac:dyDescent="0.25">
      <c r="A43" s="1422" t="s">
        <v>586</v>
      </c>
      <c r="B43" s="1423"/>
      <c r="C43" s="1423"/>
      <c r="D43" s="1423"/>
      <c r="E43" s="1423"/>
      <c r="F43" s="1424"/>
      <c r="G43" s="1030"/>
      <c r="H43" s="1031" t="s">
        <v>37</v>
      </c>
      <c r="I43" s="1196" t="str">
        <f>IF(G43&gt;0.1,IF($B$14&lt;1,"Fehler",L43)," ")</f>
        <v xml:space="preserve"> </v>
      </c>
      <c r="J43" s="920"/>
      <c r="K43" s="35"/>
      <c r="L43" s="1190" t="str">
        <f>IF(($B$14*G43*0.85)/1000=0," ",($B$14*G43*0.85)/1000)</f>
        <v xml:space="preserve"> </v>
      </c>
      <c r="M43" s="1265">
        <f>IF(L43=" ",0,L43)</f>
        <v>0</v>
      </c>
      <c r="N43" s="1212">
        <f>IF(L43=" ",0,L43)</f>
        <v>0</v>
      </c>
      <c r="O43" s="1215"/>
      <c r="P43" s="1215"/>
      <c r="Q43" s="1215"/>
      <c r="R43" s="1266"/>
      <c r="S43" s="1215"/>
      <c r="T43" s="1215"/>
      <c r="U43" s="1265"/>
      <c r="V43" s="1267"/>
      <c r="W43" s="1267"/>
      <c r="X43" s="1266"/>
      <c r="Y43" s="1215"/>
      <c r="Z43" s="1265"/>
      <c r="AA43" s="1267"/>
      <c r="AB43" s="1266"/>
      <c r="AC43" s="1215"/>
      <c r="AD43" s="1265"/>
      <c r="AE43" s="1215"/>
      <c r="AF43" s="1215"/>
      <c r="AG43" s="1215"/>
      <c r="AH43" s="1215"/>
      <c r="AI43" s="1215"/>
      <c r="AJ43" s="1215"/>
      <c r="AK43" s="1215"/>
      <c r="AL43" s="1215"/>
      <c r="AM43" s="1215"/>
      <c r="AN43" s="1215"/>
      <c r="AO43" s="1215"/>
      <c r="AP43" s="1215"/>
      <c r="AQ43" s="1215"/>
      <c r="AR43" s="1215"/>
      <c r="AS43" s="1215"/>
      <c r="AT43" s="1268"/>
      <c r="AU43" s="1212"/>
      <c r="AV43" s="1212"/>
      <c r="AW43" s="1212"/>
      <c r="AX43" s="1212"/>
      <c r="AY43" s="1212"/>
      <c r="AZ43" s="1212"/>
      <c r="BA43" s="1212"/>
      <c r="BB43" s="1212"/>
      <c r="BC43" s="1212"/>
      <c r="BD43" s="1215"/>
      <c r="BE43" s="1215"/>
      <c r="BF43" s="1215"/>
      <c r="BG43" s="1215"/>
      <c r="BH43" s="1215"/>
      <c r="BI43" s="1215"/>
      <c r="BJ43" s="1215"/>
      <c r="BK43" s="1215"/>
      <c r="BL43" s="1269"/>
      <c r="BM43" s="1269"/>
      <c r="BN43" s="1261"/>
      <c r="BO43" s="1262"/>
      <c r="BP43" s="1270" t="str">
        <f>IF(BP42=0,"1",SUM(BP25:BP40))</f>
        <v>1</v>
      </c>
      <c r="BQ43" s="1271" t="str">
        <f>IF(BQ42=0,"1",SUM(BQ25:BQ40))</f>
        <v>1</v>
      </c>
      <c r="BR43" s="1215"/>
      <c r="BS43" s="1215"/>
      <c r="BT43" s="1215"/>
      <c r="BU43" s="1215"/>
      <c r="BV43" s="853"/>
      <c r="BW43" s="853"/>
      <c r="BX43" s="854"/>
      <c r="BY43" s="853"/>
      <c r="BZ43" s="853"/>
      <c r="CA43" s="853"/>
      <c r="CB43" s="853"/>
      <c r="CC43" s="853"/>
      <c r="CD43" s="853"/>
      <c r="CE43" s="853"/>
    </row>
    <row r="44" spans="1:83" s="855" customFormat="1" ht="15.75" customHeight="1" x14ac:dyDescent="0.2">
      <c r="A44" s="1422" t="s">
        <v>587</v>
      </c>
      <c r="B44" s="1423"/>
      <c r="C44" s="1423"/>
      <c r="D44" s="1423"/>
      <c r="E44" s="1423"/>
      <c r="F44" s="1424"/>
      <c r="G44" s="1338"/>
      <c r="H44" s="1339" t="s">
        <v>37</v>
      </c>
      <c r="I44" s="1197" t="str">
        <f>IF(G44&gt;0.1,IF($B$14&lt;1,"Fehler",L44)," ")</f>
        <v xml:space="preserve"> </v>
      </c>
      <c r="J44" s="920"/>
      <c r="K44" s="35"/>
      <c r="L44" s="1190" t="str">
        <f>IF(($B$14*G44*0.85)/1000=0," ",($B$14*G44*0.85)/1000)</f>
        <v xml:space="preserve"> </v>
      </c>
      <c r="M44" s="1265">
        <f>IF(L44=" ",0,L44)</f>
        <v>0</v>
      </c>
      <c r="N44" s="1212">
        <f>IF(L44=" ",0,L44)</f>
        <v>0</v>
      </c>
      <c r="O44" s="1215"/>
      <c r="P44" s="1215"/>
      <c r="Q44" s="1215"/>
      <c r="R44" s="1266"/>
      <c r="S44" s="1215"/>
      <c r="T44" s="1215"/>
      <c r="U44" s="1265"/>
      <c r="V44" s="1267"/>
      <c r="W44" s="1267"/>
      <c r="X44" s="1266"/>
      <c r="Y44" s="1215"/>
      <c r="Z44" s="1265"/>
      <c r="AA44" s="1267"/>
      <c r="AB44" s="1266"/>
      <c r="AC44" s="1215"/>
      <c r="AD44" s="1265"/>
      <c r="AE44" s="1215"/>
      <c r="AF44" s="1215"/>
      <c r="AG44" s="1215"/>
      <c r="AH44" s="1215"/>
      <c r="AI44" s="1215"/>
      <c r="AJ44" s="1215"/>
      <c r="AK44" s="1215"/>
      <c r="AL44" s="1215"/>
      <c r="AM44" s="1215"/>
      <c r="AN44" s="1215"/>
      <c r="AO44" s="1215"/>
      <c r="AP44" s="1215"/>
      <c r="AQ44" s="1215">
        <f>SUM(G42:G44)</f>
        <v>0</v>
      </c>
      <c r="AR44" s="1215"/>
      <c r="AS44" s="1215"/>
      <c r="AT44" s="1268"/>
      <c r="AU44" s="1215"/>
      <c r="AV44" s="1215"/>
      <c r="AW44" s="1215"/>
      <c r="AX44" s="1215"/>
      <c r="AY44" s="1215"/>
      <c r="AZ44" s="1215"/>
      <c r="BA44" s="1215"/>
      <c r="BB44" s="1215"/>
      <c r="BC44" s="1215"/>
      <c r="BD44" s="1215"/>
      <c r="BE44" s="1215"/>
      <c r="BF44" s="1215"/>
      <c r="BG44" s="1215"/>
      <c r="BH44" s="1215"/>
      <c r="BI44" s="1215"/>
      <c r="BJ44" s="1215"/>
      <c r="BK44" s="1215"/>
      <c r="BL44" s="1269"/>
      <c r="BM44" s="1269"/>
      <c r="BN44" s="1261"/>
      <c r="BO44" s="1262"/>
      <c r="BP44" s="1215"/>
      <c r="BQ44" s="1215"/>
      <c r="BR44" s="1215"/>
      <c r="BS44" s="1215"/>
      <c r="BT44" s="1215"/>
      <c r="BU44" s="1215"/>
      <c r="BV44" s="853"/>
      <c r="BW44" s="853"/>
      <c r="BX44" s="854"/>
      <c r="BY44" s="853"/>
      <c r="BZ44" s="853"/>
      <c r="CA44" s="853"/>
      <c r="CB44" s="853"/>
      <c r="CC44" s="853"/>
      <c r="CD44" s="853"/>
      <c r="CE44" s="853"/>
    </row>
    <row r="45" spans="1:83" s="855" customFormat="1" ht="15.75" customHeight="1" x14ac:dyDescent="0.2">
      <c r="A45" s="1378" t="s">
        <v>570</v>
      </c>
      <c r="B45" s="1379"/>
      <c r="C45" s="1379"/>
      <c r="D45" s="1379"/>
      <c r="E45" s="1379"/>
      <c r="F45" s="1380"/>
      <c r="G45" s="1340"/>
      <c r="H45" s="1341" t="s">
        <v>430</v>
      </c>
      <c r="I45" s="1149" t="str">
        <f>+IF(G45&gt;0.1,G45*33.2," ")</f>
        <v xml:space="preserve"> </v>
      </c>
      <c r="J45" s="920"/>
      <c r="K45" s="35"/>
      <c r="L45" s="853"/>
      <c r="M45" s="1268"/>
      <c r="N45" s="1212">
        <f>IF(I45=" ",0,I45)</f>
        <v>0</v>
      </c>
      <c r="O45" s="1215"/>
      <c r="P45" s="1215"/>
      <c r="Q45" s="1215"/>
      <c r="R45" s="1266"/>
      <c r="S45" s="1215"/>
      <c r="T45" s="1215"/>
      <c r="U45" s="1265"/>
      <c r="V45" s="1267"/>
      <c r="W45" s="1267"/>
      <c r="X45" s="1266"/>
      <c r="Y45" s="1215"/>
      <c r="Z45" s="1265"/>
      <c r="AA45" s="1267"/>
      <c r="AB45" s="1266"/>
      <c r="AC45" s="1215"/>
      <c r="AD45" s="1265"/>
      <c r="AE45" s="1215"/>
      <c r="AF45" s="1215"/>
      <c r="AG45" s="1215"/>
      <c r="AH45" s="1215"/>
      <c r="AI45" s="1215"/>
      <c r="AJ45" s="1215"/>
      <c r="AK45" s="1215"/>
      <c r="AL45" s="1215"/>
      <c r="AM45" s="1215"/>
      <c r="AN45" s="1215"/>
      <c r="AO45" s="1215"/>
      <c r="AP45" s="1215"/>
      <c r="AQ45" s="1215"/>
      <c r="AR45" s="1215"/>
      <c r="AS45" s="1215"/>
      <c r="AT45" s="1268"/>
      <c r="AU45" s="1215"/>
      <c r="AV45" s="1215"/>
      <c r="AW45" s="1215"/>
      <c r="AX45" s="1215"/>
      <c r="AY45" s="1215"/>
      <c r="AZ45" s="1215"/>
      <c r="BA45" s="1215"/>
      <c r="BB45" s="1215"/>
      <c r="BC45" s="1215"/>
      <c r="BD45" s="1215"/>
      <c r="BE45" s="1215"/>
      <c r="BF45" s="1215"/>
      <c r="BG45" s="1215"/>
      <c r="BH45" s="1215"/>
      <c r="BI45" s="1215"/>
      <c r="BJ45" s="1215"/>
      <c r="BK45" s="1215"/>
      <c r="BL45" s="1269"/>
      <c r="BM45" s="1269"/>
      <c r="BN45" s="1261"/>
      <c r="BO45" s="1262"/>
      <c r="BP45" s="1215"/>
      <c r="BQ45" s="1215"/>
      <c r="BR45" s="1215"/>
      <c r="BS45" s="1215"/>
      <c r="BT45" s="1215"/>
      <c r="BU45" s="1215"/>
      <c r="BV45" s="853"/>
      <c r="BW45" s="853"/>
      <c r="BX45" s="853"/>
      <c r="BY45" s="853"/>
      <c r="BZ45" s="853"/>
      <c r="CA45" s="853"/>
      <c r="CB45" s="853"/>
      <c r="CC45" s="853"/>
      <c r="CD45" s="853"/>
      <c r="CE45" s="853"/>
    </row>
    <row r="46" spans="1:83" s="855" customFormat="1" ht="15.75" customHeight="1" x14ac:dyDescent="0.2">
      <c r="A46" s="1378" t="s">
        <v>583</v>
      </c>
      <c r="B46" s="1379"/>
      <c r="C46" s="1379"/>
      <c r="D46" s="1379"/>
      <c r="E46" s="1379"/>
      <c r="F46" s="1380"/>
      <c r="G46" s="1345"/>
      <c r="H46" s="1343" t="s">
        <v>1</v>
      </c>
      <c r="I46" s="1337" t="str">
        <f>IF(G46&gt;0.1,G46," ")</f>
        <v xml:space="preserve"> </v>
      </c>
      <c r="J46" s="920"/>
      <c r="K46" s="35"/>
      <c r="L46" s="853"/>
      <c r="M46" s="1272">
        <f>IF(I46=" ",0,I46)</f>
        <v>0</v>
      </c>
      <c r="N46" s="1212">
        <f>IF(I46=" ",0,I46)</f>
        <v>0</v>
      </c>
      <c r="O46" s="1215"/>
      <c r="P46" s="1215"/>
      <c r="Q46" s="1215"/>
      <c r="R46" s="1266"/>
      <c r="S46" s="1215"/>
      <c r="T46" s="1215"/>
      <c r="U46" s="1265"/>
      <c r="V46" s="1267"/>
      <c r="W46" s="1267"/>
      <c r="X46" s="1266"/>
      <c r="Y46" s="1215"/>
      <c r="Z46" s="1265"/>
      <c r="AA46" s="1267"/>
      <c r="AB46" s="1266"/>
      <c r="AC46" s="1215"/>
      <c r="AD46" s="1265"/>
      <c r="AE46" s="1215"/>
      <c r="AF46" s="1215"/>
      <c r="AG46" s="1215"/>
      <c r="AH46" s="1215"/>
      <c r="AI46" s="1215"/>
      <c r="AJ46" s="1215"/>
      <c r="AK46" s="1215"/>
      <c r="AL46" s="1215"/>
      <c r="AM46" s="1215"/>
      <c r="AN46" s="1215"/>
      <c r="AO46" s="1215"/>
      <c r="AP46" s="1215"/>
      <c r="AQ46" s="1215"/>
      <c r="AR46" s="1215"/>
      <c r="AS46" s="1215"/>
      <c r="AT46" s="1268"/>
      <c r="AU46" s="1215"/>
      <c r="AV46" s="1215"/>
      <c r="AW46" s="1215"/>
      <c r="AX46" s="1215"/>
      <c r="AY46" s="1215"/>
      <c r="AZ46" s="1215"/>
      <c r="BA46" s="1215"/>
      <c r="BB46" s="1215"/>
      <c r="BC46" s="1215"/>
      <c r="BD46" s="1215"/>
      <c r="BE46" s="1215"/>
      <c r="BF46" s="1215"/>
      <c r="BG46" s="1215"/>
      <c r="BH46" s="1215"/>
      <c r="BI46" s="1215"/>
      <c r="BJ46" s="1215"/>
      <c r="BK46" s="1215"/>
      <c r="BL46" s="1269"/>
      <c r="BM46" s="1269"/>
      <c r="BN46" s="1261"/>
      <c r="BO46" s="1262"/>
      <c r="BP46" s="1215"/>
      <c r="BQ46" s="1215"/>
      <c r="BR46" s="1215"/>
      <c r="BS46" s="1215"/>
      <c r="BT46" s="1215"/>
      <c r="BU46" s="1215"/>
      <c r="BV46" s="853"/>
      <c r="BW46" s="853"/>
      <c r="BX46" s="854"/>
      <c r="BY46" s="853"/>
      <c r="BZ46" s="853"/>
      <c r="CA46" s="853"/>
      <c r="CB46" s="853"/>
      <c r="CC46" s="853"/>
      <c r="CD46" s="853"/>
      <c r="CE46" s="853"/>
    </row>
    <row r="47" spans="1:83" s="855" customFormat="1" ht="15.75" customHeight="1" thickBot="1" x14ac:dyDescent="0.25">
      <c r="A47" s="5" t="s">
        <v>584</v>
      </c>
      <c r="B47" s="6"/>
      <c r="C47" s="6"/>
      <c r="D47" s="12"/>
      <c r="E47" s="12"/>
      <c r="F47" s="12"/>
      <c r="G47" s="1344"/>
      <c r="H47" s="1342" t="s">
        <v>1</v>
      </c>
      <c r="I47" s="1337" t="str">
        <f>IF(G47&gt;0.1,G47," ")</f>
        <v xml:space="preserve"> </v>
      </c>
      <c r="J47" s="957"/>
      <c r="K47" s="35"/>
      <c r="L47" s="853"/>
      <c r="M47" s="1215"/>
      <c r="N47" s="1212">
        <f>IF(I47=" ",0,I47)</f>
        <v>0</v>
      </c>
      <c r="O47" s="1215"/>
      <c r="P47" s="1215"/>
      <c r="Q47" s="1215"/>
      <c r="R47" s="1266"/>
      <c r="S47" s="1215"/>
      <c r="T47" s="1215"/>
      <c r="U47" s="1265"/>
      <c r="V47" s="1267"/>
      <c r="W47" s="1267"/>
      <c r="X47" s="1266"/>
      <c r="Y47" s="1215"/>
      <c r="Z47" s="1265"/>
      <c r="AA47" s="1267"/>
      <c r="AB47" s="1266"/>
      <c r="AC47" s="1215"/>
      <c r="AD47" s="1265"/>
      <c r="AE47" s="1215"/>
      <c r="AF47" s="1215"/>
      <c r="AG47" s="1215"/>
      <c r="AH47" s="1215"/>
      <c r="AI47" s="1215"/>
      <c r="AJ47" s="1215"/>
      <c r="AK47" s="1215"/>
      <c r="AL47" s="1215"/>
      <c r="AM47" s="1215"/>
      <c r="AN47" s="1215"/>
      <c r="AO47" s="1215"/>
      <c r="AP47" s="1215"/>
      <c r="AQ47" s="1215"/>
      <c r="AR47" s="1215"/>
      <c r="AS47" s="1215"/>
      <c r="AT47" s="1268"/>
      <c r="AU47" s="1215"/>
      <c r="AV47" s="1215"/>
      <c r="AW47" s="1215"/>
      <c r="AX47" s="1215"/>
      <c r="AY47" s="1215"/>
      <c r="AZ47" s="1215"/>
      <c r="BA47" s="1215"/>
      <c r="BB47" s="1215"/>
      <c r="BC47" s="1215"/>
      <c r="BD47" s="1215"/>
      <c r="BE47" s="1215"/>
      <c r="BF47" s="1215"/>
      <c r="BG47" s="1215"/>
      <c r="BH47" s="1215"/>
      <c r="BI47" s="1215"/>
      <c r="BJ47" s="1215"/>
      <c r="BK47" s="1215"/>
      <c r="BL47" s="1269"/>
      <c r="BM47" s="1269"/>
      <c r="BN47" s="1261"/>
      <c r="BO47" s="1262"/>
      <c r="BP47" s="1215"/>
      <c r="BQ47" s="1215"/>
      <c r="BR47" s="1215"/>
      <c r="BS47" s="1215"/>
      <c r="BT47" s="1215"/>
      <c r="BU47" s="1215"/>
      <c r="BV47" s="853"/>
      <c r="BW47" s="853"/>
      <c r="BX47" s="853"/>
      <c r="BY47" s="853"/>
      <c r="BZ47" s="853"/>
      <c r="CA47" s="853"/>
      <c r="CB47" s="853"/>
      <c r="CC47" s="853"/>
      <c r="CD47" s="853"/>
      <c r="CE47" s="853"/>
    </row>
    <row r="48" spans="1:83" s="855" customFormat="1" ht="21" customHeight="1" thickBot="1" x14ac:dyDescent="0.25">
      <c r="A48" s="2" t="s">
        <v>377</v>
      </c>
      <c r="B48" s="8"/>
      <c r="C48" s="8"/>
      <c r="D48" s="9"/>
      <c r="E48" s="9"/>
      <c r="F48" s="9"/>
      <c r="G48" s="9"/>
      <c r="H48" s="40"/>
      <c r="I48" s="569"/>
      <c r="J48" s="1150" t="str">
        <f>IF(N48=0," ",N48)</f>
        <v xml:space="preserve"> </v>
      </c>
      <c r="K48" s="37"/>
      <c r="L48" s="854"/>
      <c r="M48" s="1273">
        <f>SUM(I25:I47)</f>
        <v>0</v>
      </c>
      <c r="N48" s="1273">
        <f>SUM(J25:J47)</f>
        <v>0</v>
      </c>
      <c r="O48" s="1274"/>
      <c r="P48" s="1274"/>
      <c r="Q48" s="1274"/>
      <c r="R48" s="1275">
        <f t="shared" ref="R48:Z48" si="33">SUM(R25:R47)</f>
        <v>0</v>
      </c>
      <c r="S48" s="1275">
        <f t="shared" si="33"/>
        <v>0</v>
      </c>
      <c r="T48" s="1276">
        <f>SUM(T25:T47)</f>
        <v>0</v>
      </c>
      <c r="U48" s="1277">
        <f t="shared" si="33"/>
        <v>0</v>
      </c>
      <c r="V48" s="1278"/>
      <c r="W48" s="1278"/>
      <c r="X48" s="1275">
        <f>SUM(X25:X47)</f>
        <v>0</v>
      </c>
      <c r="Y48" s="1276">
        <f t="shared" si="33"/>
        <v>0</v>
      </c>
      <c r="Z48" s="1277">
        <f t="shared" si="33"/>
        <v>0</v>
      </c>
      <c r="AA48" s="1278"/>
      <c r="AB48" s="1275">
        <f>SUM(AB25:AB47)</f>
        <v>0</v>
      </c>
      <c r="AC48" s="1275">
        <f>SUM(AC25:AC47)</f>
        <v>0</v>
      </c>
      <c r="AD48" s="1279">
        <f>SUM(AD25:AD47)</f>
        <v>0</v>
      </c>
      <c r="AE48" s="1274"/>
      <c r="AF48" s="1274"/>
      <c r="AG48" s="1274"/>
      <c r="AH48" s="1274"/>
      <c r="AI48" s="1274"/>
      <c r="AJ48" s="1274"/>
      <c r="AK48" s="1274"/>
      <c r="AL48" s="1274"/>
      <c r="AM48" s="1274"/>
      <c r="AN48" s="1274"/>
      <c r="AO48" s="1274"/>
      <c r="AP48" s="1274"/>
      <c r="AQ48" s="1215"/>
      <c r="AR48" s="1215"/>
      <c r="AS48" s="1215"/>
      <c r="AT48" s="1280">
        <f>SUM(AT25:AT40)</f>
        <v>0</v>
      </c>
      <c r="AU48" s="1215"/>
      <c r="AV48" s="1215"/>
      <c r="AW48" s="1215"/>
      <c r="AX48" s="1215"/>
      <c r="AY48" s="1215"/>
      <c r="AZ48" s="1215"/>
      <c r="BA48" s="1215"/>
      <c r="BB48" s="1215"/>
      <c r="BC48" s="1215"/>
      <c r="BD48" s="1215"/>
      <c r="BE48" s="1215"/>
      <c r="BF48" s="1215"/>
      <c r="BG48" s="1215"/>
      <c r="BH48" s="1215"/>
      <c r="BI48" s="1215"/>
      <c r="BJ48" s="1215"/>
      <c r="BK48" s="1215"/>
      <c r="BL48" s="1269"/>
      <c r="BM48" s="1269"/>
      <c r="BN48" s="1261"/>
      <c r="BO48" s="1262"/>
      <c r="BP48" s="1215"/>
      <c r="BQ48" s="1215"/>
      <c r="BR48" s="1215"/>
      <c r="BS48" s="1215"/>
      <c r="BT48" s="1215"/>
      <c r="BU48" s="1215"/>
      <c r="BV48" s="853"/>
      <c r="BW48" s="853"/>
      <c r="BX48" s="853"/>
      <c r="BY48" s="853"/>
      <c r="BZ48" s="853"/>
      <c r="CA48" s="853"/>
      <c r="CB48" s="853"/>
      <c r="CC48" s="853"/>
      <c r="CD48" s="853"/>
      <c r="CE48" s="853"/>
    </row>
    <row r="49" spans="1:83" s="857" customFormat="1" ht="26.25" customHeight="1" thickBot="1" x14ac:dyDescent="0.25">
      <c r="A49" s="903" t="s">
        <v>408</v>
      </c>
      <c r="B49" s="904"/>
      <c r="C49" s="904"/>
      <c r="D49" s="905"/>
      <c r="E49" s="905"/>
      <c r="F49" s="905"/>
      <c r="G49" s="905"/>
      <c r="H49" s="1022"/>
      <c r="I49" s="1179" t="str">
        <f>IF(M48=0," ",M48)</f>
        <v xml:space="preserve"> </v>
      </c>
      <c r="J49" s="1179" t="str">
        <f>IF(N49=0," ",N49)</f>
        <v xml:space="preserve"> </v>
      </c>
      <c r="K49" s="585"/>
      <c r="L49" s="1281"/>
      <c r="M49" s="1282"/>
      <c r="N49" s="1283">
        <f>SUM(N25:N40)</f>
        <v>0</v>
      </c>
      <c r="O49" s="1282"/>
      <c r="P49" s="1282"/>
      <c r="Q49" s="1282"/>
      <c r="R49" s="1282"/>
      <c r="S49" s="1282"/>
      <c r="T49" s="1282"/>
      <c r="U49" s="1282"/>
      <c r="V49" s="1282"/>
      <c r="W49" s="1282"/>
      <c r="X49" s="1282"/>
      <c r="Y49" s="1282"/>
      <c r="Z49" s="1282"/>
      <c r="AA49" s="1282"/>
      <c r="AB49" s="1282"/>
      <c r="AC49" s="1282"/>
      <c r="AD49" s="1282"/>
      <c r="AE49" s="1282"/>
      <c r="AF49" s="1282"/>
      <c r="AG49" s="1282"/>
      <c r="AH49" s="1282"/>
      <c r="AI49" s="1282"/>
      <c r="AJ49" s="1282"/>
      <c r="AK49" s="1282"/>
      <c r="AL49" s="1282"/>
      <c r="AM49" s="1282"/>
      <c r="AN49" s="1282"/>
      <c r="AO49" s="1282"/>
      <c r="AP49" s="1282"/>
      <c r="AQ49" s="1284"/>
      <c r="AR49" s="1284"/>
      <c r="AS49" s="1284"/>
      <c r="AT49" s="1285"/>
      <c r="AU49" s="1284"/>
      <c r="AV49" s="1284"/>
      <c r="AW49" s="1284"/>
      <c r="AX49" s="1284"/>
      <c r="AY49" s="1284"/>
      <c r="AZ49" s="1284"/>
      <c r="BA49" s="1284"/>
      <c r="BB49" s="1284"/>
      <c r="BC49" s="1284"/>
      <c r="BD49" s="1284"/>
      <c r="BE49" s="1284"/>
      <c r="BF49" s="1284"/>
      <c r="BG49" s="1284"/>
      <c r="BH49" s="1284"/>
      <c r="BI49" s="1284"/>
      <c r="BJ49" s="1284"/>
      <c r="BK49" s="1284"/>
      <c r="BL49" s="1286"/>
      <c r="BM49" s="1286"/>
      <c r="BN49" s="1261"/>
      <c r="BO49" s="1262"/>
      <c r="BP49" s="1284"/>
      <c r="BQ49" s="1284"/>
      <c r="BR49" s="1284"/>
      <c r="BS49" s="1284"/>
      <c r="BT49" s="1284"/>
      <c r="BU49" s="1284"/>
      <c r="BV49" s="856"/>
      <c r="BW49" s="856"/>
      <c r="BX49" s="856"/>
      <c r="BY49" s="856"/>
      <c r="BZ49" s="856"/>
      <c r="CA49" s="856"/>
      <c r="CB49" s="856"/>
      <c r="CC49" s="856"/>
      <c r="CD49" s="856"/>
      <c r="CE49" s="856"/>
    </row>
    <row r="50" spans="1:83" s="855" customFormat="1" ht="8.25" customHeight="1" x14ac:dyDescent="0.2">
      <c r="A50" s="49"/>
      <c r="B50" s="6"/>
      <c r="C50" s="6"/>
      <c r="D50" s="12"/>
      <c r="E50" s="12"/>
      <c r="F50" s="12"/>
      <c r="G50" s="12"/>
      <c r="H50" s="12"/>
      <c r="I50" s="537"/>
      <c r="J50" s="538"/>
      <c r="K50" s="37"/>
      <c r="L50" s="854"/>
      <c r="M50" s="1274"/>
      <c r="N50" s="1274"/>
      <c r="O50" s="1274"/>
      <c r="P50" s="1274"/>
      <c r="Q50" s="1274"/>
      <c r="R50" s="1274"/>
      <c r="S50" s="1274"/>
      <c r="T50" s="1274"/>
      <c r="U50" s="1274"/>
      <c r="V50" s="1274"/>
      <c r="W50" s="1274"/>
      <c r="X50" s="1274"/>
      <c r="Y50" s="1274"/>
      <c r="Z50" s="1274"/>
      <c r="AA50" s="1274"/>
      <c r="AB50" s="1274"/>
      <c r="AC50" s="1274"/>
      <c r="AD50" s="1274"/>
      <c r="AE50" s="1274"/>
      <c r="AF50" s="1274"/>
      <c r="AG50" s="1274"/>
      <c r="AH50" s="1274"/>
      <c r="AI50" s="1274"/>
      <c r="AJ50" s="1274"/>
      <c r="AK50" s="1274"/>
      <c r="AL50" s="1274"/>
      <c r="AM50" s="1274"/>
      <c r="AN50" s="1274"/>
      <c r="AO50" s="1274"/>
      <c r="AP50" s="1274"/>
      <c r="AQ50" s="1215"/>
      <c r="AR50" s="1215"/>
      <c r="AS50" s="1215"/>
      <c r="AT50" s="1287"/>
      <c r="AU50" s="1215"/>
      <c r="AV50" s="1215"/>
      <c r="AW50" s="1215"/>
      <c r="AX50" s="1215"/>
      <c r="AY50" s="1215"/>
      <c r="AZ50" s="1215"/>
      <c r="BA50" s="1215"/>
      <c r="BB50" s="1215"/>
      <c r="BC50" s="1215"/>
      <c r="BD50" s="1215"/>
      <c r="BE50" s="1215"/>
      <c r="BF50" s="1215"/>
      <c r="BG50" s="1215"/>
      <c r="BH50" s="1215"/>
      <c r="BI50" s="1215"/>
      <c r="BJ50" s="1215"/>
      <c r="BK50" s="1215"/>
      <c r="BL50" s="1269"/>
      <c r="BM50" s="1269"/>
      <c r="BN50" s="1261"/>
      <c r="BO50" s="1262"/>
      <c r="BP50" s="1215"/>
      <c r="BQ50" s="1215"/>
      <c r="BR50" s="1215"/>
      <c r="BS50" s="1215"/>
      <c r="BT50" s="1215"/>
      <c r="BU50" s="1215"/>
      <c r="BV50" s="853"/>
      <c r="BW50" s="853"/>
      <c r="BX50" s="853"/>
      <c r="BY50" s="853"/>
      <c r="BZ50" s="853"/>
      <c r="CA50" s="853"/>
      <c r="CB50" s="853"/>
      <c r="CC50" s="853"/>
      <c r="CD50" s="853"/>
      <c r="CE50" s="853"/>
    </row>
    <row r="51" spans="1:83" s="859" customFormat="1" ht="12" customHeight="1" x14ac:dyDescent="0.2">
      <c r="A51" s="1433" t="s">
        <v>561</v>
      </c>
      <c r="B51" s="1434"/>
      <c r="C51" s="731" t="s">
        <v>470</v>
      </c>
      <c r="D51" s="542" t="s">
        <v>5</v>
      </c>
      <c r="E51" s="541" t="s">
        <v>550</v>
      </c>
      <c r="F51" s="541" t="s">
        <v>551</v>
      </c>
      <c r="G51" s="48"/>
      <c r="H51" s="62"/>
      <c r="I51" s="540"/>
      <c r="J51" s="539"/>
      <c r="K51" s="539"/>
      <c r="L51" s="1288"/>
      <c r="M51" s="1289"/>
      <c r="N51" s="1290" t="str">
        <f>C52</f>
        <v xml:space="preserve"> </v>
      </c>
      <c r="O51" s="1289"/>
      <c r="P51" s="1289"/>
      <c r="Q51" s="1289"/>
      <c r="R51" s="1289"/>
      <c r="S51" s="1289"/>
      <c r="T51" s="1289"/>
      <c r="U51" s="1289"/>
      <c r="V51" s="1289"/>
      <c r="W51" s="1289"/>
      <c r="X51" s="1289"/>
      <c r="Y51" s="1289"/>
      <c r="Z51" s="1289"/>
      <c r="AA51" s="1289"/>
      <c r="AB51" s="1289"/>
      <c r="AC51" s="1289"/>
      <c r="AD51" s="1289"/>
      <c r="AE51" s="1289"/>
      <c r="AF51" s="1289"/>
      <c r="AG51" s="1289"/>
      <c r="AH51" s="1289"/>
      <c r="AI51" s="1289"/>
      <c r="AJ51" s="1289"/>
      <c r="AK51" s="1289"/>
      <c r="AL51" s="1289"/>
      <c r="AM51" s="1289"/>
      <c r="AN51" s="1289"/>
      <c r="AO51" s="1289"/>
      <c r="AP51" s="1289"/>
      <c r="AQ51" s="1291"/>
      <c r="AR51" s="1291"/>
      <c r="AS51" s="1291"/>
      <c r="AT51" s="1292"/>
      <c r="AU51" s="1291"/>
      <c r="AV51" s="1291"/>
      <c r="AW51" s="1291"/>
      <c r="AX51" s="1291"/>
      <c r="AY51" s="1291"/>
      <c r="AZ51" s="1291"/>
      <c r="BA51" s="1291"/>
      <c r="BB51" s="1291"/>
      <c r="BC51" s="1291"/>
      <c r="BD51" s="1291"/>
      <c r="BE51" s="1291"/>
      <c r="BF51" s="1291"/>
      <c r="BG51" s="1291"/>
      <c r="BH51" s="1291"/>
      <c r="BI51" s="1291"/>
      <c r="BJ51" s="1291"/>
      <c r="BK51" s="1291"/>
      <c r="BL51" s="1293"/>
      <c r="BM51" s="1293"/>
      <c r="BN51" s="1261"/>
      <c r="BO51" s="1262"/>
      <c r="BP51" s="1291"/>
      <c r="BQ51" s="1291"/>
      <c r="BR51" s="1291"/>
      <c r="BS51" s="1291"/>
      <c r="BT51" s="1291"/>
      <c r="BU51" s="1291"/>
      <c r="BV51" s="858"/>
      <c r="BW51" s="858"/>
      <c r="BX51" s="858"/>
      <c r="BY51" s="858"/>
      <c r="BZ51" s="858"/>
      <c r="CA51" s="858"/>
      <c r="CB51" s="858"/>
      <c r="CC51" s="858"/>
      <c r="CD51" s="858"/>
      <c r="CE51" s="858"/>
    </row>
    <row r="52" spans="1:83" s="859" customFormat="1" ht="10.5" customHeight="1" x14ac:dyDescent="0.2">
      <c r="A52" s="548" t="s">
        <v>428</v>
      </c>
      <c r="B52" s="543"/>
      <c r="C52" s="1151" t="str">
        <f>IF($M48=0," ",IF(V54+W54=0,"0,00",(V54*BP42+W54*BQ42)/(BP42+BQ42+N42+N43+N44+N45+N46+N47)))</f>
        <v xml:space="preserve"> </v>
      </c>
      <c r="D52" s="1152" t="str">
        <f>IF($M48=0," ",R54)</f>
        <v xml:space="preserve"> </v>
      </c>
      <c r="E52" s="1152" t="str">
        <f>IF($M48=0," ",T54)</f>
        <v xml:space="preserve"> </v>
      </c>
      <c r="F52" s="1152" t="str">
        <f>IF($M48=0," ",U54)</f>
        <v xml:space="preserve"> </v>
      </c>
      <c r="G52" s="48"/>
      <c r="H52" s="62"/>
      <c r="I52" s="540"/>
      <c r="J52" s="539"/>
      <c r="K52" s="539"/>
      <c r="L52" s="1288"/>
      <c r="M52" s="1289"/>
      <c r="N52" s="1289"/>
      <c r="O52" s="1289"/>
      <c r="P52" s="1289"/>
      <c r="Q52" s="1289"/>
      <c r="R52" s="1289"/>
      <c r="S52" s="1289"/>
      <c r="T52" s="1289"/>
      <c r="U52" s="1289"/>
      <c r="V52" s="1289"/>
      <c r="W52" s="1289"/>
      <c r="X52" s="1289"/>
      <c r="Y52" s="1289"/>
      <c r="Z52" s="1289"/>
      <c r="AA52" s="1289"/>
      <c r="AB52" s="1289"/>
      <c r="AC52" s="1289"/>
      <c r="AD52" s="1289"/>
      <c r="AE52" s="1289"/>
      <c r="AF52" s="1289"/>
      <c r="AG52" s="1289"/>
      <c r="AH52" s="1289"/>
      <c r="AI52" s="1289"/>
      <c r="AJ52" s="1289"/>
      <c r="AK52" s="1289"/>
      <c r="AL52" s="1289"/>
      <c r="AM52" s="1289"/>
      <c r="AN52" s="1289"/>
      <c r="AO52" s="1289"/>
      <c r="AP52" s="1289"/>
      <c r="AQ52" s="1291"/>
      <c r="AR52" s="1291"/>
      <c r="AS52" s="1291"/>
      <c r="AT52" s="1292"/>
      <c r="AU52" s="1291"/>
      <c r="AV52" s="1291"/>
      <c r="AW52" s="1291"/>
      <c r="AX52" s="1291"/>
      <c r="AY52" s="1291"/>
      <c r="AZ52" s="1291"/>
      <c r="BA52" s="1291"/>
      <c r="BB52" s="1291"/>
      <c r="BC52" s="1291"/>
      <c r="BD52" s="1291"/>
      <c r="BE52" s="1291"/>
      <c r="BF52" s="1291"/>
      <c r="BG52" s="1291"/>
      <c r="BH52" s="1291"/>
      <c r="BI52" s="1291"/>
      <c r="BJ52" s="1291"/>
      <c r="BK52" s="1291"/>
      <c r="BL52" s="1293"/>
      <c r="BM52" s="1293"/>
      <c r="BN52" s="1261"/>
      <c r="BO52" s="1262"/>
      <c r="BP52" s="1291"/>
      <c r="BQ52" s="1291"/>
      <c r="BR52" s="1291"/>
      <c r="BS52" s="1291"/>
      <c r="BT52" s="1291"/>
      <c r="BU52" s="1291"/>
      <c r="BV52" s="858"/>
      <c r="BW52" s="858"/>
      <c r="BX52" s="858"/>
      <c r="BY52" s="858"/>
      <c r="BZ52" s="858"/>
      <c r="CA52" s="858"/>
      <c r="CB52" s="858"/>
      <c r="CC52" s="858"/>
      <c r="CD52" s="858"/>
      <c r="CE52" s="858"/>
    </row>
    <row r="53" spans="1:83" s="859" customFormat="1" ht="10.5" customHeight="1" x14ac:dyDescent="0.2">
      <c r="A53" s="546" t="s">
        <v>429</v>
      </c>
      <c r="B53" s="547"/>
      <c r="C53" s="1153" t="str">
        <f>IF(N48=0," ",AA54)</f>
        <v xml:space="preserve"> </v>
      </c>
      <c r="D53" s="1152" t="str">
        <f>IF($N48=0," ",X54)</f>
        <v xml:space="preserve"> </v>
      </c>
      <c r="E53" s="1152" t="str">
        <f>IF($N48=0," ",Y54)</f>
        <v xml:space="preserve"> </v>
      </c>
      <c r="F53" s="1152" t="str">
        <f>IF($N48=0," ",Z54)</f>
        <v xml:space="preserve"> </v>
      </c>
      <c r="G53" s="48"/>
      <c r="H53" s="62"/>
      <c r="I53" s="540"/>
      <c r="J53" s="539"/>
      <c r="K53" s="539"/>
      <c r="L53" s="1288"/>
      <c r="M53" s="1289"/>
      <c r="N53" s="1289"/>
      <c r="O53" s="1289"/>
      <c r="P53" s="1289"/>
      <c r="Q53" s="1289"/>
      <c r="R53" s="1289"/>
      <c r="S53" s="1289"/>
      <c r="T53" s="1289"/>
      <c r="U53" s="1289"/>
      <c r="V53" s="1289"/>
      <c r="W53" s="1289"/>
      <c r="X53" s="1289"/>
      <c r="Y53" s="1289"/>
      <c r="Z53" s="1289"/>
      <c r="AA53" s="1289"/>
      <c r="AB53" s="1289"/>
      <c r="AC53" s="1289"/>
      <c r="AD53" s="1289"/>
      <c r="AE53" s="1289"/>
      <c r="AF53" s="1289"/>
      <c r="AG53" s="1289"/>
      <c r="AH53" s="1289"/>
      <c r="AI53" s="1289"/>
      <c r="AJ53" s="1289"/>
      <c r="AK53" s="1289"/>
      <c r="AL53" s="1289"/>
      <c r="AM53" s="1289"/>
      <c r="AN53" s="1289"/>
      <c r="AO53" s="1289"/>
      <c r="AP53" s="1289"/>
      <c r="AQ53" s="1291"/>
      <c r="AR53" s="1291"/>
      <c r="AS53" s="1291"/>
      <c r="AT53" s="1292"/>
      <c r="AU53" s="1291"/>
      <c r="AV53" s="1291"/>
      <c r="AW53" s="1291"/>
      <c r="AX53" s="1291"/>
      <c r="AY53" s="1291"/>
      <c r="AZ53" s="1291"/>
      <c r="BA53" s="1291"/>
      <c r="BB53" s="1291"/>
      <c r="BC53" s="1291"/>
      <c r="BD53" s="1291"/>
      <c r="BE53" s="1291"/>
      <c r="BF53" s="1291"/>
      <c r="BG53" s="1291"/>
      <c r="BH53" s="1291"/>
      <c r="BI53" s="1291"/>
      <c r="BJ53" s="1291"/>
      <c r="BK53" s="1291"/>
      <c r="BL53" s="1293"/>
      <c r="BM53" s="1293"/>
      <c r="BN53" s="1261"/>
      <c r="BO53" s="1262"/>
      <c r="BP53" s="1291"/>
      <c r="BQ53" s="1291"/>
      <c r="BR53" s="1291"/>
      <c r="BS53" s="1291"/>
      <c r="BT53" s="1291"/>
      <c r="BU53" s="1291"/>
      <c r="BV53" s="858"/>
      <c r="BW53" s="858"/>
      <c r="BX53" s="858"/>
      <c r="BY53" s="858"/>
      <c r="BZ53" s="858"/>
      <c r="CA53" s="858"/>
      <c r="CB53" s="858"/>
      <c r="CC53" s="858"/>
      <c r="CD53" s="858"/>
      <c r="CE53" s="858"/>
    </row>
    <row r="54" spans="1:83" s="855" customFormat="1" ht="17.25" customHeight="1" x14ac:dyDescent="0.2">
      <c r="A54" s="1383" t="s">
        <v>590</v>
      </c>
      <c r="B54" s="1383"/>
      <c r="C54" s="1383"/>
      <c r="D54" s="1383"/>
      <c r="E54" s="1383"/>
      <c r="F54" s="1383"/>
      <c r="G54" s="1383"/>
      <c r="H54" s="1383"/>
      <c r="I54" s="1383"/>
      <c r="J54" s="1383"/>
      <c r="K54" s="37"/>
      <c r="L54" s="854"/>
      <c r="M54" s="1274"/>
      <c r="N54" s="1274"/>
      <c r="O54" s="1274"/>
      <c r="P54" s="1274"/>
      <c r="Q54" s="1274"/>
      <c r="R54" s="1294" t="e">
        <f>+R48/$M48</f>
        <v>#DIV/0!</v>
      </c>
      <c r="S54" s="1294"/>
      <c r="T54" s="1294" t="e">
        <f>+T48/$M48</f>
        <v>#DIV/0!</v>
      </c>
      <c r="U54" s="1294" t="e">
        <f>+U48/$M48</f>
        <v>#DIV/0!</v>
      </c>
      <c r="V54" s="1294">
        <f>SUMPRODUCT(V25:V40,$BP25:$BP40)/BP43</f>
        <v>0</v>
      </c>
      <c r="W54" s="1294">
        <f>SUMPRODUCT(W25:W40,$BQ25:$BQ40)/BQ43</f>
        <v>0</v>
      </c>
      <c r="X54" s="1294" t="e">
        <f>+(X48+AB48)/$N48</f>
        <v>#DIV/0!</v>
      </c>
      <c r="Y54" s="1294" t="e">
        <f>+(Y48+AC48)/$N48</f>
        <v>#DIV/0!</v>
      </c>
      <c r="Z54" s="1294" t="e">
        <f>+(Z48+AD48)/$N48</f>
        <v>#DIV/0!</v>
      </c>
      <c r="AA54" s="1294" t="e">
        <f>SUMPRODUCT(AA25:AA40,$J25:$J40)/J48</f>
        <v>#VALUE!</v>
      </c>
      <c r="AB54" s="1294"/>
      <c r="AC54" s="1294"/>
      <c r="AD54" s="1294"/>
      <c r="AE54" s="1295" t="s">
        <v>401</v>
      </c>
      <c r="AF54" s="1274"/>
      <c r="AG54" s="1274"/>
      <c r="AH54" s="1274"/>
      <c r="AI54" s="1274"/>
      <c r="AJ54" s="1274"/>
      <c r="AK54" s="1274"/>
      <c r="AL54" s="1274"/>
      <c r="AM54" s="1274"/>
      <c r="AN54" s="1274"/>
      <c r="AO54" s="1274"/>
      <c r="AP54" s="1274"/>
      <c r="AQ54" s="1215"/>
      <c r="AR54" s="1215"/>
      <c r="AS54" s="1215"/>
      <c r="AT54" s="1215"/>
      <c r="AU54" s="1215"/>
      <c r="AV54" s="1215"/>
      <c r="AW54" s="1215"/>
      <c r="AX54" s="1215"/>
      <c r="AY54" s="1215"/>
      <c r="AZ54" s="1215"/>
      <c r="BA54" s="1215"/>
      <c r="BB54" s="1215"/>
      <c r="BC54" s="1215"/>
      <c r="BD54" s="1215"/>
      <c r="BE54" s="1215"/>
      <c r="BF54" s="1215"/>
      <c r="BG54" s="1215"/>
      <c r="BH54" s="1215"/>
      <c r="BI54" s="1215"/>
      <c r="BJ54" s="1215"/>
      <c r="BK54" s="1215"/>
      <c r="BL54" s="1269"/>
      <c r="BM54" s="1269"/>
      <c r="BN54" s="1261"/>
      <c r="BO54" s="1262"/>
      <c r="BP54" s="1215"/>
      <c r="BQ54" s="1215"/>
      <c r="BR54" s="1215"/>
      <c r="BS54" s="1215"/>
      <c r="BT54" s="1215"/>
      <c r="BU54" s="1215"/>
      <c r="BV54" s="853"/>
      <c r="BW54" s="853"/>
      <c r="BX54" s="853"/>
      <c r="BY54" s="853"/>
      <c r="BZ54" s="853"/>
      <c r="CA54" s="853"/>
      <c r="CB54" s="853"/>
      <c r="CC54" s="853"/>
      <c r="CD54" s="853"/>
      <c r="CE54" s="853"/>
    </row>
    <row r="55" spans="1:83" s="855" customFormat="1" ht="9" customHeight="1" thickBot="1" x14ac:dyDescent="0.25">
      <c r="A55" s="42"/>
      <c r="B55" s="42"/>
      <c r="C55" s="42"/>
      <c r="D55" s="42"/>
      <c r="E55" s="42"/>
      <c r="F55" s="42"/>
      <c r="G55" s="42"/>
      <c r="H55" s="42"/>
      <c r="I55" s="42"/>
      <c r="J55" s="35"/>
      <c r="K55" s="35"/>
      <c r="L55" s="853"/>
      <c r="M55" s="1215"/>
      <c r="N55" s="1215"/>
      <c r="O55" s="1215"/>
      <c r="P55" s="1215"/>
      <c r="Q55" s="1215"/>
      <c r="R55" s="1215"/>
      <c r="S55" s="1215"/>
      <c r="T55" s="1215"/>
      <c r="U55" s="1215"/>
      <c r="V55" s="1215"/>
      <c r="W55" s="1215"/>
      <c r="X55" s="1215"/>
      <c r="Y55" s="1215"/>
      <c r="Z55" s="1215"/>
      <c r="AA55" s="1215"/>
      <c r="AB55" s="1215"/>
      <c r="AC55" s="1215"/>
      <c r="AD55" s="1215"/>
      <c r="AE55" s="1215"/>
      <c r="AF55" s="1215"/>
      <c r="AG55" s="1215"/>
      <c r="AH55" s="1215"/>
      <c r="AI55" s="1215"/>
      <c r="AJ55" s="1215"/>
      <c r="AK55" s="1215"/>
      <c r="AL55" s="1215"/>
      <c r="AM55" s="1215"/>
      <c r="AN55" s="1215"/>
      <c r="AO55" s="1215"/>
      <c r="AP55" s="1215"/>
      <c r="AQ55" s="1215"/>
      <c r="AR55" s="1215"/>
      <c r="AS55" s="1215"/>
      <c r="AT55" s="1215"/>
      <c r="AU55" s="1215"/>
      <c r="AV55" s="1215"/>
      <c r="AW55" s="1215"/>
      <c r="AX55" s="1215"/>
      <c r="AY55" s="1215"/>
      <c r="AZ55" s="1215"/>
      <c r="BA55" s="1215"/>
      <c r="BB55" s="1215"/>
      <c r="BC55" s="1215"/>
      <c r="BD55" s="1215"/>
      <c r="BE55" s="1215"/>
      <c r="BF55" s="1215"/>
      <c r="BG55" s="1215"/>
      <c r="BH55" s="1215"/>
      <c r="BI55" s="1215"/>
      <c r="BJ55" s="1215"/>
      <c r="BK55" s="1215"/>
      <c r="BL55" s="1269"/>
      <c r="BM55" s="1269"/>
      <c r="BN55" s="1261"/>
      <c r="BO55" s="1262"/>
      <c r="BP55" s="1215"/>
      <c r="BQ55" s="1215"/>
      <c r="BR55" s="1215"/>
      <c r="BS55" s="1215"/>
      <c r="BT55" s="1215"/>
      <c r="BU55" s="1215"/>
      <c r="BV55" s="853"/>
      <c r="BW55" s="853"/>
      <c r="BX55" s="853"/>
      <c r="BY55" s="853"/>
      <c r="BZ55" s="853"/>
      <c r="CA55" s="853"/>
      <c r="CB55" s="853"/>
      <c r="CC55" s="853"/>
      <c r="CD55" s="853"/>
      <c r="CE55" s="853"/>
    </row>
    <row r="56" spans="1:83" s="855" customFormat="1" ht="15.75" customHeight="1" thickBot="1" x14ac:dyDescent="0.25">
      <c r="A56" s="940" t="s">
        <v>489</v>
      </c>
      <c r="B56" s="943"/>
      <c r="C56" s="943"/>
      <c r="D56" s="943"/>
      <c r="E56" s="943"/>
      <c r="F56" s="943"/>
      <c r="G56" s="943"/>
      <c r="H56" s="943"/>
      <c r="I56" s="943"/>
      <c r="J56" s="944"/>
      <c r="K56" s="35"/>
      <c r="L56" s="853"/>
      <c r="M56" s="1215"/>
      <c r="N56" s="1215"/>
      <c r="O56" s="1215"/>
      <c r="P56" s="1215"/>
      <c r="Q56" s="1215"/>
      <c r="R56" s="1215"/>
      <c r="S56" s="1215"/>
      <c r="T56" s="1215"/>
      <c r="U56" s="1215"/>
      <c r="V56" s="1215"/>
      <c r="W56" s="1215"/>
      <c r="X56" s="1215"/>
      <c r="Y56" s="1215"/>
      <c r="Z56" s="1215"/>
      <c r="AA56" s="1215"/>
      <c r="AB56" s="1215"/>
      <c r="AC56" s="1215"/>
      <c r="AD56" s="1215"/>
      <c r="AE56" s="1215"/>
      <c r="AF56" s="1215"/>
      <c r="AG56" s="1215"/>
      <c r="AH56" s="1215"/>
      <c r="AI56" s="1215"/>
      <c r="AJ56" s="1215"/>
      <c r="AK56" s="1215"/>
      <c r="AL56" s="1215"/>
      <c r="AM56" s="1215"/>
      <c r="AN56" s="1215"/>
      <c r="AO56" s="1215"/>
      <c r="AP56" s="1215"/>
      <c r="AQ56" s="1215"/>
      <c r="AR56" s="1215"/>
      <c r="AS56" s="1215"/>
      <c r="AT56" s="1215"/>
      <c r="AU56" s="1215"/>
      <c r="AV56" s="1215"/>
      <c r="AW56" s="1215"/>
      <c r="AX56" s="1215"/>
      <c r="AY56" s="1215"/>
      <c r="AZ56" s="1215"/>
      <c r="BA56" s="1215"/>
      <c r="BB56" s="1215"/>
      <c r="BC56" s="1215"/>
      <c r="BD56" s="1215"/>
      <c r="BE56" s="1215"/>
      <c r="BF56" s="1215"/>
      <c r="BG56" s="1215"/>
      <c r="BH56" s="1215"/>
      <c r="BI56" s="1215"/>
      <c r="BJ56" s="1215"/>
      <c r="BK56" s="1215"/>
      <c r="BL56" s="1269"/>
      <c r="BM56" s="1269"/>
      <c r="BN56" s="1261"/>
      <c r="BO56" s="1262"/>
      <c r="BP56" s="1215"/>
      <c r="BQ56" s="1215"/>
      <c r="BR56" s="1215"/>
      <c r="BS56" s="1215"/>
      <c r="BT56" s="1215"/>
      <c r="BU56" s="1215"/>
      <c r="BV56" s="853"/>
      <c r="BW56" s="853"/>
      <c r="BX56" s="853"/>
      <c r="BY56" s="853"/>
      <c r="BZ56" s="853"/>
      <c r="CA56" s="853"/>
      <c r="CB56" s="853"/>
      <c r="CC56" s="853"/>
      <c r="CD56" s="853"/>
      <c r="CE56" s="853"/>
    </row>
    <row r="57" spans="1:83" s="855" customFormat="1" ht="6.75" customHeight="1" thickBot="1" x14ac:dyDescent="0.25">
      <c r="A57" s="42"/>
      <c r="B57" s="42"/>
      <c r="C57" s="42"/>
      <c r="D57" s="42"/>
      <c r="E57" s="42"/>
      <c r="F57" s="42"/>
      <c r="G57" s="42"/>
      <c r="H57" s="42"/>
      <c r="I57" s="42"/>
      <c r="J57" s="35"/>
      <c r="K57" s="35"/>
      <c r="L57" s="853"/>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5"/>
      <c r="AI57" s="1215"/>
      <c r="AJ57" s="1215"/>
      <c r="AK57" s="1215"/>
      <c r="AL57" s="1215"/>
      <c r="AM57" s="1215"/>
      <c r="AN57" s="1215"/>
      <c r="AO57" s="1215"/>
      <c r="AP57" s="1215"/>
      <c r="AQ57" s="1215"/>
      <c r="AR57" s="1215"/>
      <c r="AS57" s="1215"/>
      <c r="AT57" s="1215"/>
      <c r="AU57" s="1215"/>
      <c r="AV57" s="1215"/>
      <c r="AW57" s="1215"/>
      <c r="AX57" s="1215"/>
      <c r="AY57" s="1215"/>
      <c r="AZ57" s="1215"/>
      <c r="BA57" s="1215"/>
      <c r="BB57" s="1215"/>
      <c r="BC57" s="1215"/>
      <c r="BD57" s="1215"/>
      <c r="BE57" s="1215"/>
      <c r="BF57" s="1215"/>
      <c r="BG57" s="1215"/>
      <c r="BH57" s="1215"/>
      <c r="BI57" s="1215"/>
      <c r="BJ57" s="1215"/>
      <c r="BK57" s="1215"/>
      <c r="BL57" s="1269"/>
      <c r="BM57" s="1269"/>
      <c r="BN57" s="1261"/>
      <c r="BO57" s="1262"/>
      <c r="BP57" s="1215"/>
      <c r="BQ57" s="1215"/>
      <c r="BR57" s="1215"/>
      <c r="BS57" s="1215"/>
      <c r="BT57" s="1215"/>
      <c r="BU57" s="1215"/>
      <c r="BV57" s="853"/>
      <c r="BW57" s="853"/>
      <c r="BX57" s="853"/>
      <c r="BY57" s="853"/>
      <c r="BZ57" s="853"/>
      <c r="CA57" s="853"/>
      <c r="CB57" s="853"/>
      <c r="CC57" s="853"/>
      <c r="CD57" s="853"/>
      <c r="CE57" s="853"/>
    </row>
    <row r="58" spans="1:83" s="855" customFormat="1" ht="15.75" customHeight="1" x14ac:dyDescent="0.2">
      <c r="A58" s="1133"/>
      <c r="B58" s="1134" t="s">
        <v>477</v>
      </c>
      <c r="C58" s="1134" t="s">
        <v>478</v>
      </c>
      <c r="D58" s="1135" t="s">
        <v>5</v>
      </c>
      <c r="E58" s="1136" t="s">
        <v>574</v>
      </c>
      <c r="F58" s="1137" t="s">
        <v>575</v>
      </c>
      <c r="G58" s="770"/>
      <c r="H58" s="770"/>
      <c r="I58" s="770"/>
      <c r="J58" s="770"/>
      <c r="K58" s="35"/>
      <c r="L58" s="853"/>
      <c r="M58" s="1215"/>
      <c r="N58" s="1215"/>
      <c r="O58" s="1215"/>
      <c r="P58" s="1215"/>
      <c r="Q58" s="1215"/>
      <c r="R58" s="1215"/>
      <c r="S58" s="1215"/>
      <c r="T58" s="1215"/>
      <c r="U58" s="1215"/>
      <c r="V58" s="1215"/>
      <c r="W58" s="1215"/>
      <c r="X58" s="1215"/>
      <c r="Y58" s="1215"/>
      <c r="Z58" s="1215"/>
      <c r="AA58" s="1215"/>
      <c r="AB58" s="1215"/>
      <c r="AC58" s="1215"/>
      <c r="AD58" s="1215"/>
      <c r="AE58" s="1215"/>
      <c r="AF58" s="1215"/>
      <c r="AG58" s="1215"/>
      <c r="AH58" s="1215"/>
      <c r="AI58" s="1215"/>
      <c r="AJ58" s="1215"/>
      <c r="AK58" s="1215"/>
      <c r="AL58" s="1215"/>
      <c r="AM58" s="1215"/>
      <c r="AN58" s="1215"/>
      <c r="AO58" s="1215"/>
      <c r="AP58" s="1215"/>
      <c r="AQ58" s="1215"/>
      <c r="AR58" s="1215"/>
      <c r="AS58" s="1215"/>
      <c r="AT58" s="1215"/>
      <c r="AU58" s="1215"/>
      <c r="AV58" s="1215"/>
      <c r="AW58" s="1215"/>
      <c r="AX58" s="1215"/>
      <c r="AY58" s="1215"/>
      <c r="AZ58" s="1215"/>
      <c r="BA58" s="1215"/>
      <c r="BB58" s="1215"/>
      <c r="BC58" s="1215"/>
      <c r="BD58" s="1215"/>
      <c r="BE58" s="1215"/>
      <c r="BF58" s="1215"/>
      <c r="BG58" s="1215"/>
      <c r="BH58" s="1215"/>
      <c r="BI58" s="1215"/>
      <c r="BJ58" s="1215"/>
      <c r="BK58" s="1215"/>
      <c r="BL58" s="1269"/>
      <c r="BM58" s="1269"/>
      <c r="BN58" s="1296"/>
      <c r="BO58" s="1297"/>
      <c r="BP58" s="1215"/>
      <c r="BQ58" s="1215"/>
      <c r="BR58" s="1215"/>
      <c r="BS58" s="1215"/>
      <c r="BT58" s="1215"/>
      <c r="BU58" s="1215"/>
      <c r="BV58" s="853"/>
      <c r="BW58" s="853"/>
      <c r="BX58" s="853"/>
      <c r="BY58" s="853"/>
      <c r="BZ58" s="853"/>
      <c r="CA58" s="853"/>
      <c r="CB58" s="853"/>
      <c r="CC58" s="853"/>
      <c r="CD58" s="853"/>
      <c r="CE58" s="853"/>
    </row>
    <row r="59" spans="1:83" s="855" customFormat="1" ht="15.75" customHeight="1" x14ac:dyDescent="0.2">
      <c r="A59" s="1138"/>
      <c r="B59" s="1131" t="s">
        <v>1</v>
      </c>
      <c r="C59" s="1131" t="s">
        <v>2</v>
      </c>
      <c r="D59" s="1412" t="s">
        <v>389</v>
      </c>
      <c r="E59" s="1413"/>
      <c r="F59" s="1414"/>
      <c r="G59" s="1129"/>
      <c r="H59" s="1129"/>
      <c r="I59" s="1129"/>
      <c r="J59" s="1129"/>
      <c r="K59" s="35"/>
      <c r="L59" s="853"/>
      <c r="M59" s="1215"/>
      <c r="N59" s="1215"/>
      <c r="O59" s="1215"/>
      <c r="P59" s="1215"/>
      <c r="Q59" s="1215"/>
      <c r="R59" s="1215"/>
      <c r="S59" s="1215"/>
      <c r="T59" s="1215"/>
      <c r="U59" s="1215"/>
      <c r="V59" s="1215"/>
      <c r="W59" s="1215"/>
      <c r="X59" s="1215"/>
      <c r="Y59" s="1215"/>
      <c r="Z59" s="1215"/>
      <c r="AA59" s="1215"/>
      <c r="AB59" s="1215"/>
      <c r="AC59" s="1215"/>
      <c r="AD59" s="1215"/>
      <c r="AE59" s="1215"/>
      <c r="AF59" s="1215"/>
      <c r="AG59" s="1215"/>
      <c r="AH59" s="1215"/>
      <c r="AI59" s="1215"/>
      <c r="AJ59" s="1215"/>
      <c r="AK59" s="1215"/>
      <c r="AL59" s="1215"/>
      <c r="AM59" s="1215"/>
      <c r="AN59" s="1215"/>
      <c r="AO59" s="1215"/>
      <c r="AP59" s="1215"/>
      <c r="AQ59" s="1215"/>
      <c r="AR59" s="1215"/>
      <c r="AS59" s="1215"/>
      <c r="AT59" s="1215"/>
      <c r="AU59" s="1215"/>
      <c r="AV59" s="1215"/>
      <c r="AW59" s="1215"/>
      <c r="AX59" s="1215"/>
      <c r="AY59" s="1215"/>
      <c r="AZ59" s="1215"/>
      <c r="BA59" s="1215"/>
      <c r="BB59" s="1215"/>
      <c r="BC59" s="1215"/>
      <c r="BD59" s="1215"/>
      <c r="BE59" s="1215"/>
      <c r="BF59" s="1215"/>
      <c r="BG59" s="1215"/>
      <c r="BH59" s="1215"/>
      <c r="BI59" s="1215"/>
      <c r="BJ59" s="1215"/>
      <c r="BK59" s="1215"/>
      <c r="BL59" s="1269"/>
      <c r="BM59" s="1269"/>
      <c r="BN59" s="1296"/>
      <c r="BO59" s="1297"/>
      <c r="BP59" s="1215"/>
      <c r="BQ59" s="1215"/>
      <c r="BR59" s="1215"/>
      <c r="BS59" s="1215"/>
      <c r="BT59" s="1215"/>
      <c r="BU59" s="1215"/>
      <c r="BV59" s="853"/>
      <c r="BW59" s="853"/>
      <c r="BX59" s="853"/>
      <c r="BY59" s="853"/>
      <c r="BZ59" s="853"/>
      <c r="CA59" s="853"/>
      <c r="CB59" s="853"/>
      <c r="CC59" s="853"/>
      <c r="CD59" s="853"/>
      <c r="CE59" s="853"/>
    </row>
    <row r="60" spans="1:83" s="855" customFormat="1" ht="15.75" customHeight="1" thickBot="1" x14ac:dyDescent="0.25">
      <c r="A60" s="1139" t="s">
        <v>482</v>
      </c>
      <c r="B60" s="1155">
        <f>M48</f>
        <v>0</v>
      </c>
      <c r="C60" s="1156">
        <f>IF(C52=" ",0,C52)</f>
        <v>0</v>
      </c>
      <c r="D60" s="1157">
        <f>IF(D52=" ",0,D52)</f>
        <v>0</v>
      </c>
      <c r="E60" s="1157">
        <f>IF(E52=" ",0,E52)</f>
        <v>0</v>
      </c>
      <c r="F60" s="1158">
        <f>IF(F52=" ",0,F52)</f>
        <v>0</v>
      </c>
      <c r="G60" s="772"/>
      <c r="H60" s="773"/>
      <c r="I60" s="773"/>
      <c r="J60" s="773"/>
      <c r="K60" s="35"/>
      <c r="L60" s="853"/>
      <c r="M60" s="1215"/>
      <c r="N60" s="1215"/>
      <c r="O60" s="1215"/>
      <c r="P60" s="1215"/>
      <c r="Q60" s="1215"/>
      <c r="R60" s="1215"/>
      <c r="S60" s="1215"/>
      <c r="T60" s="1215"/>
      <c r="U60" s="1215"/>
      <c r="V60" s="1215"/>
      <c r="W60" s="1215"/>
      <c r="X60" s="1215"/>
      <c r="Y60" s="1215"/>
      <c r="Z60" s="1215"/>
      <c r="AA60" s="1215"/>
      <c r="AB60" s="1215"/>
      <c r="AC60" s="1215"/>
      <c r="AD60" s="1215"/>
      <c r="AE60" s="1215"/>
      <c r="AF60" s="1215"/>
      <c r="AG60" s="1215"/>
      <c r="AH60" s="1215"/>
      <c r="AI60" s="1215"/>
      <c r="AJ60" s="1215"/>
      <c r="AK60" s="1215"/>
      <c r="AL60" s="1215"/>
      <c r="AM60" s="1215"/>
      <c r="AN60" s="1215"/>
      <c r="AO60" s="1215"/>
      <c r="AP60" s="1215"/>
      <c r="AQ60" s="1215"/>
      <c r="AR60" s="1215"/>
      <c r="AS60" s="1215"/>
      <c r="AT60" s="1215"/>
      <c r="AU60" s="1215"/>
      <c r="AV60" s="1215"/>
      <c r="AW60" s="1215"/>
      <c r="AX60" s="1215"/>
      <c r="AY60" s="1215"/>
      <c r="AZ60" s="1215"/>
      <c r="BA60" s="1215"/>
      <c r="BB60" s="1215"/>
      <c r="BC60" s="1215"/>
      <c r="BD60" s="1215"/>
      <c r="BE60" s="1215"/>
      <c r="BF60" s="1215"/>
      <c r="BG60" s="1215"/>
      <c r="BH60" s="1215"/>
      <c r="BI60" s="1215"/>
      <c r="BJ60" s="1215"/>
      <c r="BK60" s="1215"/>
      <c r="BL60" s="1269"/>
      <c r="BM60" s="1269"/>
      <c r="BN60" s="1296"/>
      <c r="BO60" s="1297"/>
      <c r="BP60" s="1215"/>
      <c r="BQ60" s="1215"/>
      <c r="BR60" s="1215"/>
      <c r="BS60" s="1215"/>
      <c r="BT60" s="1215"/>
      <c r="BU60" s="1215"/>
      <c r="BV60" s="853"/>
      <c r="BW60" s="853"/>
      <c r="BX60" s="853"/>
      <c r="BY60" s="853"/>
      <c r="BZ60" s="853"/>
      <c r="CA60" s="853"/>
      <c r="CB60" s="853"/>
      <c r="CC60" s="853"/>
      <c r="CD60" s="853"/>
      <c r="CE60" s="853"/>
    </row>
    <row r="61" spans="1:83" s="855" customFormat="1" ht="15.75" customHeight="1" x14ac:dyDescent="0.2">
      <c r="A61" s="743"/>
      <c r="B61" s="750"/>
      <c r="C61" s="759"/>
      <c r="D61" s="741"/>
      <c r="E61" s="741"/>
      <c r="F61" s="741"/>
      <c r="G61" s="759"/>
      <c r="H61" s="759"/>
      <c r="I61" s="759"/>
      <c r="J61" s="741"/>
      <c r="K61" s="35"/>
      <c r="L61" s="853"/>
      <c r="M61" s="1215"/>
      <c r="N61" s="1215"/>
      <c r="O61" s="1215"/>
      <c r="P61" s="1215"/>
      <c r="Q61" s="1215"/>
      <c r="R61" s="1215"/>
      <c r="S61" s="1215"/>
      <c r="T61" s="1215"/>
      <c r="U61" s="1215"/>
      <c r="V61" s="1215"/>
      <c r="W61" s="1215"/>
      <c r="X61" s="1215"/>
      <c r="Y61" s="1215"/>
      <c r="Z61" s="1215"/>
      <c r="AA61" s="1215"/>
      <c r="AB61" s="1215"/>
      <c r="AC61" s="1215"/>
      <c r="AD61" s="1215"/>
      <c r="AE61" s="1215"/>
      <c r="AF61" s="1215"/>
      <c r="AG61" s="1215"/>
      <c r="AH61" s="1215"/>
      <c r="AI61" s="1215"/>
      <c r="AJ61" s="1215"/>
      <c r="AK61" s="1215"/>
      <c r="AL61" s="1215"/>
      <c r="AM61" s="1215"/>
      <c r="AN61" s="1215"/>
      <c r="AO61" s="1215"/>
      <c r="AP61" s="1215"/>
      <c r="AQ61" s="1215"/>
      <c r="AR61" s="1215"/>
      <c r="AS61" s="1215"/>
      <c r="AT61" s="1215"/>
      <c r="AU61" s="1215"/>
      <c r="AV61" s="1215"/>
      <c r="AW61" s="1215"/>
      <c r="AX61" s="1215"/>
      <c r="AY61" s="1215"/>
      <c r="AZ61" s="1215"/>
      <c r="BA61" s="1215"/>
      <c r="BB61" s="1215"/>
      <c r="BC61" s="1215"/>
      <c r="BD61" s="1215"/>
      <c r="BE61" s="1215"/>
      <c r="BF61" s="1215"/>
      <c r="BG61" s="1215"/>
      <c r="BH61" s="1215"/>
      <c r="BI61" s="1215"/>
      <c r="BJ61" s="1215"/>
      <c r="BK61" s="1215"/>
      <c r="BL61" s="1269"/>
      <c r="BM61" s="1269"/>
      <c r="BN61" s="1261"/>
      <c r="BO61" s="1262"/>
      <c r="BP61" s="1215"/>
      <c r="BQ61" s="1215"/>
      <c r="BR61" s="1215"/>
      <c r="BS61" s="1215"/>
      <c r="BT61" s="1215"/>
      <c r="BU61" s="1215"/>
      <c r="BV61" s="853"/>
      <c r="BW61" s="853"/>
      <c r="BX61" s="853"/>
      <c r="BY61" s="853"/>
      <c r="BZ61" s="853"/>
      <c r="CA61" s="853"/>
      <c r="CB61" s="853"/>
      <c r="CC61" s="853"/>
      <c r="CD61" s="853"/>
      <c r="CE61" s="853"/>
    </row>
    <row r="62" spans="1:83" s="855" customFormat="1" ht="15.75" customHeight="1" x14ac:dyDescent="0.25">
      <c r="A62" s="740"/>
      <c r="B62" s="760"/>
      <c r="C62" s="760"/>
      <c r="D62" s="760"/>
      <c r="E62" s="760"/>
      <c r="F62" s="760"/>
      <c r="G62" s="760"/>
      <c r="H62" s="760"/>
      <c r="I62" s="760"/>
      <c r="J62" s="760"/>
      <c r="K62" s="35"/>
      <c r="L62" s="853"/>
      <c r="M62" s="1215"/>
      <c r="N62" s="1215"/>
      <c r="O62" s="1215"/>
      <c r="P62" s="1215"/>
      <c r="Q62" s="1215"/>
      <c r="R62" s="1215"/>
      <c r="S62" s="1215"/>
      <c r="T62" s="1215"/>
      <c r="U62" s="1215"/>
      <c r="V62" s="1215"/>
      <c r="W62" s="1215"/>
      <c r="X62" s="1215"/>
      <c r="Y62" s="1215"/>
      <c r="Z62" s="1215"/>
      <c r="AA62" s="1215"/>
      <c r="AB62" s="1215"/>
      <c r="AC62" s="1215"/>
      <c r="AD62" s="1215"/>
      <c r="AE62" s="1215"/>
      <c r="AF62" s="1215"/>
      <c r="AG62" s="1215"/>
      <c r="AH62" s="1215"/>
      <c r="AI62" s="1215"/>
      <c r="AJ62" s="1215"/>
      <c r="AK62" s="1215"/>
      <c r="AL62" s="1215"/>
      <c r="AM62" s="1215"/>
      <c r="AN62" s="1215"/>
      <c r="AO62" s="1215"/>
      <c r="AP62" s="1215"/>
      <c r="AQ62" s="1215"/>
      <c r="AR62" s="1215"/>
      <c r="AS62" s="1215"/>
      <c r="AT62" s="1215"/>
      <c r="AU62" s="1215"/>
      <c r="AV62" s="1215"/>
      <c r="AW62" s="1215"/>
      <c r="AX62" s="1215"/>
      <c r="AY62" s="1215"/>
      <c r="AZ62" s="1215"/>
      <c r="BA62" s="1215"/>
      <c r="BB62" s="1215"/>
      <c r="BC62" s="1215"/>
      <c r="BD62" s="1215"/>
      <c r="BE62" s="1215"/>
      <c r="BF62" s="1215"/>
      <c r="BG62" s="1215"/>
      <c r="BH62" s="1215"/>
      <c r="BI62" s="1215"/>
      <c r="BJ62" s="1215"/>
      <c r="BK62" s="1215"/>
      <c r="BL62" s="1269"/>
      <c r="BM62" s="1269"/>
      <c r="BN62" s="1261"/>
      <c r="BO62" s="1262"/>
      <c r="BP62" s="1215"/>
      <c r="BQ62" s="1215"/>
      <c r="BR62" s="1215"/>
      <c r="BS62" s="1215"/>
      <c r="BT62" s="1215"/>
      <c r="BU62" s="1215"/>
      <c r="BV62" s="853"/>
      <c r="BW62" s="853"/>
      <c r="BX62" s="853"/>
      <c r="BY62" s="853"/>
      <c r="BZ62" s="853"/>
      <c r="CA62" s="853"/>
      <c r="CB62" s="853"/>
      <c r="CC62" s="853"/>
      <c r="CD62" s="853"/>
      <c r="CE62" s="853"/>
    </row>
    <row r="63" spans="1:83" s="855" customFormat="1" ht="15.75" customHeight="1" thickBot="1" x14ac:dyDescent="0.25">
      <c r="A63" s="754"/>
      <c r="B63" s="15"/>
      <c r="C63" s="15"/>
      <c r="D63" s="15"/>
      <c r="E63" s="15"/>
      <c r="F63" s="15"/>
      <c r="G63" s="15"/>
      <c r="H63" s="15"/>
      <c r="I63" s="15"/>
      <c r="J63" s="15"/>
      <c r="K63" s="35"/>
      <c r="L63" s="853"/>
      <c r="M63" s="1215"/>
      <c r="N63" s="1215"/>
      <c r="O63" s="1215"/>
      <c r="P63" s="1215"/>
      <c r="Q63" s="1215"/>
      <c r="R63" s="1215"/>
      <c r="S63" s="1215"/>
      <c r="T63" s="1215"/>
      <c r="U63" s="1215"/>
      <c r="V63" s="1215"/>
      <c r="W63" s="1215"/>
      <c r="X63" s="1215"/>
      <c r="Y63" s="1215"/>
      <c r="Z63" s="1215"/>
      <c r="AA63" s="1215"/>
      <c r="AB63" s="1215"/>
      <c r="AC63" s="1215"/>
      <c r="AD63" s="1215"/>
      <c r="AE63" s="1215"/>
      <c r="AF63" s="1215"/>
      <c r="AG63" s="1215"/>
      <c r="AH63" s="1215"/>
      <c r="AI63" s="1215"/>
      <c r="AJ63" s="1215"/>
      <c r="AK63" s="1215"/>
      <c r="AL63" s="1215"/>
      <c r="AM63" s="1215"/>
      <c r="AN63" s="1215"/>
      <c r="AO63" s="1215"/>
      <c r="AP63" s="1215"/>
      <c r="AQ63" s="1215"/>
      <c r="AR63" s="1215"/>
      <c r="AS63" s="1215"/>
      <c r="AT63" s="1215"/>
      <c r="AU63" s="1215"/>
      <c r="AV63" s="1215"/>
      <c r="AW63" s="1215"/>
      <c r="AX63" s="1215"/>
      <c r="AY63" s="1215"/>
      <c r="AZ63" s="1215"/>
      <c r="BA63" s="1215"/>
      <c r="BB63" s="1215"/>
      <c r="BC63" s="1215"/>
      <c r="BD63" s="1215"/>
      <c r="BE63" s="1215"/>
      <c r="BF63" s="1215"/>
      <c r="BG63" s="1215"/>
      <c r="BH63" s="1215"/>
      <c r="BI63" s="1215"/>
      <c r="BJ63" s="1215"/>
      <c r="BK63" s="1215"/>
      <c r="BL63" s="1269"/>
      <c r="BM63" s="1269"/>
      <c r="BN63" s="1261"/>
      <c r="BO63" s="1262"/>
      <c r="BP63" s="1215"/>
      <c r="BQ63" s="1215"/>
      <c r="BR63" s="1215"/>
      <c r="BS63" s="1215"/>
      <c r="BT63" s="1215"/>
      <c r="BU63" s="1215"/>
      <c r="BV63" s="853"/>
      <c r="BW63" s="853"/>
      <c r="BX63" s="853"/>
      <c r="BY63" s="853"/>
      <c r="BZ63" s="853"/>
      <c r="CA63" s="853"/>
      <c r="CB63" s="853"/>
      <c r="CC63" s="853"/>
      <c r="CD63" s="853"/>
      <c r="CE63" s="853"/>
    </row>
    <row r="64" spans="1:83" s="855" customFormat="1" ht="15.75" customHeight="1" thickBot="1" x14ac:dyDescent="0.3">
      <c r="A64" s="15"/>
      <c r="B64" s="737"/>
      <c r="C64" s="1154">
        <f>100-D64</f>
        <v>100</v>
      </c>
      <c r="D64" s="1144">
        <v>0</v>
      </c>
      <c r="E64" s="742" t="s">
        <v>573</v>
      </c>
      <c r="F64" s="737"/>
      <c r="G64" s="737"/>
      <c r="H64" s="737"/>
      <c r="I64" s="737"/>
      <c r="J64" s="737"/>
      <c r="K64" s="35"/>
      <c r="L64" s="853"/>
      <c r="M64" s="1215"/>
      <c r="N64" s="1215"/>
      <c r="O64" s="1215"/>
      <c r="P64" s="1215"/>
      <c r="Q64" s="1215"/>
      <c r="R64" s="1215"/>
      <c r="S64" s="1215"/>
      <c r="T64" s="1215"/>
      <c r="U64" s="1215"/>
      <c r="V64" s="1215"/>
      <c r="W64" s="1215"/>
      <c r="X64" s="1215"/>
      <c r="Y64" s="1215"/>
      <c r="Z64" s="1215"/>
      <c r="AA64" s="1215"/>
      <c r="AB64" s="1215"/>
      <c r="AC64" s="1215"/>
      <c r="AD64" s="1215"/>
      <c r="AE64" s="1215"/>
      <c r="AF64" s="1215"/>
      <c r="AG64" s="1215"/>
      <c r="AH64" s="1215"/>
      <c r="AI64" s="1215"/>
      <c r="AJ64" s="1215"/>
      <c r="AK64" s="1215"/>
      <c r="AL64" s="1215"/>
      <c r="AM64" s="1215"/>
      <c r="AN64" s="1215"/>
      <c r="AO64" s="1215"/>
      <c r="AP64" s="1215"/>
      <c r="AQ64" s="1215"/>
      <c r="AR64" s="1215"/>
      <c r="AS64" s="1215"/>
      <c r="AT64" s="1215"/>
      <c r="AU64" s="1215"/>
      <c r="AV64" s="1215"/>
      <c r="AW64" s="1215"/>
      <c r="AX64" s="1215"/>
      <c r="AY64" s="1215"/>
      <c r="AZ64" s="1215"/>
      <c r="BA64" s="1215"/>
      <c r="BB64" s="1215"/>
      <c r="BC64" s="1215"/>
      <c r="BD64" s="1215"/>
      <c r="BE64" s="1215"/>
      <c r="BF64" s="1215"/>
      <c r="BG64" s="1215"/>
      <c r="BH64" s="1215"/>
      <c r="BI64" s="1215"/>
      <c r="BJ64" s="1215"/>
      <c r="BK64" s="1215"/>
      <c r="BL64" s="1269"/>
      <c r="BM64" s="1269"/>
      <c r="BN64" s="1261"/>
      <c r="BO64" s="1262"/>
      <c r="BP64" s="1215"/>
      <c r="BQ64" s="1215"/>
      <c r="BR64" s="1215"/>
      <c r="BS64" s="1215"/>
      <c r="BT64" s="1215"/>
      <c r="BU64" s="1215"/>
      <c r="BV64" s="853"/>
      <c r="BW64" s="853"/>
      <c r="BX64" s="853"/>
      <c r="BY64" s="853"/>
      <c r="BZ64" s="853"/>
      <c r="CA64" s="853"/>
      <c r="CB64" s="853"/>
      <c r="CC64" s="853"/>
      <c r="CD64" s="853"/>
      <c r="CE64" s="853"/>
    </row>
    <row r="65" spans="1:83" s="855" customFormat="1" ht="15.75" customHeight="1" x14ac:dyDescent="0.25">
      <c r="A65" s="754"/>
      <c r="B65" s="737"/>
      <c r="C65" s="755"/>
      <c r="D65" s="741"/>
      <c r="E65" s="742"/>
      <c r="F65" s="737"/>
      <c r="G65" s="737"/>
      <c r="H65" s="737"/>
      <c r="I65" s="737"/>
      <c r="J65" s="737"/>
      <c r="K65" s="35"/>
      <c r="L65" s="853"/>
      <c r="M65" s="1215"/>
      <c r="N65" s="1215"/>
      <c r="O65" s="1215"/>
      <c r="P65" s="1215"/>
      <c r="Q65" s="1215"/>
      <c r="R65" s="1215"/>
      <c r="S65" s="1215"/>
      <c r="T65" s="1215"/>
      <c r="U65" s="1215"/>
      <c r="V65" s="1215"/>
      <c r="W65" s="1215"/>
      <c r="X65" s="1215"/>
      <c r="Y65" s="1215"/>
      <c r="Z65" s="1215"/>
      <c r="AA65" s="1215"/>
      <c r="AB65" s="1215"/>
      <c r="AC65" s="1215"/>
      <c r="AD65" s="1215"/>
      <c r="AE65" s="1215"/>
      <c r="AF65" s="1215"/>
      <c r="AG65" s="1215"/>
      <c r="AH65" s="1215"/>
      <c r="AI65" s="1215"/>
      <c r="AJ65" s="1215"/>
      <c r="AK65" s="1215"/>
      <c r="AL65" s="1215"/>
      <c r="AM65" s="1215"/>
      <c r="AN65" s="1215"/>
      <c r="AO65" s="1215"/>
      <c r="AP65" s="1215"/>
      <c r="AQ65" s="1215"/>
      <c r="AR65" s="1215"/>
      <c r="AS65" s="1215"/>
      <c r="AT65" s="1215"/>
      <c r="AU65" s="1215"/>
      <c r="AV65" s="1215"/>
      <c r="AW65" s="1215"/>
      <c r="AX65" s="1215"/>
      <c r="AY65" s="1215"/>
      <c r="AZ65" s="1215"/>
      <c r="BA65" s="1215"/>
      <c r="BB65" s="1215"/>
      <c r="BC65" s="1215"/>
      <c r="BD65" s="1215"/>
      <c r="BE65" s="1215"/>
      <c r="BF65" s="1215"/>
      <c r="BG65" s="1215"/>
      <c r="BH65" s="1215"/>
      <c r="BI65" s="1215"/>
      <c r="BJ65" s="1215"/>
      <c r="BK65" s="1215"/>
      <c r="BL65" s="1269"/>
      <c r="BM65" s="1269"/>
      <c r="BN65" s="1261"/>
      <c r="BO65" s="1262"/>
      <c r="BP65" s="1215"/>
      <c r="BQ65" s="1215"/>
      <c r="BR65" s="1215"/>
      <c r="BS65" s="1215"/>
      <c r="BT65" s="1215"/>
      <c r="BU65" s="1215"/>
      <c r="BV65" s="853"/>
      <c r="BW65" s="853"/>
      <c r="BX65" s="853"/>
      <c r="BY65" s="853"/>
      <c r="BZ65" s="853"/>
      <c r="CA65" s="853"/>
      <c r="CB65" s="853"/>
      <c r="CC65" s="853"/>
      <c r="CD65" s="853"/>
      <c r="CE65" s="853"/>
    </row>
    <row r="66" spans="1:83" s="855" customFormat="1" ht="15.75" customHeight="1" x14ac:dyDescent="0.25">
      <c r="A66" s="754"/>
      <c r="B66" s="737"/>
      <c r="C66" s="755"/>
      <c r="D66" s="741"/>
      <c r="E66" s="742"/>
      <c r="F66" s="737"/>
      <c r="G66" s="737"/>
      <c r="H66" s="737"/>
      <c r="I66" s="737"/>
      <c r="J66" s="737"/>
      <c r="K66" s="35"/>
      <c r="L66" s="853"/>
      <c r="M66" s="1215"/>
      <c r="N66" s="1215"/>
      <c r="O66" s="1215"/>
      <c r="P66" s="1215"/>
      <c r="Q66" s="1215"/>
      <c r="R66" s="1215"/>
      <c r="S66" s="1215"/>
      <c r="T66" s="1215"/>
      <c r="U66" s="1215"/>
      <c r="V66" s="1215"/>
      <c r="W66" s="1215"/>
      <c r="X66" s="1215"/>
      <c r="Y66" s="1215"/>
      <c r="Z66" s="1215"/>
      <c r="AA66" s="1215"/>
      <c r="AB66" s="1215"/>
      <c r="AC66" s="1215"/>
      <c r="AD66" s="1215"/>
      <c r="AE66" s="1215"/>
      <c r="AF66" s="1215"/>
      <c r="AG66" s="1215"/>
      <c r="AH66" s="1215"/>
      <c r="AI66" s="1215"/>
      <c r="AJ66" s="1215"/>
      <c r="AK66" s="1215"/>
      <c r="AL66" s="1215"/>
      <c r="AM66" s="1215"/>
      <c r="AN66" s="1215"/>
      <c r="AO66" s="1215"/>
      <c r="AP66" s="1215"/>
      <c r="AQ66" s="1215"/>
      <c r="AR66" s="1215"/>
      <c r="AS66" s="1215"/>
      <c r="AT66" s="1215"/>
      <c r="AU66" s="1215"/>
      <c r="AV66" s="1215"/>
      <c r="AW66" s="1215"/>
      <c r="AX66" s="1215"/>
      <c r="AY66" s="1215"/>
      <c r="AZ66" s="1215"/>
      <c r="BA66" s="1215"/>
      <c r="BB66" s="1215"/>
      <c r="BC66" s="1215"/>
      <c r="BD66" s="1215"/>
      <c r="BE66" s="1215"/>
      <c r="BF66" s="1215"/>
      <c r="BG66" s="1215"/>
      <c r="BH66" s="1215"/>
      <c r="BI66" s="1215"/>
      <c r="BJ66" s="1215"/>
      <c r="BK66" s="1215"/>
      <c r="BL66" s="1269"/>
      <c r="BM66" s="1269"/>
      <c r="BN66" s="1261"/>
      <c r="BO66" s="1262"/>
      <c r="BP66" s="1215"/>
      <c r="BQ66" s="1215"/>
      <c r="BR66" s="1215"/>
      <c r="BS66" s="1215"/>
      <c r="BT66" s="1215"/>
      <c r="BU66" s="1215"/>
      <c r="BV66" s="853"/>
      <c r="BW66" s="853"/>
      <c r="BX66" s="853"/>
      <c r="BY66" s="853"/>
      <c r="BZ66" s="853"/>
      <c r="CA66" s="853"/>
      <c r="CB66" s="853"/>
      <c r="CC66" s="853"/>
      <c r="CD66" s="853"/>
      <c r="CE66" s="853"/>
    </row>
    <row r="67" spans="1:83" s="855" customFormat="1" ht="15.75" customHeight="1" x14ac:dyDescent="0.25">
      <c r="A67" s="754"/>
      <c r="B67" s="737"/>
      <c r="C67" s="755"/>
      <c r="D67" s="741"/>
      <c r="E67" s="742"/>
      <c r="F67" s="737"/>
      <c r="G67" s="737"/>
      <c r="H67" s="737"/>
      <c r="I67" s="737"/>
      <c r="J67" s="737"/>
      <c r="K67" s="35"/>
      <c r="L67" s="853"/>
      <c r="M67" s="1215"/>
      <c r="N67" s="1215"/>
      <c r="O67" s="1215"/>
      <c r="P67" s="1215"/>
      <c r="Q67" s="1215"/>
      <c r="R67" s="1215"/>
      <c r="S67" s="1215"/>
      <c r="T67" s="1215"/>
      <c r="U67" s="1215"/>
      <c r="V67" s="1215"/>
      <c r="W67" s="1215"/>
      <c r="X67" s="1215"/>
      <c r="Y67" s="1215"/>
      <c r="Z67" s="1215"/>
      <c r="AA67" s="1215"/>
      <c r="AB67" s="1215"/>
      <c r="AC67" s="1215"/>
      <c r="AD67" s="1215"/>
      <c r="AE67" s="1215"/>
      <c r="AF67" s="1215"/>
      <c r="AG67" s="1215"/>
      <c r="AH67" s="1215"/>
      <c r="AI67" s="1215"/>
      <c r="AJ67" s="1215"/>
      <c r="AK67" s="1215"/>
      <c r="AL67" s="1215"/>
      <c r="AM67" s="1215"/>
      <c r="AN67" s="1215"/>
      <c r="AO67" s="1215"/>
      <c r="AP67" s="1215"/>
      <c r="AQ67" s="1215"/>
      <c r="AR67" s="1215"/>
      <c r="AS67" s="1215"/>
      <c r="AT67" s="1215"/>
      <c r="AU67" s="1215"/>
      <c r="AV67" s="1215"/>
      <c r="AW67" s="1215"/>
      <c r="AX67" s="1215"/>
      <c r="AY67" s="1215"/>
      <c r="AZ67" s="1215"/>
      <c r="BA67" s="1215"/>
      <c r="BB67" s="1215"/>
      <c r="BC67" s="1215"/>
      <c r="BD67" s="1215"/>
      <c r="BE67" s="1215"/>
      <c r="BF67" s="1215"/>
      <c r="BG67" s="1215"/>
      <c r="BH67" s="1215"/>
      <c r="BI67" s="1215"/>
      <c r="BJ67" s="1215"/>
      <c r="BK67" s="1215"/>
      <c r="BL67" s="1269"/>
      <c r="BM67" s="1269"/>
      <c r="BN67" s="1261"/>
      <c r="BO67" s="1262"/>
      <c r="BP67" s="1215"/>
      <c r="BQ67" s="1215"/>
      <c r="BR67" s="1215"/>
      <c r="BS67" s="1215"/>
      <c r="BT67" s="1215"/>
      <c r="BU67" s="1215"/>
      <c r="BV67" s="853"/>
      <c r="BW67" s="853"/>
      <c r="BX67" s="853"/>
      <c r="BY67" s="853"/>
      <c r="BZ67" s="853"/>
      <c r="CA67" s="853"/>
      <c r="CB67" s="853"/>
      <c r="CC67" s="853"/>
      <c r="CD67" s="853"/>
      <c r="CE67" s="853"/>
    </row>
    <row r="68" spans="1:83" s="855" customFormat="1" ht="15.75" customHeight="1" x14ac:dyDescent="0.25">
      <c r="A68" s="754"/>
      <c r="B68" s="737"/>
      <c r="C68" s="755"/>
      <c r="D68" s="741"/>
      <c r="E68" s="742"/>
      <c r="F68" s="737"/>
      <c r="G68" s="737"/>
      <c r="H68" s="737"/>
      <c r="I68" s="737"/>
      <c r="J68" s="737"/>
      <c r="K68" s="35"/>
      <c r="L68" s="853"/>
      <c r="M68" s="1215"/>
      <c r="N68" s="1215"/>
      <c r="O68" s="1215"/>
      <c r="P68" s="1215"/>
      <c r="Q68" s="1215"/>
      <c r="R68" s="1215"/>
      <c r="S68" s="1215"/>
      <c r="T68" s="1215"/>
      <c r="U68" s="1215"/>
      <c r="V68" s="1215"/>
      <c r="W68" s="1215"/>
      <c r="X68" s="1215"/>
      <c r="Y68" s="1215"/>
      <c r="Z68" s="1215"/>
      <c r="AA68" s="1215"/>
      <c r="AB68" s="1215"/>
      <c r="AC68" s="1215"/>
      <c r="AD68" s="1215"/>
      <c r="AE68" s="1215"/>
      <c r="AF68" s="1215"/>
      <c r="AG68" s="1215"/>
      <c r="AH68" s="1215"/>
      <c r="AI68" s="1215"/>
      <c r="AJ68" s="1215"/>
      <c r="AK68" s="1215"/>
      <c r="AL68" s="1215"/>
      <c r="AM68" s="1215"/>
      <c r="AN68" s="1215"/>
      <c r="AO68" s="1215"/>
      <c r="AP68" s="1215"/>
      <c r="AQ68" s="1215"/>
      <c r="AR68" s="1215"/>
      <c r="AS68" s="1215"/>
      <c r="AT68" s="1215"/>
      <c r="AU68" s="1215"/>
      <c r="AV68" s="1215"/>
      <c r="AW68" s="1215"/>
      <c r="AX68" s="1215"/>
      <c r="AY68" s="1215"/>
      <c r="AZ68" s="1215"/>
      <c r="BA68" s="1215"/>
      <c r="BB68" s="1215"/>
      <c r="BC68" s="1215"/>
      <c r="BD68" s="1215"/>
      <c r="BE68" s="1215"/>
      <c r="BF68" s="1215"/>
      <c r="BG68" s="1215"/>
      <c r="BH68" s="1215"/>
      <c r="BI68" s="1215"/>
      <c r="BJ68" s="1215"/>
      <c r="BK68" s="1215"/>
      <c r="BL68" s="1269"/>
      <c r="BM68" s="1269"/>
      <c r="BN68" s="1261"/>
      <c r="BO68" s="1262"/>
      <c r="BP68" s="1215"/>
      <c r="BQ68" s="1215"/>
      <c r="BR68" s="1215"/>
      <c r="BS68" s="1215"/>
      <c r="BT68" s="1215"/>
      <c r="BU68" s="1215"/>
      <c r="BV68" s="853"/>
      <c r="BW68" s="853"/>
      <c r="BX68" s="853"/>
      <c r="BY68" s="853"/>
      <c r="BZ68" s="853"/>
      <c r="CA68" s="853"/>
      <c r="CB68" s="853"/>
      <c r="CC68" s="853"/>
      <c r="CD68" s="853"/>
      <c r="CE68" s="853"/>
    </row>
    <row r="69" spans="1:83" s="855" customFormat="1" ht="15.75" customHeight="1" x14ac:dyDescent="0.25">
      <c r="A69" s="754"/>
      <c r="B69" s="737"/>
      <c r="C69" s="755"/>
      <c r="D69" s="741"/>
      <c r="E69" s="742"/>
      <c r="F69" s="737"/>
      <c r="G69" s="737"/>
      <c r="H69" s="737"/>
      <c r="I69" s="737"/>
      <c r="J69" s="737"/>
      <c r="K69" s="35"/>
      <c r="L69" s="853"/>
      <c r="M69" s="1215"/>
      <c r="N69" s="1215"/>
      <c r="O69" s="1215"/>
      <c r="P69" s="1215"/>
      <c r="Q69" s="1215"/>
      <c r="R69" s="1215"/>
      <c r="S69" s="1215"/>
      <c r="T69" s="1215"/>
      <c r="U69" s="1215"/>
      <c r="V69" s="1215"/>
      <c r="W69" s="1215"/>
      <c r="X69" s="1215"/>
      <c r="Y69" s="1215"/>
      <c r="Z69" s="1215"/>
      <c r="AA69" s="1215"/>
      <c r="AB69" s="1215"/>
      <c r="AC69" s="1215"/>
      <c r="AD69" s="1215"/>
      <c r="AE69" s="1215"/>
      <c r="AF69" s="1215"/>
      <c r="AG69" s="1215"/>
      <c r="AH69" s="1215"/>
      <c r="AI69" s="1215"/>
      <c r="AJ69" s="1215"/>
      <c r="AK69" s="1215"/>
      <c r="AL69" s="1215"/>
      <c r="AM69" s="1215"/>
      <c r="AN69" s="1215"/>
      <c r="AO69" s="1215"/>
      <c r="AP69" s="1215"/>
      <c r="AQ69" s="1215"/>
      <c r="AR69" s="1215"/>
      <c r="AS69" s="1215"/>
      <c r="AT69" s="1215"/>
      <c r="AU69" s="1215"/>
      <c r="AV69" s="1215"/>
      <c r="AW69" s="1215"/>
      <c r="AX69" s="1215"/>
      <c r="AY69" s="1215"/>
      <c r="AZ69" s="1215"/>
      <c r="BA69" s="1215"/>
      <c r="BB69" s="1215"/>
      <c r="BC69" s="1215"/>
      <c r="BD69" s="1215"/>
      <c r="BE69" s="1215"/>
      <c r="BF69" s="1215"/>
      <c r="BG69" s="1215"/>
      <c r="BH69" s="1215"/>
      <c r="BI69" s="1215"/>
      <c r="BJ69" s="1215"/>
      <c r="BK69" s="1215"/>
      <c r="BL69" s="1269"/>
      <c r="BM69" s="1269"/>
      <c r="BN69" s="1261"/>
      <c r="BO69" s="1262"/>
      <c r="BP69" s="1215"/>
      <c r="BQ69" s="1215"/>
      <c r="BR69" s="1215"/>
      <c r="BS69" s="1215"/>
      <c r="BT69" s="1215"/>
      <c r="BU69" s="1215"/>
      <c r="BV69" s="853"/>
      <c r="BW69" s="853"/>
      <c r="BX69" s="853"/>
      <c r="BY69" s="853"/>
      <c r="BZ69" s="853"/>
      <c r="CA69" s="853"/>
      <c r="CB69" s="853"/>
      <c r="CC69" s="853"/>
      <c r="CD69" s="853"/>
      <c r="CE69" s="853"/>
    </row>
    <row r="70" spans="1:83" s="855" customFormat="1" ht="15.75" customHeight="1" x14ac:dyDescent="0.25">
      <c r="A70" s="754"/>
      <c r="B70" s="737"/>
      <c r="C70" s="755"/>
      <c r="D70" s="741"/>
      <c r="E70" s="742"/>
      <c r="F70" s="737"/>
      <c r="G70" s="737"/>
      <c r="H70" s="737"/>
      <c r="I70" s="737"/>
      <c r="J70" s="737"/>
      <c r="K70" s="35"/>
      <c r="L70" s="853"/>
      <c r="M70" s="1215"/>
      <c r="N70" s="1215"/>
      <c r="O70" s="1215"/>
      <c r="P70" s="1215"/>
      <c r="Q70" s="1215"/>
      <c r="R70" s="1215"/>
      <c r="S70" s="1215"/>
      <c r="T70" s="1215"/>
      <c r="U70" s="1215"/>
      <c r="V70" s="1215"/>
      <c r="W70" s="1215"/>
      <c r="X70" s="1215"/>
      <c r="Y70" s="1215"/>
      <c r="Z70" s="1215"/>
      <c r="AA70" s="1215"/>
      <c r="AB70" s="1215"/>
      <c r="AC70" s="1215"/>
      <c r="AD70" s="1215"/>
      <c r="AE70" s="1215"/>
      <c r="AF70" s="1215"/>
      <c r="AG70" s="1215"/>
      <c r="AH70" s="1215"/>
      <c r="AI70" s="1215"/>
      <c r="AJ70" s="1215"/>
      <c r="AK70" s="1215"/>
      <c r="AL70" s="1215"/>
      <c r="AM70" s="1215"/>
      <c r="AN70" s="1215"/>
      <c r="AO70" s="1215"/>
      <c r="AP70" s="1215"/>
      <c r="AQ70" s="1215"/>
      <c r="AR70" s="1215"/>
      <c r="AS70" s="1215"/>
      <c r="AT70" s="1215"/>
      <c r="AU70" s="1215"/>
      <c r="AV70" s="1215"/>
      <c r="AW70" s="1215"/>
      <c r="AX70" s="1215"/>
      <c r="AY70" s="1215"/>
      <c r="AZ70" s="1215"/>
      <c r="BA70" s="1215"/>
      <c r="BB70" s="1215"/>
      <c r="BC70" s="1215"/>
      <c r="BD70" s="1215"/>
      <c r="BE70" s="1215"/>
      <c r="BF70" s="1215"/>
      <c r="BG70" s="1215"/>
      <c r="BH70" s="1215"/>
      <c r="BI70" s="1215"/>
      <c r="BJ70" s="1215"/>
      <c r="BK70" s="1215"/>
      <c r="BL70" s="1269"/>
      <c r="BM70" s="1269"/>
      <c r="BN70" s="1261"/>
      <c r="BO70" s="1262"/>
      <c r="BP70" s="1215"/>
      <c r="BQ70" s="1215"/>
      <c r="BR70" s="1215"/>
      <c r="BS70" s="1215"/>
      <c r="BT70" s="1215"/>
      <c r="BU70" s="1215"/>
      <c r="BV70" s="853"/>
      <c r="BW70" s="853"/>
      <c r="BX70" s="853"/>
      <c r="BY70" s="853"/>
      <c r="BZ70" s="853"/>
      <c r="CA70" s="853"/>
      <c r="CB70" s="853"/>
      <c r="CC70" s="853"/>
      <c r="CD70" s="853"/>
      <c r="CE70" s="853"/>
    </row>
    <row r="71" spans="1:83" s="855" customFormat="1" ht="15.75" customHeight="1" x14ac:dyDescent="0.25">
      <c r="A71" s="754"/>
      <c r="B71" s="737"/>
      <c r="C71" s="755"/>
      <c r="D71" s="741"/>
      <c r="E71" s="742"/>
      <c r="F71" s="737"/>
      <c r="G71" s="737"/>
      <c r="H71" s="737"/>
      <c r="I71" s="737"/>
      <c r="J71" s="737"/>
      <c r="K71" s="35"/>
      <c r="L71" s="853"/>
      <c r="M71" s="1215"/>
      <c r="N71" s="1215"/>
      <c r="O71" s="1215"/>
      <c r="P71" s="1215"/>
      <c r="Q71" s="1215"/>
      <c r="R71" s="1215"/>
      <c r="S71" s="1215"/>
      <c r="T71" s="1215"/>
      <c r="U71" s="1215"/>
      <c r="V71" s="1215"/>
      <c r="W71" s="1215"/>
      <c r="X71" s="1215"/>
      <c r="Y71" s="1215"/>
      <c r="Z71" s="1215"/>
      <c r="AA71" s="1215"/>
      <c r="AB71" s="1215"/>
      <c r="AC71" s="1215"/>
      <c r="AD71" s="1215"/>
      <c r="AE71" s="1215"/>
      <c r="AF71" s="1215"/>
      <c r="AG71" s="1215"/>
      <c r="AH71" s="1215"/>
      <c r="AI71" s="1215"/>
      <c r="AJ71" s="1215"/>
      <c r="AK71" s="1215"/>
      <c r="AL71" s="1215"/>
      <c r="AM71" s="1215"/>
      <c r="AN71" s="1215"/>
      <c r="AO71" s="1215"/>
      <c r="AP71" s="1215"/>
      <c r="AQ71" s="1215"/>
      <c r="AR71" s="1215"/>
      <c r="AS71" s="1215"/>
      <c r="AT71" s="1215"/>
      <c r="AU71" s="1215"/>
      <c r="AV71" s="1215"/>
      <c r="AW71" s="1215"/>
      <c r="AX71" s="1215"/>
      <c r="AY71" s="1215"/>
      <c r="AZ71" s="1215"/>
      <c r="BA71" s="1215"/>
      <c r="BB71" s="1215"/>
      <c r="BC71" s="1215"/>
      <c r="BD71" s="1215"/>
      <c r="BE71" s="1215"/>
      <c r="BF71" s="1215"/>
      <c r="BG71" s="1215"/>
      <c r="BH71" s="1215"/>
      <c r="BI71" s="1215"/>
      <c r="BJ71" s="1215"/>
      <c r="BK71" s="1215"/>
      <c r="BL71" s="1269"/>
      <c r="BM71" s="1269"/>
      <c r="BN71" s="1261"/>
      <c r="BO71" s="1262"/>
      <c r="BP71" s="1215"/>
      <c r="BQ71" s="1215"/>
      <c r="BR71" s="1215"/>
      <c r="BS71" s="1215"/>
      <c r="BT71" s="1215"/>
      <c r="BU71" s="1215"/>
      <c r="BV71" s="853"/>
      <c r="BW71" s="853"/>
      <c r="BX71" s="853"/>
      <c r="BY71" s="853"/>
      <c r="BZ71" s="853"/>
      <c r="CA71" s="853"/>
      <c r="CB71" s="853"/>
      <c r="CC71" s="853"/>
      <c r="CD71" s="853"/>
      <c r="CE71" s="853"/>
    </row>
    <row r="72" spans="1:83" s="855" customFormat="1" ht="15.75" customHeight="1" x14ac:dyDescent="0.25">
      <c r="A72" s="743"/>
      <c r="B72" s="737"/>
      <c r="C72" s="737"/>
      <c r="D72" s="1086"/>
      <c r="E72" s="737"/>
      <c r="F72" s="737"/>
      <c r="G72" s="737"/>
      <c r="H72" s="737"/>
      <c r="I72" s="737"/>
      <c r="J72" s="737"/>
      <c r="K72" s="35"/>
      <c r="L72" s="853"/>
      <c r="M72" s="1215"/>
      <c r="N72" s="1215"/>
      <c r="O72" s="1215"/>
      <c r="P72" s="1215"/>
      <c r="Q72" s="1215"/>
      <c r="R72" s="1215"/>
      <c r="S72" s="1215"/>
      <c r="T72" s="1215"/>
      <c r="U72" s="1215"/>
      <c r="V72" s="1215"/>
      <c r="W72" s="1215"/>
      <c r="X72" s="1215"/>
      <c r="Y72" s="1215"/>
      <c r="Z72" s="1215"/>
      <c r="AA72" s="1215"/>
      <c r="AB72" s="1215"/>
      <c r="AC72" s="1215"/>
      <c r="AD72" s="1215"/>
      <c r="AE72" s="1215"/>
      <c r="AF72" s="1215"/>
      <c r="AG72" s="1215"/>
      <c r="AH72" s="1215"/>
      <c r="AI72" s="1215"/>
      <c r="AJ72" s="1215"/>
      <c r="AK72" s="1215"/>
      <c r="AL72" s="1215"/>
      <c r="AM72" s="1215"/>
      <c r="AN72" s="1215"/>
      <c r="AO72" s="1215"/>
      <c r="AP72" s="1215"/>
      <c r="AQ72" s="1215"/>
      <c r="AR72" s="1215"/>
      <c r="AS72" s="1215"/>
      <c r="AT72" s="1215"/>
      <c r="AU72" s="1215"/>
      <c r="AV72" s="1215"/>
      <c r="AW72" s="1215"/>
      <c r="AX72" s="1215"/>
      <c r="AY72" s="1215"/>
      <c r="AZ72" s="1215"/>
      <c r="BA72" s="1215"/>
      <c r="BB72" s="1215"/>
      <c r="BC72" s="1215"/>
      <c r="BD72" s="1215"/>
      <c r="BE72" s="1215"/>
      <c r="BF72" s="1215"/>
      <c r="BG72" s="1215"/>
      <c r="BH72" s="1215"/>
      <c r="BI72" s="1215"/>
      <c r="BJ72" s="1215"/>
      <c r="BK72" s="1215"/>
      <c r="BL72" s="1269"/>
      <c r="BM72" s="1269"/>
      <c r="BN72" s="1261"/>
      <c r="BO72" s="1262"/>
      <c r="BP72" s="1215"/>
      <c r="BQ72" s="1215"/>
      <c r="BR72" s="1215"/>
      <c r="BS72" s="1215"/>
      <c r="BT72" s="1215"/>
      <c r="BU72" s="1215"/>
      <c r="BV72" s="853"/>
      <c r="BW72" s="853"/>
      <c r="BX72" s="853"/>
      <c r="BY72" s="853"/>
      <c r="BZ72" s="853"/>
      <c r="CA72" s="853"/>
      <c r="CB72" s="853"/>
      <c r="CC72" s="853"/>
      <c r="CD72" s="853"/>
      <c r="CE72" s="853"/>
    </row>
    <row r="73" spans="1:83" s="855" customFormat="1" ht="15.75" customHeight="1" x14ac:dyDescent="0.25">
      <c r="A73" s="743"/>
      <c r="B73" s="737"/>
      <c r="C73" s="737"/>
      <c r="D73" s="1086"/>
      <c r="E73" s="737"/>
      <c r="F73" s="737"/>
      <c r="G73" s="737"/>
      <c r="H73" s="737"/>
      <c r="I73" s="737"/>
      <c r="J73" s="737"/>
      <c r="K73" s="35"/>
      <c r="L73" s="853"/>
      <c r="M73" s="1215"/>
      <c r="N73" s="1215"/>
      <c r="O73" s="1215"/>
      <c r="P73" s="1215"/>
      <c r="Q73" s="1215"/>
      <c r="R73" s="1215"/>
      <c r="S73" s="1215"/>
      <c r="T73" s="1215"/>
      <c r="U73" s="1215"/>
      <c r="V73" s="1215"/>
      <c r="W73" s="1215"/>
      <c r="X73" s="1215"/>
      <c r="Y73" s="1215"/>
      <c r="Z73" s="1215"/>
      <c r="AA73" s="1215"/>
      <c r="AB73" s="1215"/>
      <c r="AC73" s="1215"/>
      <c r="AD73" s="1215"/>
      <c r="AE73" s="1215"/>
      <c r="AF73" s="1215"/>
      <c r="AG73" s="1215"/>
      <c r="AH73" s="1215"/>
      <c r="AI73" s="1215"/>
      <c r="AJ73" s="1215"/>
      <c r="AK73" s="1215"/>
      <c r="AL73" s="1215"/>
      <c r="AM73" s="1215"/>
      <c r="AN73" s="1215"/>
      <c r="AO73" s="1215"/>
      <c r="AP73" s="1215"/>
      <c r="AQ73" s="1215"/>
      <c r="AR73" s="1215"/>
      <c r="AS73" s="1215"/>
      <c r="AT73" s="1215"/>
      <c r="AU73" s="1215"/>
      <c r="AV73" s="1215"/>
      <c r="AW73" s="1215"/>
      <c r="AX73" s="1215"/>
      <c r="AY73" s="1215"/>
      <c r="AZ73" s="1215"/>
      <c r="BA73" s="1215"/>
      <c r="BB73" s="1215"/>
      <c r="BC73" s="1215"/>
      <c r="BD73" s="1215"/>
      <c r="BE73" s="1215"/>
      <c r="BF73" s="1215"/>
      <c r="BG73" s="1215"/>
      <c r="BH73" s="1215"/>
      <c r="BI73" s="1215"/>
      <c r="BJ73" s="1215"/>
      <c r="BK73" s="1215"/>
      <c r="BL73" s="1269"/>
      <c r="BM73" s="1269"/>
      <c r="BN73" s="1261"/>
      <c r="BO73" s="1262"/>
      <c r="BP73" s="1215"/>
      <c r="BQ73" s="1215"/>
      <c r="BR73" s="1215"/>
      <c r="BS73" s="1215"/>
      <c r="BT73" s="1215"/>
      <c r="BU73" s="1215"/>
      <c r="BV73" s="853"/>
      <c r="BW73" s="853"/>
      <c r="BX73" s="853"/>
      <c r="BY73" s="853"/>
      <c r="BZ73" s="853"/>
      <c r="CA73" s="853"/>
      <c r="CB73" s="853"/>
      <c r="CC73" s="853"/>
      <c r="CD73" s="853"/>
      <c r="CE73" s="853"/>
    </row>
    <row r="74" spans="1:83" s="855" customFormat="1" ht="15.75" customHeight="1" x14ac:dyDescent="0.2">
      <c r="A74" s="15"/>
      <c r="B74" s="15"/>
      <c r="C74" s="15"/>
      <c r="D74" s="13"/>
      <c r="E74" s="15"/>
      <c r="F74" s="15"/>
      <c r="G74" s="15"/>
      <c r="H74" s="15"/>
      <c r="I74" s="15"/>
      <c r="J74" s="15"/>
      <c r="K74" s="35"/>
      <c r="L74" s="853"/>
      <c r="M74" s="1215"/>
      <c r="N74" s="1215"/>
      <c r="O74" s="1215"/>
      <c r="P74" s="1215"/>
      <c r="Q74" s="1215"/>
      <c r="R74" s="1215"/>
      <c r="S74" s="1215"/>
      <c r="T74" s="1215"/>
      <c r="U74" s="1215"/>
      <c r="V74" s="1215"/>
      <c r="W74" s="1215"/>
      <c r="X74" s="1215"/>
      <c r="Y74" s="1215"/>
      <c r="Z74" s="1215"/>
      <c r="AA74" s="1215"/>
      <c r="AB74" s="1215"/>
      <c r="AC74" s="1215"/>
      <c r="AD74" s="1215"/>
      <c r="AE74" s="1215"/>
      <c r="AF74" s="1215"/>
      <c r="AG74" s="1215"/>
      <c r="AH74" s="1215"/>
      <c r="AI74" s="1215"/>
      <c r="AJ74" s="1215"/>
      <c r="AK74" s="1215"/>
      <c r="AL74" s="1215"/>
      <c r="AM74" s="1215"/>
      <c r="AN74" s="1215"/>
      <c r="AO74" s="1215"/>
      <c r="AP74" s="1215"/>
      <c r="AQ74" s="1215"/>
      <c r="AR74" s="1215"/>
      <c r="AS74" s="1215"/>
      <c r="AT74" s="1215"/>
      <c r="AU74" s="1215"/>
      <c r="AV74" s="1215"/>
      <c r="AW74" s="1215"/>
      <c r="AX74" s="1215"/>
      <c r="AY74" s="1215"/>
      <c r="AZ74" s="1215"/>
      <c r="BA74" s="1215"/>
      <c r="BB74" s="1215"/>
      <c r="BC74" s="1215"/>
      <c r="BD74" s="1215"/>
      <c r="BE74" s="1215"/>
      <c r="BF74" s="1215"/>
      <c r="BG74" s="1215"/>
      <c r="BH74" s="1215"/>
      <c r="BI74" s="1215"/>
      <c r="BJ74" s="1215"/>
      <c r="BK74" s="1215"/>
      <c r="BL74" s="1269"/>
      <c r="BM74" s="1269"/>
      <c r="BN74" s="1261"/>
      <c r="BO74" s="1262"/>
      <c r="BP74" s="1215"/>
      <c r="BQ74" s="1215"/>
      <c r="BR74" s="1215"/>
      <c r="BS74" s="1215"/>
      <c r="BT74" s="1215"/>
      <c r="BU74" s="1215"/>
      <c r="BV74" s="853"/>
      <c r="BW74" s="853"/>
      <c r="BX74" s="853"/>
      <c r="BY74" s="853"/>
      <c r="BZ74" s="853"/>
      <c r="CA74" s="853"/>
      <c r="CB74" s="853"/>
      <c r="CC74" s="853"/>
      <c r="CD74" s="853"/>
      <c r="CE74" s="853"/>
    </row>
    <row r="75" spans="1:83" s="855" customFormat="1" ht="15.75" customHeight="1" x14ac:dyDescent="0.25">
      <c r="A75" s="740"/>
      <c r="B75" s="737"/>
      <c r="C75" s="737"/>
      <c r="D75" s="1086"/>
      <c r="E75" s="737"/>
      <c r="F75" s="737"/>
      <c r="G75" s="737"/>
      <c r="H75" s="737"/>
      <c r="I75" s="737"/>
      <c r="J75" s="737"/>
      <c r="K75" s="35"/>
      <c r="L75" s="853"/>
      <c r="M75" s="1215"/>
      <c r="N75" s="1215"/>
      <c r="O75" s="1215"/>
      <c r="P75" s="1215"/>
      <c r="Q75" s="1215"/>
      <c r="R75" s="1215"/>
      <c r="S75" s="1215"/>
      <c r="T75" s="1215"/>
      <c r="U75" s="1215"/>
      <c r="V75" s="1215"/>
      <c r="W75" s="1215"/>
      <c r="X75" s="1215"/>
      <c r="Y75" s="1215"/>
      <c r="Z75" s="1215"/>
      <c r="AA75" s="1215"/>
      <c r="AB75" s="1215"/>
      <c r="AC75" s="1215"/>
      <c r="AD75" s="1215"/>
      <c r="AE75" s="1215"/>
      <c r="AF75" s="1215"/>
      <c r="AG75" s="1215"/>
      <c r="AH75" s="1215"/>
      <c r="AI75" s="1215"/>
      <c r="AJ75" s="1215"/>
      <c r="AK75" s="1215"/>
      <c r="AL75" s="1215"/>
      <c r="AM75" s="1215"/>
      <c r="AN75" s="1215"/>
      <c r="AO75" s="1215"/>
      <c r="AP75" s="1215"/>
      <c r="AQ75" s="1215"/>
      <c r="AR75" s="1215"/>
      <c r="AS75" s="1215"/>
      <c r="AT75" s="1215"/>
      <c r="AU75" s="1215"/>
      <c r="AV75" s="1215"/>
      <c r="AW75" s="1215"/>
      <c r="AX75" s="1215"/>
      <c r="AY75" s="1215"/>
      <c r="AZ75" s="1215"/>
      <c r="BA75" s="1215"/>
      <c r="BB75" s="1215"/>
      <c r="BC75" s="1215"/>
      <c r="BD75" s="1215"/>
      <c r="BE75" s="1215"/>
      <c r="BF75" s="1215"/>
      <c r="BG75" s="1215"/>
      <c r="BH75" s="1215"/>
      <c r="BI75" s="1215"/>
      <c r="BJ75" s="1215"/>
      <c r="BK75" s="1215"/>
      <c r="BL75" s="1269"/>
      <c r="BM75" s="1269"/>
      <c r="BN75" s="1261"/>
      <c r="BO75" s="1262"/>
      <c r="BP75" s="1215"/>
      <c r="BQ75" s="1215"/>
      <c r="BR75" s="1215"/>
      <c r="BS75" s="1215"/>
      <c r="BT75" s="1215"/>
      <c r="BU75" s="1215"/>
      <c r="BV75" s="853"/>
      <c r="BW75" s="853"/>
      <c r="BX75" s="853"/>
      <c r="BY75" s="853"/>
      <c r="BZ75" s="853"/>
      <c r="CA75" s="853"/>
      <c r="CB75" s="853"/>
      <c r="CC75" s="853"/>
      <c r="CD75" s="853"/>
      <c r="CE75" s="853"/>
    </row>
    <row r="76" spans="1:83" s="855" customFormat="1" ht="15.75" customHeight="1" thickBot="1" x14ac:dyDescent="0.3">
      <c r="A76" s="740"/>
      <c r="B76" s="737"/>
      <c r="C76" s="737"/>
      <c r="D76" s="1086"/>
      <c r="E76" s="737"/>
      <c r="F76" s="737"/>
      <c r="G76" s="737"/>
      <c r="H76" s="737"/>
      <c r="I76" s="737"/>
      <c r="J76" s="737"/>
      <c r="K76" s="35"/>
      <c r="L76" s="853"/>
      <c r="M76" s="1215"/>
      <c r="N76" s="1215"/>
      <c r="O76" s="1215"/>
      <c r="P76" s="1298" t="s">
        <v>395</v>
      </c>
      <c r="Q76" s="1298" t="s">
        <v>557</v>
      </c>
      <c r="R76" s="1215"/>
      <c r="S76" s="1215"/>
      <c r="T76" s="1215"/>
      <c r="U76" s="1215"/>
      <c r="V76" s="1215"/>
      <c r="W76" s="1215"/>
      <c r="X76" s="1215"/>
      <c r="Y76" s="1215"/>
      <c r="Z76" s="1215"/>
      <c r="AA76" s="1215"/>
      <c r="AB76" s="1215"/>
      <c r="AC76" s="1215"/>
      <c r="AD76" s="1215"/>
      <c r="AE76" s="1215"/>
      <c r="AF76" s="1215"/>
      <c r="AG76" s="1215"/>
      <c r="AH76" s="1215"/>
      <c r="AI76" s="1215"/>
      <c r="AJ76" s="1215"/>
      <c r="AK76" s="1215"/>
      <c r="AL76" s="1215"/>
      <c r="AM76" s="1215"/>
      <c r="AN76" s="1215"/>
      <c r="AO76" s="1215"/>
      <c r="AP76" s="1215"/>
      <c r="AQ76" s="1215"/>
      <c r="AR76" s="1215"/>
      <c r="AS76" s="1215"/>
      <c r="AT76" s="1215"/>
      <c r="AU76" s="1215"/>
      <c r="AV76" s="1215"/>
      <c r="AW76" s="1215"/>
      <c r="AX76" s="1215"/>
      <c r="AY76" s="1215"/>
      <c r="AZ76" s="1215"/>
      <c r="BA76" s="1215"/>
      <c r="BB76" s="1215"/>
      <c r="BC76" s="1215"/>
      <c r="BD76" s="1215"/>
      <c r="BE76" s="1215"/>
      <c r="BF76" s="1215"/>
      <c r="BG76" s="1215"/>
      <c r="BH76" s="1215"/>
      <c r="BI76" s="1215"/>
      <c r="BJ76" s="1215"/>
      <c r="BK76" s="1215"/>
      <c r="BL76" s="1269"/>
      <c r="BM76" s="1269"/>
      <c r="BN76" s="1261"/>
      <c r="BO76" s="1262"/>
      <c r="BP76" s="1215"/>
      <c r="BQ76" s="1215"/>
      <c r="BR76" s="1215"/>
      <c r="BS76" s="1215"/>
      <c r="BT76" s="1215"/>
      <c r="BU76" s="1215"/>
      <c r="BV76" s="853"/>
      <c r="BW76" s="853"/>
      <c r="BX76" s="853"/>
      <c r="BY76" s="853"/>
      <c r="BZ76" s="853"/>
      <c r="CA76" s="853"/>
      <c r="CB76" s="853"/>
      <c r="CC76" s="853"/>
      <c r="CD76" s="853"/>
      <c r="CE76" s="853"/>
    </row>
    <row r="77" spans="1:83" s="1068" customFormat="1" ht="15.75" customHeight="1" x14ac:dyDescent="0.2">
      <c r="A77" s="1140" t="s">
        <v>484</v>
      </c>
      <c r="B77" s="1159">
        <f>M77</f>
        <v>0</v>
      </c>
      <c r="C77" s="1130"/>
      <c r="D77" s="1140" t="s">
        <v>484</v>
      </c>
      <c r="E77" s="1142"/>
      <c r="F77" s="1159">
        <f>B60-B77-J77</f>
        <v>0</v>
      </c>
      <c r="G77" s="1130"/>
      <c r="H77" s="1140" t="s">
        <v>485</v>
      </c>
      <c r="I77" s="1142"/>
      <c r="J77" s="1159" t="str">
        <f>P77</f>
        <v>0</v>
      </c>
      <c r="K77" s="35"/>
      <c r="L77" s="853"/>
      <c r="M77" s="1299">
        <f>B60*C64/100</f>
        <v>0</v>
      </c>
      <c r="N77" s="1300">
        <f>B60-B77-J77</f>
        <v>0</v>
      </c>
      <c r="O77" s="1301"/>
      <c r="P77" s="1300" t="str">
        <f>IF(F78+J78=0,"0",B60*D64/100*((C60-F78)/(J78-F78)))</f>
        <v>0</v>
      </c>
      <c r="Q77" s="1302">
        <f>P77*(1/0.9)</f>
        <v>0</v>
      </c>
      <c r="R77" s="1215"/>
      <c r="S77" s="1215"/>
      <c r="T77" s="1215"/>
      <c r="U77" s="1215"/>
      <c r="V77" s="1215"/>
      <c r="W77" s="1215"/>
      <c r="X77" s="1215"/>
      <c r="Y77" s="1215"/>
      <c r="Z77" s="1215"/>
      <c r="AA77" s="1215"/>
      <c r="AB77" s="1215"/>
      <c r="AC77" s="1215"/>
      <c r="AD77" s="1215"/>
      <c r="AE77" s="1215"/>
      <c r="AF77" s="1215"/>
      <c r="AG77" s="1215"/>
      <c r="AH77" s="1215"/>
      <c r="AI77" s="1215"/>
      <c r="AJ77" s="1215"/>
      <c r="AK77" s="1215"/>
      <c r="AL77" s="1215"/>
      <c r="AM77" s="1215"/>
      <c r="AN77" s="1215"/>
      <c r="AO77" s="1215"/>
      <c r="AP77" s="1215"/>
      <c r="AQ77" s="1215"/>
      <c r="AR77" s="1215"/>
      <c r="AS77" s="1215"/>
      <c r="AT77" s="1215"/>
      <c r="AU77" s="1215"/>
      <c r="AV77" s="1215"/>
      <c r="AW77" s="1215"/>
      <c r="AX77" s="1215"/>
      <c r="AY77" s="1215"/>
      <c r="AZ77" s="1215"/>
      <c r="BA77" s="1215"/>
      <c r="BB77" s="1215"/>
      <c r="BC77" s="1215"/>
      <c r="BD77" s="1215"/>
      <c r="BE77" s="1215"/>
      <c r="BF77" s="1215"/>
      <c r="BG77" s="1215"/>
      <c r="BH77" s="1215"/>
      <c r="BI77" s="1215"/>
      <c r="BJ77" s="1215"/>
      <c r="BK77" s="1215"/>
      <c r="BL77" s="1268">
        <v>6</v>
      </c>
      <c r="BM77" s="1268">
        <v>6</v>
      </c>
      <c r="BN77" s="1303">
        <f>IF(Q77=" ",0,BL77*Q77)</f>
        <v>0</v>
      </c>
      <c r="BO77" s="1304">
        <f>IF(Q77=" ",0,BM77*Q77)</f>
        <v>0</v>
      </c>
      <c r="BP77" s="1215"/>
      <c r="BQ77" s="1215"/>
      <c r="BR77" s="1215"/>
      <c r="BS77" s="1215"/>
      <c r="BT77" s="1215"/>
      <c r="BU77" s="1215"/>
      <c r="BV77" s="853"/>
      <c r="BW77" s="853"/>
      <c r="BX77" s="853"/>
      <c r="BY77" s="853"/>
      <c r="BZ77" s="853"/>
      <c r="CA77" s="853"/>
      <c r="CB77" s="853"/>
      <c r="CC77" s="853"/>
      <c r="CD77" s="853"/>
      <c r="CE77" s="853"/>
    </row>
    <row r="78" spans="1:83" s="1068" customFormat="1" ht="15.75" customHeight="1" thickBot="1" x14ac:dyDescent="0.25">
      <c r="A78" s="1141" t="s">
        <v>486</v>
      </c>
      <c r="B78" s="1160">
        <f>C60</f>
        <v>0</v>
      </c>
      <c r="C78" s="1130"/>
      <c r="D78" s="1381" t="s">
        <v>486</v>
      </c>
      <c r="E78" s="1382"/>
      <c r="F78" s="1143">
        <v>0</v>
      </c>
      <c r="G78" s="1130"/>
      <c r="H78" s="1381" t="s">
        <v>486</v>
      </c>
      <c r="I78" s="1382"/>
      <c r="J78" s="1143">
        <v>0</v>
      </c>
      <c r="K78" s="35"/>
      <c r="L78" s="853"/>
      <c r="M78" s="1215"/>
      <c r="N78" s="1215"/>
      <c r="O78" s="1215"/>
      <c r="P78" s="1215"/>
      <c r="Q78" s="1215"/>
      <c r="R78" s="1215"/>
      <c r="S78" s="1215"/>
      <c r="T78" s="1215"/>
      <c r="U78" s="1215"/>
      <c r="V78" s="1215"/>
      <c r="W78" s="1215"/>
      <c r="X78" s="1215"/>
      <c r="Y78" s="1215"/>
      <c r="Z78" s="1215"/>
      <c r="AA78" s="1215"/>
      <c r="AB78" s="1215"/>
      <c r="AC78" s="1215"/>
      <c r="AD78" s="1215"/>
      <c r="AE78" s="1215"/>
      <c r="AF78" s="1215"/>
      <c r="AG78" s="1215"/>
      <c r="AH78" s="1215"/>
      <c r="AI78" s="1215"/>
      <c r="AJ78" s="1215"/>
      <c r="AK78" s="1215"/>
      <c r="AL78" s="1215"/>
      <c r="AM78" s="1215"/>
      <c r="AN78" s="1215"/>
      <c r="AO78" s="1215"/>
      <c r="AP78" s="1215"/>
      <c r="AQ78" s="1215"/>
      <c r="AR78" s="1215"/>
      <c r="AS78" s="1215"/>
      <c r="AT78" s="1215"/>
      <c r="AU78" s="1215"/>
      <c r="AV78" s="1215"/>
      <c r="AW78" s="1215"/>
      <c r="AX78" s="1215"/>
      <c r="AY78" s="1215"/>
      <c r="AZ78" s="1215"/>
      <c r="BA78" s="1215"/>
      <c r="BB78" s="1215"/>
      <c r="BC78" s="1215"/>
      <c r="BD78" s="1215"/>
      <c r="BE78" s="1215"/>
      <c r="BF78" s="1215"/>
      <c r="BG78" s="1215"/>
      <c r="BH78" s="1215"/>
      <c r="BI78" s="1215"/>
      <c r="BJ78" s="1215"/>
      <c r="BK78" s="1215"/>
      <c r="BL78" s="1269"/>
      <c r="BM78" s="1269"/>
      <c r="BN78" s="1296"/>
      <c r="BO78" s="1297"/>
      <c r="BP78" s="1215"/>
      <c r="BQ78" s="1215"/>
      <c r="BR78" s="1215"/>
      <c r="BS78" s="1215"/>
      <c r="BT78" s="1215"/>
      <c r="BU78" s="1215"/>
      <c r="BV78" s="853"/>
      <c r="BW78" s="853"/>
      <c r="BX78" s="853"/>
      <c r="BY78" s="853"/>
      <c r="BZ78" s="853"/>
      <c r="CA78" s="853"/>
      <c r="CB78" s="853"/>
      <c r="CC78" s="853"/>
      <c r="CD78" s="853"/>
      <c r="CE78" s="853"/>
    </row>
    <row r="79" spans="1:83" s="1068" customFormat="1" ht="15.75" customHeight="1" x14ac:dyDescent="0.2">
      <c r="A79" s="1069"/>
      <c r="B79" s="1069"/>
      <c r="C79" s="1069"/>
      <c r="D79" s="1069"/>
      <c r="E79" s="1069"/>
      <c r="F79" s="1069"/>
      <c r="G79" s="1069"/>
      <c r="H79" s="1069"/>
      <c r="I79" s="1069"/>
      <c r="J79" s="35"/>
      <c r="K79" s="35"/>
      <c r="L79" s="853"/>
      <c r="M79" s="1215"/>
      <c r="N79" s="1215"/>
      <c r="O79" s="1215"/>
      <c r="P79" s="1215"/>
      <c r="Q79" s="1215"/>
      <c r="R79" s="1215"/>
      <c r="S79" s="1215"/>
      <c r="T79" s="1215"/>
      <c r="U79" s="1215"/>
      <c r="V79" s="1215"/>
      <c r="W79" s="1215"/>
      <c r="X79" s="1215"/>
      <c r="Y79" s="1215"/>
      <c r="Z79" s="1215"/>
      <c r="AA79" s="1215"/>
      <c r="AB79" s="1215"/>
      <c r="AC79" s="1215"/>
      <c r="AD79" s="1215"/>
      <c r="AE79" s="1215"/>
      <c r="AF79" s="1215"/>
      <c r="AG79" s="1215"/>
      <c r="AH79" s="1215"/>
      <c r="AI79" s="1215"/>
      <c r="AJ79" s="1215"/>
      <c r="AK79" s="1215"/>
      <c r="AL79" s="1215"/>
      <c r="AM79" s="1215"/>
      <c r="AN79" s="1215"/>
      <c r="AO79" s="1215"/>
      <c r="AP79" s="1215"/>
      <c r="AQ79" s="1215"/>
      <c r="AR79" s="1215"/>
      <c r="AS79" s="1215"/>
      <c r="AT79" s="1215"/>
      <c r="AU79" s="1215"/>
      <c r="AV79" s="1215"/>
      <c r="AW79" s="1215"/>
      <c r="AX79" s="1215"/>
      <c r="AY79" s="1215"/>
      <c r="AZ79" s="1215"/>
      <c r="BA79" s="1215"/>
      <c r="BB79" s="1215"/>
      <c r="BC79" s="1215"/>
      <c r="BD79" s="1215"/>
      <c r="BE79" s="1215"/>
      <c r="BF79" s="1215"/>
      <c r="BG79" s="1215"/>
      <c r="BH79" s="1215"/>
      <c r="BI79" s="1215"/>
      <c r="BJ79" s="1215"/>
      <c r="BK79" s="1215"/>
      <c r="BL79" s="1269"/>
      <c r="BM79" s="1269"/>
      <c r="BN79" s="1261"/>
      <c r="BO79" s="1262"/>
      <c r="BP79" s="1215"/>
      <c r="BQ79" s="1215"/>
      <c r="BR79" s="1215"/>
      <c r="BS79" s="1215"/>
      <c r="BT79" s="1215"/>
      <c r="BU79" s="1215"/>
      <c r="BV79" s="853"/>
      <c r="BW79" s="853"/>
      <c r="BX79" s="853"/>
      <c r="BY79" s="853"/>
      <c r="BZ79" s="853"/>
      <c r="CA79" s="853"/>
      <c r="CB79" s="853"/>
      <c r="CC79" s="853"/>
      <c r="CD79" s="853"/>
      <c r="CE79" s="853"/>
    </row>
    <row r="80" spans="1:83" s="1068" customFormat="1" ht="15.75" customHeight="1" thickBot="1" x14ac:dyDescent="0.25">
      <c r="A80" s="1069"/>
      <c r="B80" s="1069"/>
      <c r="C80" s="1069"/>
      <c r="D80" s="1069"/>
      <c r="E80" s="1069"/>
      <c r="F80" s="1069"/>
      <c r="G80" s="1069"/>
      <c r="H80" s="1069"/>
      <c r="I80" s="1069"/>
      <c r="J80" s="35"/>
      <c r="K80" s="35"/>
      <c r="L80" s="853"/>
      <c r="M80" s="1215"/>
      <c r="N80" s="1215"/>
      <c r="O80" s="1215"/>
      <c r="P80" s="1215"/>
      <c r="Q80" s="1215"/>
      <c r="R80" s="1215"/>
      <c r="S80" s="1215"/>
      <c r="T80" s="1215"/>
      <c r="U80" s="1215"/>
      <c r="V80" s="1215"/>
      <c r="W80" s="1215"/>
      <c r="X80" s="1215"/>
      <c r="Y80" s="1215"/>
      <c r="Z80" s="1215"/>
      <c r="AA80" s="1215"/>
      <c r="AB80" s="1215"/>
      <c r="AC80" s="1215"/>
      <c r="AD80" s="1215"/>
      <c r="AE80" s="1215"/>
      <c r="AF80" s="1215"/>
      <c r="AG80" s="1215"/>
      <c r="AH80" s="1215"/>
      <c r="AI80" s="1215"/>
      <c r="AJ80" s="1215"/>
      <c r="AK80" s="1215"/>
      <c r="AL80" s="1215"/>
      <c r="AM80" s="1215"/>
      <c r="AN80" s="1215"/>
      <c r="AO80" s="1215"/>
      <c r="AP80" s="1215"/>
      <c r="AQ80" s="1215"/>
      <c r="AR80" s="1215"/>
      <c r="AS80" s="1215"/>
      <c r="AT80" s="1215"/>
      <c r="AU80" s="1215"/>
      <c r="AV80" s="1215"/>
      <c r="AW80" s="1215"/>
      <c r="AX80" s="1215"/>
      <c r="AY80" s="1215"/>
      <c r="AZ80" s="1215"/>
      <c r="BA80" s="1215"/>
      <c r="BB80" s="1215"/>
      <c r="BC80" s="1215"/>
      <c r="BD80" s="1215"/>
      <c r="BE80" s="1215"/>
      <c r="BF80" s="1215"/>
      <c r="BG80" s="1215"/>
      <c r="BH80" s="1215"/>
      <c r="BI80" s="1215"/>
      <c r="BJ80" s="1215"/>
      <c r="BK80" s="1215"/>
      <c r="BL80" s="1269"/>
      <c r="BM80" s="1269"/>
      <c r="BN80" s="1261"/>
      <c r="BO80" s="1262"/>
      <c r="BP80" s="1215"/>
      <c r="BQ80" s="1215"/>
      <c r="BR80" s="1215"/>
      <c r="BS80" s="1215"/>
      <c r="BT80" s="1215"/>
      <c r="BU80" s="1215"/>
      <c r="BV80" s="853"/>
      <c r="BW80" s="853"/>
      <c r="BX80" s="853"/>
      <c r="BY80" s="853"/>
      <c r="BZ80" s="853"/>
      <c r="CA80" s="853"/>
      <c r="CB80" s="853"/>
      <c r="CC80" s="853"/>
      <c r="CD80" s="853"/>
      <c r="CE80" s="853"/>
    </row>
    <row r="81" spans="1:83" s="1071" customFormat="1" x14ac:dyDescent="0.2">
      <c r="A81" s="1070"/>
      <c r="B81" s="1070"/>
      <c r="C81" s="1070"/>
      <c r="D81" s="1070"/>
      <c r="E81" s="1070"/>
      <c r="F81" s="1070"/>
      <c r="G81" s="1070"/>
      <c r="H81" s="1070"/>
      <c r="I81" s="1352" t="s">
        <v>64</v>
      </c>
      <c r="J81" s="1353"/>
      <c r="K81" s="1070"/>
      <c r="M81" s="1202"/>
      <c r="N81" s="1202"/>
      <c r="O81" s="1202"/>
      <c r="P81" s="1202"/>
      <c r="Q81" s="1202"/>
      <c r="R81" s="1202"/>
      <c r="S81" s="1202"/>
      <c r="T81" s="1202"/>
      <c r="U81" s="1202"/>
      <c r="V81" s="1202"/>
      <c r="W81" s="1202"/>
      <c r="X81" s="1202"/>
      <c r="Y81" s="1202"/>
      <c r="Z81" s="1202"/>
      <c r="AA81" s="1202"/>
      <c r="AB81" s="1202"/>
      <c r="AC81" s="1202"/>
      <c r="AD81" s="1202"/>
      <c r="AE81" s="1202"/>
      <c r="AF81" s="1202"/>
      <c r="AG81" s="1202"/>
      <c r="AH81" s="1202"/>
      <c r="AI81" s="1202"/>
      <c r="AJ81" s="1202"/>
      <c r="AK81" s="1202"/>
      <c r="AL81" s="1202"/>
      <c r="AM81" s="1202"/>
      <c r="AN81" s="1202"/>
      <c r="AO81" s="1202"/>
      <c r="AP81" s="1202"/>
      <c r="AQ81" s="1202"/>
      <c r="AR81" s="1202"/>
      <c r="AS81" s="1202"/>
      <c r="AT81" s="1202"/>
      <c r="AU81" s="1202"/>
      <c r="AV81" s="1202"/>
      <c r="AW81" s="1202"/>
      <c r="AX81" s="1202"/>
      <c r="AY81" s="1202"/>
      <c r="AZ81" s="1202"/>
      <c r="BA81" s="1202"/>
      <c r="BB81" s="1202"/>
      <c r="BC81" s="1202"/>
      <c r="BD81" s="1202"/>
      <c r="BE81" s="1202"/>
      <c r="BF81" s="1202"/>
      <c r="BG81" s="1202"/>
      <c r="BH81" s="1202"/>
      <c r="BI81" s="1202"/>
      <c r="BJ81" s="1202"/>
      <c r="BK81" s="1202"/>
      <c r="BL81" s="1305"/>
      <c r="BM81" s="1305"/>
      <c r="BN81" s="1261"/>
      <c r="BO81" s="1262"/>
      <c r="BP81" s="1202"/>
      <c r="BQ81" s="1202"/>
      <c r="BR81" s="1202"/>
      <c r="BS81" s="1202"/>
      <c r="BT81" s="1202"/>
      <c r="BU81" s="1202"/>
    </row>
    <row r="82" spans="1:83" s="1071" customFormat="1" x14ac:dyDescent="0.2">
      <c r="A82" s="1070"/>
      <c r="B82" s="1070"/>
      <c r="C82" s="1070"/>
      <c r="D82" s="1070"/>
      <c r="E82" s="1070"/>
      <c r="F82" s="1070"/>
      <c r="G82" s="1070"/>
      <c r="H82" s="1070"/>
      <c r="I82" s="1072" t="s">
        <v>391</v>
      </c>
      <c r="J82" s="1073" t="s">
        <v>392</v>
      </c>
      <c r="K82" s="1070"/>
      <c r="M82" s="1202"/>
      <c r="N82" s="1202"/>
      <c r="O82" s="1202"/>
      <c r="P82" s="1202"/>
      <c r="Q82" s="1202"/>
      <c r="R82" s="1202"/>
      <c r="S82" s="1202"/>
      <c r="T82" s="1202"/>
      <c r="U82" s="1202"/>
      <c r="V82" s="1202"/>
      <c r="W82" s="1202"/>
      <c r="X82" s="1202"/>
      <c r="Y82" s="1202"/>
      <c r="Z82" s="1202"/>
      <c r="AA82" s="1202"/>
      <c r="AB82" s="1202"/>
      <c r="AC82" s="1202"/>
      <c r="AD82" s="1202"/>
      <c r="AE82" s="1202"/>
      <c r="AF82" s="1202"/>
      <c r="AG82" s="1202"/>
      <c r="AH82" s="1202"/>
      <c r="AI82" s="1202"/>
      <c r="AJ82" s="1202"/>
      <c r="AK82" s="1202"/>
      <c r="AL82" s="1202"/>
      <c r="AM82" s="1202"/>
      <c r="AN82" s="1202"/>
      <c r="AO82" s="1202"/>
      <c r="AP82" s="1202"/>
      <c r="AQ82" s="1202"/>
      <c r="AR82" s="1202"/>
      <c r="AS82" s="1202"/>
      <c r="AT82" s="1202"/>
      <c r="AU82" s="1202"/>
      <c r="AV82" s="1202"/>
      <c r="AW82" s="1202"/>
      <c r="AX82" s="1202"/>
      <c r="AY82" s="1202"/>
      <c r="AZ82" s="1202"/>
      <c r="BA82" s="1202"/>
      <c r="BB82" s="1202"/>
      <c r="BC82" s="1202"/>
      <c r="BD82" s="1202"/>
      <c r="BE82" s="1202"/>
      <c r="BF82" s="1202"/>
      <c r="BG82" s="1202"/>
      <c r="BH82" s="1202"/>
      <c r="BI82" s="1202"/>
      <c r="BJ82" s="1202"/>
      <c r="BK82" s="1202"/>
      <c r="BL82" s="1305"/>
      <c r="BM82" s="1305"/>
      <c r="BN82" s="1261"/>
      <c r="BO82" s="1262"/>
      <c r="BP82" s="1202"/>
      <c r="BQ82" s="1202"/>
      <c r="BR82" s="1202"/>
      <c r="BS82" s="1202"/>
      <c r="BT82" s="1202"/>
      <c r="BU82" s="1202"/>
    </row>
    <row r="83" spans="1:83" s="1068" customFormat="1" ht="15.75" customHeight="1" thickBot="1" x14ac:dyDescent="0.25">
      <c r="A83" s="779"/>
      <c r="B83" s="779"/>
      <c r="C83" s="779"/>
      <c r="D83" s="574"/>
      <c r="E83" s="574"/>
      <c r="F83" s="574"/>
      <c r="G83" s="574"/>
      <c r="H83" s="574"/>
      <c r="I83" s="840" t="s">
        <v>491</v>
      </c>
      <c r="J83" s="841" t="s">
        <v>491</v>
      </c>
      <c r="K83" s="35"/>
      <c r="L83" s="853"/>
      <c r="M83" s="1215"/>
      <c r="N83" s="1274"/>
      <c r="O83" s="1215"/>
      <c r="P83" s="1215"/>
      <c r="Q83" s="1215"/>
      <c r="R83" s="1215"/>
      <c r="S83" s="1215"/>
      <c r="T83" s="1215"/>
      <c r="U83" s="1215"/>
      <c r="V83" s="1215"/>
      <c r="W83" s="1215"/>
      <c r="X83" s="1215"/>
      <c r="Y83" s="1215"/>
      <c r="Z83" s="1215"/>
      <c r="AA83" s="1215"/>
      <c r="AB83" s="1215"/>
      <c r="AC83" s="1215"/>
      <c r="AD83" s="1215"/>
      <c r="AE83" s="1215"/>
      <c r="AF83" s="1215"/>
      <c r="AG83" s="1215"/>
      <c r="AH83" s="1215"/>
      <c r="AI83" s="1215"/>
      <c r="AJ83" s="1215"/>
      <c r="AK83" s="1215"/>
      <c r="AL83" s="1215"/>
      <c r="AM83" s="1215"/>
      <c r="AN83" s="1215"/>
      <c r="AO83" s="1215"/>
      <c r="AP83" s="1215"/>
      <c r="AQ83" s="1215"/>
      <c r="AR83" s="1215"/>
      <c r="AS83" s="1215"/>
      <c r="AT83" s="1215"/>
      <c r="AU83" s="1215"/>
      <c r="AV83" s="1215"/>
      <c r="AW83" s="1215"/>
      <c r="AX83" s="1215"/>
      <c r="AY83" s="1215"/>
      <c r="AZ83" s="1215"/>
      <c r="BA83" s="1215"/>
      <c r="BB83" s="1215"/>
      <c r="BC83" s="1215"/>
      <c r="BD83" s="1215"/>
      <c r="BE83" s="1215"/>
      <c r="BF83" s="1215"/>
      <c r="BG83" s="1215"/>
      <c r="BH83" s="1215"/>
      <c r="BI83" s="1215"/>
      <c r="BJ83" s="1215"/>
      <c r="BK83" s="1215"/>
      <c r="BL83" s="1269"/>
      <c r="BM83" s="1269"/>
      <c r="BN83" s="1261"/>
      <c r="BO83" s="1262"/>
      <c r="BP83" s="1215"/>
      <c r="BQ83" s="1215"/>
      <c r="BR83" s="1215"/>
      <c r="BS83" s="1215"/>
      <c r="BT83" s="1215"/>
      <c r="BU83" s="1215"/>
      <c r="BV83" s="853"/>
      <c r="BW83" s="853"/>
      <c r="BX83" s="853"/>
      <c r="BY83" s="853"/>
      <c r="BZ83" s="853"/>
      <c r="CA83" s="853"/>
      <c r="CB83" s="853"/>
      <c r="CC83" s="853"/>
      <c r="CD83" s="853"/>
      <c r="CE83" s="853"/>
    </row>
    <row r="84" spans="1:83" s="1068" customFormat="1" ht="15.75" customHeight="1" thickBot="1" x14ac:dyDescent="0.25">
      <c r="A84" s="2" t="s">
        <v>377</v>
      </c>
      <c r="B84" s="1074"/>
      <c r="C84" s="1074"/>
      <c r="D84" s="1075"/>
      <c r="E84" s="1075"/>
      <c r="F84" s="1075"/>
      <c r="G84" s="1075"/>
      <c r="H84" s="1076"/>
      <c r="I84" s="1336"/>
      <c r="J84" s="1161" t="str">
        <f>IF(N84=0," ",N84)</f>
        <v xml:space="preserve"> </v>
      </c>
      <c r="K84" s="35"/>
      <c r="L84" s="853"/>
      <c r="M84" s="1302">
        <f>B77+F77</f>
        <v>0</v>
      </c>
      <c r="N84" s="1302">
        <f>N48+J77</f>
        <v>0</v>
      </c>
      <c r="O84" s="1215"/>
      <c r="P84" s="1215"/>
      <c r="Q84" s="1215"/>
      <c r="R84" s="1215"/>
      <c r="S84" s="1215"/>
      <c r="T84" s="1215"/>
      <c r="U84" s="1215"/>
      <c r="V84" s="1215"/>
      <c r="W84" s="1215"/>
      <c r="X84" s="1215"/>
      <c r="Y84" s="1215"/>
      <c r="Z84" s="1215"/>
      <c r="AA84" s="1215"/>
      <c r="AB84" s="1215"/>
      <c r="AC84" s="1215"/>
      <c r="AD84" s="1215"/>
      <c r="AE84" s="1215"/>
      <c r="AF84" s="1215"/>
      <c r="AG84" s="1215"/>
      <c r="AH84" s="1215"/>
      <c r="AI84" s="1215"/>
      <c r="AJ84" s="1215"/>
      <c r="AK84" s="1215"/>
      <c r="AL84" s="1215"/>
      <c r="AM84" s="1215"/>
      <c r="AN84" s="1215"/>
      <c r="AO84" s="1215"/>
      <c r="AP84" s="1215"/>
      <c r="AQ84" s="1215"/>
      <c r="AR84" s="1215"/>
      <c r="AS84" s="1215"/>
      <c r="AT84" s="1215"/>
      <c r="AU84" s="1215"/>
      <c r="AV84" s="1215"/>
      <c r="AW84" s="1215"/>
      <c r="AX84" s="1215"/>
      <c r="AY84" s="1215"/>
      <c r="AZ84" s="1215"/>
      <c r="BA84" s="1215"/>
      <c r="BB84" s="1215"/>
      <c r="BC84" s="1215"/>
      <c r="BD84" s="1215"/>
      <c r="BE84" s="1215"/>
      <c r="BF84" s="1215"/>
      <c r="BG84" s="1215"/>
      <c r="BH84" s="1215"/>
      <c r="BI84" s="1215"/>
      <c r="BJ84" s="1215"/>
      <c r="BK84" s="1215"/>
      <c r="BL84" s="1269"/>
      <c r="BM84" s="1269"/>
      <c r="BN84" s="1261"/>
      <c r="BO84" s="1262"/>
      <c r="BP84" s="1215"/>
      <c r="BQ84" s="1215"/>
      <c r="BR84" s="1215"/>
      <c r="BS84" s="1215"/>
      <c r="BT84" s="1215"/>
      <c r="BU84" s="1215"/>
      <c r="BV84" s="853"/>
      <c r="BW84" s="853"/>
      <c r="BX84" s="853"/>
      <c r="BY84" s="853"/>
      <c r="BZ84" s="853"/>
      <c r="CA84" s="853"/>
      <c r="CB84" s="853"/>
      <c r="CC84" s="853"/>
      <c r="CD84" s="853"/>
      <c r="CE84" s="853"/>
    </row>
    <row r="85" spans="1:83" s="1068" customFormat="1" ht="15.75" customHeight="1" thickBot="1" x14ac:dyDescent="0.25">
      <c r="A85" s="1077" t="s">
        <v>408</v>
      </c>
      <c r="B85" s="1078"/>
      <c r="C85" s="1078"/>
      <c r="D85" s="1079"/>
      <c r="E85" s="1079"/>
      <c r="F85" s="1079"/>
      <c r="G85" s="1079"/>
      <c r="H85" s="1080"/>
      <c r="I85" s="1162" t="str">
        <f>IF(M84=0," ",M84)</f>
        <v xml:space="preserve"> </v>
      </c>
      <c r="J85" s="1162" t="str">
        <f>IF(N85=0," ",N85)</f>
        <v xml:space="preserve"> </v>
      </c>
      <c r="K85" s="35"/>
      <c r="L85" s="853"/>
      <c r="M85" s="1265"/>
      <c r="N85" s="1277">
        <f>N49+J77*(1/0.9)</f>
        <v>0</v>
      </c>
      <c r="O85" s="1215"/>
      <c r="P85" s="1215"/>
      <c r="Q85" s="1215"/>
      <c r="R85" s="1215"/>
      <c r="S85" s="1215"/>
      <c r="T85" s="1215"/>
      <c r="U85" s="1215"/>
      <c r="V85" s="1215"/>
      <c r="W85" s="1215"/>
      <c r="X85" s="1215"/>
      <c r="Y85" s="1215"/>
      <c r="Z85" s="1215"/>
      <c r="AA85" s="1215"/>
      <c r="AB85" s="1215"/>
      <c r="AC85" s="1215"/>
      <c r="AD85" s="1215"/>
      <c r="AE85" s="1215"/>
      <c r="AF85" s="1215"/>
      <c r="AG85" s="1215"/>
      <c r="AH85" s="1215"/>
      <c r="AI85" s="1215"/>
      <c r="AJ85" s="1215"/>
      <c r="AK85" s="1215"/>
      <c r="AL85" s="1215"/>
      <c r="AM85" s="1215"/>
      <c r="AN85" s="1215"/>
      <c r="AO85" s="1215"/>
      <c r="AP85" s="1215"/>
      <c r="AQ85" s="1215"/>
      <c r="AR85" s="1215"/>
      <c r="AS85" s="1215"/>
      <c r="AT85" s="1215"/>
      <c r="AU85" s="1215"/>
      <c r="AV85" s="1215"/>
      <c r="AW85" s="1215"/>
      <c r="AX85" s="1215"/>
      <c r="AY85" s="1215"/>
      <c r="AZ85" s="1215"/>
      <c r="BA85" s="1215"/>
      <c r="BB85" s="1215"/>
      <c r="BC85" s="1215"/>
      <c r="BD85" s="1215"/>
      <c r="BE85" s="1215"/>
      <c r="BF85" s="1215"/>
      <c r="BG85" s="1215"/>
      <c r="BH85" s="1215"/>
      <c r="BI85" s="1215"/>
      <c r="BJ85" s="1215"/>
      <c r="BK85" s="1215"/>
      <c r="BL85" s="1228"/>
      <c r="BM85" s="1228"/>
      <c r="BN85" s="1244"/>
      <c r="BO85" s="1245"/>
      <c r="BP85" s="1215"/>
      <c r="BQ85" s="1215"/>
      <c r="BR85" s="1215"/>
      <c r="BS85" s="1215"/>
      <c r="BT85" s="1215"/>
      <c r="BU85" s="1215"/>
      <c r="BV85" s="853"/>
      <c r="BW85" s="853"/>
      <c r="BX85" s="853"/>
      <c r="BY85" s="853"/>
      <c r="BZ85" s="853"/>
      <c r="CA85" s="853"/>
      <c r="CB85" s="853"/>
      <c r="CC85" s="853"/>
      <c r="CD85" s="853"/>
      <c r="CE85" s="853"/>
    </row>
    <row r="86" spans="1:83" s="1068" customFormat="1" ht="26.25" customHeight="1" x14ac:dyDescent="0.2">
      <c r="A86" s="779"/>
      <c r="B86" s="779"/>
      <c r="C86" s="779"/>
      <c r="D86" s="574"/>
      <c r="E86" s="574"/>
      <c r="F86" s="574"/>
      <c r="G86" s="574"/>
      <c r="H86" s="574"/>
      <c r="I86" s="585"/>
      <c r="J86" s="585"/>
      <c r="K86" s="35"/>
      <c r="L86" s="853"/>
      <c r="M86" s="1215"/>
      <c r="N86" s="1274"/>
      <c r="O86" s="1215"/>
      <c r="P86" s="1215"/>
      <c r="Q86" s="1215"/>
      <c r="R86" s="1215"/>
      <c r="S86" s="1215"/>
      <c r="T86" s="1215"/>
      <c r="U86" s="1215"/>
      <c r="V86" s="1215"/>
      <c r="W86" s="1215"/>
      <c r="X86" s="1215"/>
      <c r="Y86" s="1215"/>
      <c r="Z86" s="1215"/>
      <c r="AA86" s="1215"/>
      <c r="AB86" s="1215"/>
      <c r="AC86" s="1215"/>
      <c r="AD86" s="1215"/>
      <c r="AE86" s="1215"/>
      <c r="AF86" s="1215"/>
      <c r="AG86" s="1215"/>
      <c r="AH86" s="1215"/>
      <c r="AI86" s="1215"/>
      <c r="AJ86" s="1215"/>
      <c r="AK86" s="1215"/>
      <c r="AL86" s="1215"/>
      <c r="AM86" s="1215"/>
      <c r="AN86" s="1215"/>
      <c r="AO86" s="1215"/>
      <c r="AP86" s="1215"/>
      <c r="AQ86" s="1215"/>
      <c r="AR86" s="1215"/>
      <c r="AS86" s="1215"/>
      <c r="AT86" s="1215"/>
      <c r="AU86" s="1215"/>
      <c r="AV86" s="1215"/>
      <c r="AW86" s="1215"/>
      <c r="AX86" s="1215"/>
      <c r="AY86" s="1215"/>
      <c r="AZ86" s="1215"/>
      <c r="BA86" s="1215"/>
      <c r="BB86" s="1215"/>
      <c r="BC86" s="1215"/>
      <c r="BD86" s="1215"/>
      <c r="BE86" s="1215"/>
      <c r="BF86" s="1215"/>
      <c r="BG86" s="1215"/>
      <c r="BH86" s="1215"/>
      <c r="BI86" s="1215"/>
      <c r="BJ86" s="1215"/>
      <c r="BK86" s="1215"/>
      <c r="BL86" s="1268"/>
      <c r="BM86" s="1268"/>
      <c r="BN86" s="1244">
        <f>SUM(BN25:BN85)</f>
        <v>0</v>
      </c>
      <c r="BO86" s="1245">
        <f>SUM(BO25:BO85)</f>
        <v>0</v>
      </c>
      <c r="BP86" s="1215"/>
      <c r="BQ86" s="1215"/>
      <c r="BR86" s="1215"/>
      <c r="BS86" s="1215"/>
      <c r="BT86" s="1215"/>
      <c r="BU86" s="1215"/>
      <c r="BV86" s="853"/>
      <c r="BW86" s="853"/>
      <c r="BX86" s="853"/>
      <c r="BY86" s="853"/>
      <c r="BZ86" s="853"/>
      <c r="CA86" s="853"/>
      <c r="CB86" s="853"/>
      <c r="CC86" s="853"/>
      <c r="CD86" s="853"/>
      <c r="CE86" s="853"/>
    </row>
    <row r="87" spans="1:83" s="1068" customFormat="1" ht="15.75" customHeight="1" x14ac:dyDescent="0.2">
      <c r="A87" s="779"/>
      <c r="B87" s="779"/>
      <c r="C87" s="779"/>
      <c r="D87" s="574"/>
      <c r="E87" s="574"/>
      <c r="F87" s="574"/>
      <c r="G87" s="574"/>
      <c r="H87" s="574"/>
      <c r="I87" s="585"/>
      <c r="J87" s="585"/>
      <c r="K87" s="35"/>
      <c r="L87" s="853"/>
      <c r="M87" s="1215"/>
      <c r="N87" s="1274"/>
      <c r="O87" s="1215"/>
      <c r="P87" s="1215"/>
      <c r="Q87" s="1215"/>
      <c r="R87" s="1215"/>
      <c r="S87" s="1215"/>
      <c r="T87" s="1215"/>
      <c r="U87" s="1215"/>
      <c r="V87" s="1215"/>
      <c r="W87" s="1215"/>
      <c r="X87" s="1215"/>
      <c r="Y87" s="1215"/>
      <c r="Z87" s="1215"/>
      <c r="AA87" s="1215"/>
      <c r="AB87" s="1215"/>
      <c r="AC87" s="1215"/>
      <c r="AD87" s="1215"/>
      <c r="AE87" s="1215"/>
      <c r="AF87" s="1215"/>
      <c r="AG87" s="1215"/>
      <c r="AH87" s="1215"/>
      <c r="AI87" s="1215"/>
      <c r="AJ87" s="1215"/>
      <c r="AK87" s="1215"/>
      <c r="AL87" s="1215"/>
      <c r="AM87" s="1215"/>
      <c r="AN87" s="1215"/>
      <c r="AO87" s="1215"/>
      <c r="AP87" s="1215"/>
      <c r="AQ87" s="1215"/>
      <c r="AR87" s="1215"/>
      <c r="AS87" s="1215"/>
      <c r="AT87" s="1215"/>
      <c r="AU87" s="1215"/>
      <c r="AV87" s="1215"/>
      <c r="AW87" s="1215"/>
      <c r="AX87" s="1215"/>
      <c r="AY87" s="1215"/>
      <c r="AZ87" s="1215"/>
      <c r="BA87" s="1215"/>
      <c r="BB87" s="1215"/>
      <c r="BC87" s="1215"/>
      <c r="BD87" s="1215"/>
      <c r="BE87" s="1215"/>
      <c r="BF87" s="1215"/>
      <c r="BG87" s="1215"/>
      <c r="BH87" s="1215"/>
      <c r="BI87" s="1215"/>
      <c r="BJ87" s="1215"/>
      <c r="BK87" s="1215"/>
      <c r="BL87" s="1272"/>
      <c r="BM87" s="1272"/>
      <c r="BN87" s="1306">
        <f>IF(N85=0,0,BN86/(N49+Q77))</f>
        <v>0</v>
      </c>
      <c r="BO87" s="1307">
        <f>IF(N85=0,0,BO86/(N49+Q77))</f>
        <v>0</v>
      </c>
      <c r="BP87" s="1215"/>
      <c r="BQ87" s="1215"/>
      <c r="BR87" s="1215"/>
      <c r="BS87" s="1215"/>
      <c r="BT87" s="1215"/>
      <c r="BU87" s="1215"/>
      <c r="BV87" s="853"/>
      <c r="BW87" s="853"/>
      <c r="BX87" s="853"/>
      <c r="BY87" s="853"/>
      <c r="BZ87" s="853"/>
      <c r="CA87" s="853"/>
      <c r="CB87" s="853"/>
      <c r="CC87" s="853"/>
      <c r="CD87" s="853"/>
      <c r="CE87" s="853"/>
    </row>
    <row r="88" spans="1:83" s="855" customFormat="1" ht="15.75" customHeight="1" x14ac:dyDescent="0.2">
      <c r="A88" s="779"/>
      <c r="B88" s="56"/>
      <c r="C88" s="56"/>
      <c r="D88" s="780"/>
      <c r="E88" s="780"/>
      <c r="F88" s="780"/>
      <c r="G88" s="780"/>
      <c r="H88" s="780"/>
      <c r="I88" s="585"/>
      <c r="J88" s="585"/>
      <c r="K88" s="35"/>
      <c r="L88" s="853"/>
      <c r="M88" s="1215"/>
      <c r="N88" s="1274"/>
      <c r="O88" s="1215"/>
      <c r="P88" s="1215"/>
      <c r="Q88" s="1215"/>
      <c r="R88" s="1215"/>
      <c r="S88" s="1215"/>
      <c r="T88" s="1215"/>
      <c r="U88" s="1215"/>
      <c r="V88" s="1215"/>
      <c r="W88" s="1215"/>
      <c r="X88" s="1215"/>
      <c r="Y88" s="1215"/>
      <c r="Z88" s="1215"/>
      <c r="AA88" s="1215"/>
      <c r="AB88" s="1215"/>
      <c r="AC88" s="1215"/>
      <c r="AD88" s="1215"/>
      <c r="AE88" s="1215"/>
      <c r="AF88" s="1215"/>
      <c r="AG88" s="1215"/>
      <c r="AH88" s="1215"/>
      <c r="AI88" s="1215"/>
      <c r="AJ88" s="1215"/>
      <c r="AK88" s="1215"/>
      <c r="AL88" s="1215"/>
      <c r="AM88" s="1215"/>
      <c r="AN88" s="1215"/>
      <c r="AO88" s="1215"/>
      <c r="AP88" s="1215"/>
      <c r="AQ88" s="1215"/>
      <c r="AR88" s="1215"/>
      <c r="AS88" s="1215"/>
      <c r="AT88" s="1215"/>
      <c r="AU88" s="1215"/>
      <c r="AV88" s="1215"/>
      <c r="AW88" s="1215"/>
      <c r="AX88" s="1215"/>
      <c r="AY88" s="1215"/>
      <c r="AZ88" s="1215"/>
      <c r="BA88" s="1215"/>
      <c r="BB88" s="1215"/>
      <c r="BC88" s="1215"/>
      <c r="BD88" s="1215"/>
      <c r="BE88" s="1215"/>
      <c r="BF88" s="1215"/>
      <c r="BG88" s="1215"/>
      <c r="BH88" s="1215"/>
      <c r="BI88" s="1215"/>
      <c r="BJ88" s="1215"/>
      <c r="BK88" s="1215"/>
      <c r="BL88" s="1215"/>
      <c r="BM88" s="1215"/>
      <c r="BN88" s="1215"/>
      <c r="BO88" s="1215"/>
      <c r="BP88" s="1215"/>
      <c r="BQ88" s="1215"/>
      <c r="BR88" s="1215"/>
      <c r="BS88" s="1215"/>
      <c r="BT88" s="1215"/>
      <c r="BU88" s="1215"/>
      <c r="BV88" s="853"/>
      <c r="BW88" s="853"/>
      <c r="BX88" s="853"/>
      <c r="BY88" s="853"/>
      <c r="BZ88" s="853"/>
      <c r="CA88" s="853"/>
      <c r="CB88" s="853"/>
      <c r="CC88" s="853"/>
      <c r="CD88" s="853"/>
      <c r="CE88" s="853"/>
    </row>
    <row r="89" spans="1:83" s="855" customFormat="1" ht="15.75" customHeight="1" x14ac:dyDescent="0.2">
      <c r="A89" s="779"/>
      <c r="B89" s="56"/>
      <c r="C89" s="56"/>
      <c r="D89" s="780"/>
      <c r="E89" s="780"/>
      <c r="F89" s="780"/>
      <c r="G89" s="780"/>
      <c r="H89" s="780"/>
      <c r="I89" s="585"/>
      <c r="J89" s="585"/>
      <c r="K89" s="35"/>
      <c r="L89" s="853"/>
      <c r="M89" s="1215"/>
      <c r="N89" s="1274"/>
      <c r="O89" s="1215"/>
      <c r="P89" s="1215"/>
      <c r="Q89" s="1215"/>
      <c r="R89" s="1215"/>
      <c r="S89" s="1215"/>
      <c r="T89" s="1215"/>
      <c r="U89" s="1215"/>
      <c r="V89" s="1215"/>
      <c r="W89" s="1215"/>
      <c r="X89" s="1215"/>
      <c r="Y89" s="1215"/>
      <c r="Z89" s="1215"/>
      <c r="AA89" s="1215"/>
      <c r="AB89" s="1215"/>
      <c r="AC89" s="1215"/>
      <c r="AD89" s="1215"/>
      <c r="AE89" s="1215"/>
      <c r="AF89" s="1215"/>
      <c r="AG89" s="1215"/>
      <c r="AH89" s="1215"/>
      <c r="AI89" s="1215"/>
      <c r="AJ89" s="1215"/>
      <c r="AK89" s="1215"/>
      <c r="AL89" s="1215"/>
      <c r="AM89" s="1215"/>
      <c r="AN89" s="1215"/>
      <c r="AO89" s="1215"/>
      <c r="AP89" s="1215"/>
      <c r="AQ89" s="1215"/>
      <c r="AR89" s="1215"/>
      <c r="AS89" s="1215"/>
      <c r="AT89" s="1215"/>
      <c r="AU89" s="1215"/>
      <c r="AV89" s="1215"/>
      <c r="AW89" s="1215"/>
      <c r="AX89" s="1215"/>
      <c r="AY89" s="1215"/>
      <c r="AZ89" s="1215"/>
      <c r="BA89" s="1215"/>
      <c r="BB89" s="1215"/>
      <c r="BC89" s="1215"/>
      <c r="BD89" s="1215"/>
      <c r="BE89" s="1215"/>
      <c r="BF89" s="1215"/>
      <c r="BG89" s="1215"/>
      <c r="BH89" s="1215"/>
      <c r="BI89" s="1215"/>
      <c r="BJ89" s="1215"/>
      <c r="BK89" s="1215"/>
      <c r="BL89" s="1215"/>
      <c r="BM89" s="1215"/>
      <c r="BN89" s="1215"/>
      <c r="BO89" s="1215"/>
      <c r="BP89" s="1215"/>
      <c r="BQ89" s="1215"/>
      <c r="BR89" s="1215"/>
      <c r="BS89" s="1215"/>
      <c r="BT89" s="1215"/>
      <c r="BU89" s="1215"/>
      <c r="BV89" s="853"/>
      <c r="BW89" s="853"/>
      <c r="BX89" s="853"/>
      <c r="BY89" s="853"/>
      <c r="BZ89" s="853"/>
      <c r="CA89" s="853"/>
      <c r="CB89" s="853"/>
      <c r="CC89" s="853"/>
      <c r="CD89" s="853"/>
      <c r="CE89" s="853"/>
    </row>
    <row r="90" spans="1:83" s="855" customFormat="1" ht="15.75" customHeight="1" x14ac:dyDescent="0.2">
      <c r="A90" s="779"/>
      <c r="B90" s="56"/>
      <c r="C90" s="56"/>
      <c r="D90" s="780"/>
      <c r="E90" s="780"/>
      <c r="F90" s="780"/>
      <c r="G90" s="780"/>
      <c r="H90" s="780"/>
      <c r="I90" s="585"/>
      <c r="J90" s="585"/>
      <c r="K90" s="35"/>
      <c r="L90" s="853"/>
      <c r="M90" s="1215"/>
      <c r="N90" s="1274"/>
      <c r="O90" s="1215"/>
      <c r="P90" s="1215"/>
      <c r="Q90" s="1215"/>
      <c r="R90" s="1215"/>
      <c r="S90" s="1215"/>
      <c r="T90" s="1215"/>
      <c r="U90" s="1215"/>
      <c r="V90" s="1215"/>
      <c r="W90" s="1215"/>
      <c r="X90" s="1215"/>
      <c r="Y90" s="1215"/>
      <c r="Z90" s="1215"/>
      <c r="AA90" s="1215"/>
      <c r="AB90" s="1215"/>
      <c r="AC90" s="1215"/>
      <c r="AD90" s="1215"/>
      <c r="AE90" s="1215"/>
      <c r="AF90" s="1215"/>
      <c r="AG90" s="1215"/>
      <c r="AH90" s="1215"/>
      <c r="AI90" s="1215"/>
      <c r="AJ90" s="1215"/>
      <c r="AK90" s="1215"/>
      <c r="AL90" s="1215"/>
      <c r="AM90" s="1215"/>
      <c r="AN90" s="1215"/>
      <c r="AO90" s="1215"/>
      <c r="AP90" s="1215"/>
      <c r="AQ90" s="1215"/>
      <c r="AR90" s="1215"/>
      <c r="AS90" s="1215"/>
      <c r="AT90" s="1215"/>
      <c r="AU90" s="1215"/>
      <c r="AV90" s="1215"/>
      <c r="AW90" s="1215"/>
      <c r="AX90" s="1215"/>
      <c r="AY90" s="1215"/>
      <c r="AZ90" s="1215"/>
      <c r="BA90" s="1215"/>
      <c r="BB90" s="1215"/>
      <c r="BC90" s="1215"/>
      <c r="BD90" s="1215"/>
      <c r="BE90" s="1215"/>
      <c r="BF90" s="1215"/>
      <c r="BG90" s="1215"/>
      <c r="BH90" s="1215"/>
      <c r="BI90" s="1215"/>
      <c r="BJ90" s="1215"/>
      <c r="BK90" s="1215"/>
      <c r="BL90" s="1215"/>
      <c r="BM90" s="1215"/>
      <c r="BN90" s="1215"/>
      <c r="BO90" s="1215"/>
      <c r="BP90" s="1215"/>
      <c r="BQ90" s="1215"/>
      <c r="BR90" s="1215"/>
      <c r="BS90" s="1215"/>
      <c r="BT90" s="1215"/>
      <c r="BU90" s="1215"/>
      <c r="BV90" s="853"/>
      <c r="BW90" s="853"/>
      <c r="BX90" s="853"/>
      <c r="BY90" s="853"/>
      <c r="BZ90" s="853"/>
      <c r="CA90" s="853"/>
      <c r="CB90" s="853"/>
      <c r="CC90" s="853"/>
      <c r="CD90" s="853"/>
      <c r="CE90" s="853"/>
    </row>
    <row r="91" spans="1:83" s="855" customFormat="1" ht="15.75" customHeight="1" x14ac:dyDescent="0.2">
      <c r="A91" s="779"/>
      <c r="B91" s="56"/>
      <c r="C91" s="56"/>
      <c r="D91" s="780"/>
      <c r="E91" s="780"/>
      <c r="F91" s="780"/>
      <c r="G91" s="780"/>
      <c r="H91" s="780"/>
      <c r="I91" s="585"/>
      <c r="J91" s="585"/>
      <c r="K91" s="35"/>
      <c r="L91" s="853"/>
      <c r="M91" s="1215"/>
      <c r="N91" s="1274"/>
      <c r="O91" s="1215"/>
      <c r="P91" s="1215"/>
      <c r="Q91" s="1215"/>
      <c r="R91" s="1215"/>
      <c r="S91" s="1215"/>
      <c r="T91" s="1215"/>
      <c r="U91" s="1215"/>
      <c r="V91" s="1215"/>
      <c r="W91" s="1215"/>
      <c r="X91" s="1215"/>
      <c r="Y91" s="1215"/>
      <c r="Z91" s="1215"/>
      <c r="AA91" s="1215"/>
      <c r="AB91" s="1215"/>
      <c r="AC91" s="1215"/>
      <c r="AD91" s="1215"/>
      <c r="AE91" s="1215"/>
      <c r="AF91" s="1215"/>
      <c r="AG91" s="1215"/>
      <c r="AH91" s="1215"/>
      <c r="AI91" s="1215"/>
      <c r="AJ91" s="1215"/>
      <c r="AK91" s="1215"/>
      <c r="AL91" s="1215"/>
      <c r="AM91" s="1215"/>
      <c r="AN91" s="1215"/>
      <c r="AO91" s="1215"/>
      <c r="AP91" s="1215"/>
      <c r="AQ91" s="1215"/>
      <c r="AR91" s="1215"/>
      <c r="AS91" s="1215"/>
      <c r="AT91" s="1215"/>
      <c r="AU91" s="1215"/>
      <c r="AV91" s="1215"/>
      <c r="AW91" s="1215"/>
      <c r="AX91" s="1215"/>
      <c r="AY91" s="1215"/>
      <c r="AZ91" s="1215"/>
      <c r="BA91" s="1215"/>
      <c r="BB91" s="1215"/>
      <c r="BC91" s="1215"/>
      <c r="BD91" s="1215"/>
      <c r="BE91" s="1215"/>
      <c r="BF91" s="1215"/>
      <c r="BG91" s="1215"/>
      <c r="BH91" s="1215"/>
      <c r="BI91" s="1215"/>
      <c r="BJ91" s="1215"/>
      <c r="BK91" s="1215"/>
      <c r="BL91" s="1215"/>
      <c r="BM91" s="1215"/>
      <c r="BN91" s="1215"/>
      <c r="BO91" s="1215"/>
      <c r="BP91" s="1215"/>
      <c r="BQ91" s="1215"/>
      <c r="BR91" s="1215"/>
      <c r="BS91" s="1215"/>
      <c r="BT91" s="1215"/>
      <c r="BU91" s="1215"/>
      <c r="BV91" s="853"/>
      <c r="BW91" s="853"/>
      <c r="BX91" s="853"/>
      <c r="BY91" s="853"/>
      <c r="BZ91" s="853"/>
      <c r="CA91" s="853"/>
      <c r="CB91" s="853"/>
      <c r="CC91" s="853"/>
      <c r="CD91" s="853"/>
      <c r="CE91" s="853"/>
    </row>
    <row r="92" spans="1:83" s="855" customFormat="1" ht="15.75" customHeight="1" x14ac:dyDescent="0.2">
      <c r="A92" s="779"/>
      <c r="B92" s="56"/>
      <c r="C92" s="56"/>
      <c r="D92" s="780"/>
      <c r="E92" s="780"/>
      <c r="F92" s="780"/>
      <c r="G92" s="780"/>
      <c r="H92" s="780"/>
      <c r="I92" s="585"/>
      <c r="J92" s="585"/>
      <c r="K92" s="35"/>
      <c r="L92" s="853"/>
      <c r="M92" s="1215"/>
      <c r="N92" s="1274"/>
      <c r="O92" s="1215"/>
      <c r="P92" s="1215"/>
      <c r="Q92" s="1215"/>
      <c r="R92" s="1215"/>
      <c r="S92" s="1215"/>
      <c r="T92" s="1215"/>
      <c r="U92" s="1215"/>
      <c r="V92" s="1215"/>
      <c r="W92" s="1215"/>
      <c r="X92" s="1215"/>
      <c r="Y92" s="1215"/>
      <c r="Z92" s="1215"/>
      <c r="AA92" s="1215"/>
      <c r="AB92" s="1215"/>
      <c r="AC92" s="1215"/>
      <c r="AD92" s="1215"/>
      <c r="AE92" s="1215"/>
      <c r="AF92" s="1215"/>
      <c r="AG92" s="1215"/>
      <c r="AH92" s="1215"/>
      <c r="AI92" s="1215"/>
      <c r="AJ92" s="1215"/>
      <c r="AK92" s="1215"/>
      <c r="AL92" s="1215"/>
      <c r="AM92" s="1215"/>
      <c r="AN92" s="1215"/>
      <c r="AO92" s="1215"/>
      <c r="AP92" s="1215"/>
      <c r="AQ92" s="1215"/>
      <c r="AR92" s="1215"/>
      <c r="AS92" s="1215"/>
      <c r="AT92" s="1215"/>
      <c r="AU92" s="1215"/>
      <c r="AV92" s="1215"/>
      <c r="AW92" s="1215"/>
      <c r="AX92" s="1215"/>
      <c r="AY92" s="1215"/>
      <c r="AZ92" s="1215"/>
      <c r="BA92" s="1215"/>
      <c r="BB92" s="1215"/>
      <c r="BC92" s="1215"/>
      <c r="BD92" s="1215"/>
      <c r="BE92" s="1215"/>
      <c r="BF92" s="1215"/>
      <c r="BG92" s="1215"/>
      <c r="BH92" s="1215"/>
      <c r="BI92" s="1215"/>
      <c r="BJ92" s="1215"/>
      <c r="BK92" s="1215"/>
      <c r="BL92" s="1215"/>
      <c r="BM92" s="1215"/>
      <c r="BN92" s="1215"/>
      <c r="BO92" s="1215"/>
      <c r="BP92" s="1215"/>
      <c r="BQ92" s="1215"/>
      <c r="BR92" s="1215"/>
      <c r="BS92" s="1215"/>
      <c r="BT92" s="1215"/>
      <c r="BU92" s="1215"/>
      <c r="BV92" s="853"/>
      <c r="BW92" s="853"/>
      <c r="BX92" s="853"/>
      <c r="BY92" s="853"/>
      <c r="BZ92" s="853"/>
      <c r="CA92" s="853"/>
      <c r="CB92" s="853"/>
      <c r="CC92" s="853"/>
      <c r="CD92" s="853"/>
      <c r="CE92" s="853"/>
    </row>
    <row r="93" spans="1:83" s="855" customFormat="1" ht="15.75" customHeight="1" x14ac:dyDescent="0.2">
      <c r="A93" s="779"/>
      <c r="B93" s="56"/>
      <c r="C93" s="56"/>
      <c r="D93" s="780"/>
      <c r="E93" s="780"/>
      <c r="F93" s="780"/>
      <c r="G93" s="780"/>
      <c r="H93" s="780"/>
      <c r="I93" s="585"/>
      <c r="J93" s="585"/>
      <c r="K93" s="35"/>
      <c r="L93" s="853"/>
      <c r="M93" s="1215"/>
      <c r="N93" s="1274"/>
      <c r="O93" s="1215"/>
      <c r="P93" s="1215"/>
      <c r="Q93" s="1215"/>
      <c r="R93" s="1215"/>
      <c r="S93" s="1215"/>
      <c r="T93" s="1215"/>
      <c r="U93" s="1215"/>
      <c r="V93" s="1215"/>
      <c r="W93" s="1215"/>
      <c r="X93" s="1215"/>
      <c r="Y93" s="1215"/>
      <c r="Z93" s="1215"/>
      <c r="AA93" s="1215"/>
      <c r="AB93" s="1215"/>
      <c r="AC93" s="1215"/>
      <c r="AD93" s="1215"/>
      <c r="AE93" s="1215"/>
      <c r="AF93" s="1215"/>
      <c r="AG93" s="1215"/>
      <c r="AH93" s="1215"/>
      <c r="AI93" s="1215"/>
      <c r="AJ93" s="1215"/>
      <c r="AK93" s="1215"/>
      <c r="AL93" s="1215"/>
      <c r="AM93" s="1215"/>
      <c r="AN93" s="1215"/>
      <c r="AO93" s="1215"/>
      <c r="AP93" s="1215"/>
      <c r="AQ93" s="1215"/>
      <c r="AR93" s="1215"/>
      <c r="AS93" s="1215"/>
      <c r="AT93" s="1215"/>
      <c r="AU93" s="1215"/>
      <c r="AV93" s="1215"/>
      <c r="AW93" s="1215"/>
      <c r="AX93" s="1215"/>
      <c r="AY93" s="1215"/>
      <c r="AZ93" s="1215"/>
      <c r="BA93" s="1215"/>
      <c r="BB93" s="1215"/>
      <c r="BC93" s="1215"/>
      <c r="BD93" s="1215"/>
      <c r="BE93" s="1215"/>
      <c r="BF93" s="1215"/>
      <c r="BG93" s="1215"/>
      <c r="BH93" s="1215"/>
      <c r="BI93" s="1215"/>
      <c r="BJ93" s="1215"/>
      <c r="BK93" s="1215"/>
      <c r="BL93" s="1215"/>
      <c r="BM93" s="1215"/>
      <c r="BN93" s="1215"/>
      <c r="BO93" s="1215"/>
      <c r="BP93" s="1215"/>
      <c r="BQ93" s="1215"/>
      <c r="BR93" s="1215"/>
      <c r="BS93" s="1215"/>
      <c r="BT93" s="1215"/>
      <c r="BU93" s="1215"/>
      <c r="BV93" s="853"/>
      <c r="BW93" s="853"/>
      <c r="BX93" s="853"/>
      <c r="BY93" s="853"/>
      <c r="BZ93" s="853"/>
      <c r="CA93" s="853"/>
      <c r="CB93" s="853"/>
      <c r="CC93" s="853"/>
      <c r="CD93" s="853"/>
      <c r="CE93" s="853"/>
    </row>
    <row r="94" spans="1:83" s="855" customFormat="1" ht="15.75" customHeight="1" x14ac:dyDescent="0.2">
      <c r="A94" s="779"/>
      <c r="B94" s="56"/>
      <c r="C94" s="56"/>
      <c r="D94" s="780"/>
      <c r="E94" s="780"/>
      <c r="F94" s="780"/>
      <c r="G94" s="780"/>
      <c r="H94" s="780"/>
      <c r="I94" s="585"/>
      <c r="J94" s="585"/>
      <c r="K94" s="35"/>
      <c r="L94" s="853"/>
      <c r="M94" s="1215"/>
      <c r="N94" s="1274"/>
      <c r="O94" s="1215"/>
      <c r="P94" s="1215"/>
      <c r="Q94" s="1215"/>
      <c r="R94" s="1215"/>
      <c r="S94" s="1215"/>
      <c r="T94" s="1215"/>
      <c r="U94" s="1215"/>
      <c r="V94" s="1215"/>
      <c r="W94" s="1215"/>
      <c r="X94" s="1215"/>
      <c r="Y94" s="1215"/>
      <c r="Z94" s="1215"/>
      <c r="AA94" s="1215"/>
      <c r="AB94" s="1215"/>
      <c r="AC94" s="1215"/>
      <c r="AD94" s="1215"/>
      <c r="AE94" s="1215"/>
      <c r="AF94" s="1215"/>
      <c r="AG94" s="1215"/>
      <c r="AH94" s="1215"/>
      <c r="AI94" s="1215"/>
      <c r="AJ94" s="1215"/>
      <c r="AK94" s="1215"/>
      <c r="AL94" s="1215"/>
      <c r="AM94" s="1215"/>
      <c r="AN94" s="1215"/>
      <c r="AO94" s="1215"/>
      <c r="AP94" s="1215"/>
      <c r="AQ94" s="1215"/>
      <c r="AR94" s="1215"/>
      <c r="AS94" s="1215"/>
      <c r="AT94" s="1215"/>
      <c r="AU94" s="1215"/>
      <c r="AV94" s="1215"/>
      <c r="AW94" s="1215"/>
      <c r="AX94" s="1215"/>
      <c r="AY94" s="1215"/>
      <c r="AZ94" s="1215"/>
      <c r="BA94" s="1215"/>
      <c r="BB94" s="1215"/>
      <c r="BC94" s="1215"/>
      <c r="BD94" s="1215"/>
      <c r="BE94" s="1215"/>
      <c r="BF94" s="1215"/>
      <c r="BG94" s="1215"/>
      <c r="BH94" s="1215"/>
      <c r="BI94" s="1215"/>
      <c r="BJ94" s="1215"/>
      <c r="BK94" s="1215"/>
      <c r="BL94" s="1215"/>
      <c r="BM94" s="1215"/>
      <c r="BN94" s="1215"/>
      <c r="BO94" s="1215"/>
      <c r="BP94" s="1215"/>
      <c r="BQ94" s="1215"/>
      <c r="BR94" s="1215"/>
      <c r="BS94" s="1215"/>
      <c r="BT94" s="1215"/>
      <c r="BU94" s="1215"/>
      <c r="BV94" s="853"/>
      <c r="BW94" s="853"/>
      <c r="BX94" s="853"/>
      <c r="BY94" s="853"/>
      <c r="BZ94" s="853"/>
      <c r="CA94" s="853"/>
      <c r="CB94" s="853"/>
      <c r="CC94" s="853"/>
      <c r="CD94" s="853"/>
      <c r="CE94" s="853"/>
    </row>
    <row r="95" spans="1:83" s="855" customFormat="1" ht="15.75" customHeight="1" x14ac:dyDescent="0.2">
      <c r="A95" s="779"/>
      <c r="B95" s="56"/>
      <c r="C95" s="56"/>
      <c r="D95" s="780"/>
      <c r="E95" s="780"/>
      <c r="F95" s="780"/>
      <c r="G95" s="780"/>
      <c r="H95" s="780"/>
      <c r="I95" s="585"/>
      <c r="J95" s="585"/>
      <c r="K95" s="35"/>
      <c r="L95" s="853"/>
      <c r="M95" s="1215"/>
      <c r="N95" s="1274"/>
      <c r="O95" s="1215"/>
      <c r="P95" s="1215"/>
      <c r="Q95" s="1215"/>
      <c r="R95" s="1215"/>
      <c r="S95" s="1215"/>
      <c r="T95" s="1215"/>
      <c r="U95" s="1215"/>
      <c r="V95" s="1215"/>
      <c r="W95" s="1215"/>
      <c r="X95" s="1215"/>
      <c r="Y95" s="1215"/>
      <c r="Z95" s="1215"/>
      <c r="AA95" s="1215"/>
      <c r="AB95" s="1215"/>
      <c r="AC95" s="1215"/>
      <c r="AD95" s="1215"/>
      <c r="AE95" s="1215"/>
      <c r="AF95" s="1215"/>
      <c r="AG95" s="1215"/>
      <c r="AH95" s="1215"/>
      <c r="AI95" s="1215"/>
      <c r="AJ95" s="1215"/>
      <c r="AK95" s="1215"/>
      <c r="AL95" s="1215"/>
      <c r="AM95" s="1215"/>
      <c r="AN95" s="1215"/>
      <c r="AO95" s="1215"/>
      <c r="AP95" s="1215"/>
      <c r="AQ95" s="1215"/>
      <c r="AR95" s="1215"/>
      <c r="AS95" s="1215"/>
      <c r="AT95" s="1215"/>
      <c r="AU95" s="1215"/>
      <c r="AV95" s="1215"/>
      <c r="AW95" s="1215"/>
      <c r="AX95" s="1215"/>
      <c r="AY95" s="1215"/>
      <c r="AZ95" s="1215"/>
      <c r="BA95" s="1215"/>
      <c r="BB95" s="1215"/>
      <c r="BC95" s="1215"/>
      <c r="BD95" s="1215"/>
      <c r="BE95" s="1215"/>
      <c r="BF95" s="1215"/>
      <c r="BG95" s="1215"/>
      <c r="BH95" s="1215"/>
      <c r="BI95" s="1215"/>
      <c r="BJ95" s="1215"/>
      <c r="BK95" s="1215"/>
      <c r="BL95" s="1215"/>
      <c r="BM95" s="1215"/>
      <c r="BN95" s="1215"/>
      <c r="BO95" s="1215"/>
      <c r="BP95" s="1215"/>
      <c r="BQ95" s="1215"/>
      <c r="BR95" s="1215"/>
      <c r="BS95" s="1215"/>
      <c r="BT95" s="1215"/>
      <c r="BU95" s="1215"/>
      <c r="BV95" s="853"/>
      <c r="BW95" s="853"/>
      <c r="BX95" s="853"/>
      <c r="BY95" s="853"/>
      <c r="BZ95" s="853"/>
      <c r="CA95" s="853"/>
      <c r="CB95" s="853"/>
      <c r="CC95" s="853"/>
      <c r="CD95" s="853"/>
      <c r="CE95" s="853"/>
    </row>
    <row r="96" spans="1:83" s="855" customFormat="1" ht="15.75" customHeight="1" x14ac:dyDescent="0.2">
      <c r="A96" s="779"/>
      <c r="B96" s="56"/>
      <c r="C96" s="56"/>
      <c r="D96" s="780"/>
      <c r="E96" s="780"/>
      <c r="F96" s="780"/>
      <c r="G96" s="780"/>
      <c r="H96" s="780"/>
      <c r="I96" s="585"/>
      <c r="J96" s="585"/>
      <c r="K96" s="35"/>
      <c r="L96" s="853"/>
      <c r="M96" s="1215"/>
      <c r="N96" s="1274"/>
      <c r="O96" s="1215"/>
      <c r="P96" s="1215"/>
      <c r="Q96" s="1215"/>
      <c r="R96" s="1215"/>
      <c r="S96" s="1215"/>
      <c r="T96" s="1215"/>
      <c r="U96" s="1215"/>
      <c r="V96" s="1215"/>
      <c r="W96" s="1215"/>
      <c r="X96" s="1215"/>
      <c r="Y96" s="1215"/>
      <c r="Z96" s="1215"/>
      <c r="AA96" s="1215"/>
      <c r="AB96" s="1215"/>
      <c r="AC96" s="1215"/>
      <c r="AD96" s="1215"/>
      <c r="AE96" s="1215"/>
      <c r="AF96" s="1215"/>
      <c r="AG96" s="1215"/>
      <c r="AH96" s="1215"/>
      <c r="AI96" s="1215"/>
      <c r="AJ96" s="1215"/>
      <c r="AK96" s="1215"/>
      <c r="AL96" s="1215"/>
      <c r="AM96" s="1215"/>
      <c r="AN96" s="1215"/>
      <c r="AO96" s="1215"/>
      <c r="AP96" s="1215"/>
      <c r="AQ96" s="1215"/>
      <c r="AR96" s="1215"/>
      <c r="AS96" s="1215"/>
      <c r="AT96" s="1215"/>
      <c r="AU96" s="1215"/>
      <c r="AV96" s="1215"/>
      <c r="AW96" s="1215"/>
      <c r="AX96" s="1215"/>
      <c r="AY96" s="1215"/>
      <c r="AZ96" s="1215"/>
      <c r="BA96" s="1215"/>
      <c r="BB96" s="1215"/>
      <c r="BC96" s="1215"/>
      <c r="BD96" s="1215"/>
      <c r="BE96" s="1215"/>
      <c r="BF96" s="1215"/>
      <c r="BG96" s="1215"/>
      <c r="BH96" s="1215"/>
      <c r="BI96" s="1215"/>
      <c r="BJ96" s="1215"/>
      <c r="BK96" s="1215"/>
      <c r="BL96" s="1215"/>
      <c r="BM96" s="1215"/>
      <c r="BN96" s="1215"/>
      <c r="BO96" s="1215"/>
      <c r="BP96" s="1215"/>
      <c r="BQ96" s="1215"/>
      <c r="BR96" s="1215"/>
      <c r="BS96" s="1215"/>
      <c r="BT96" s="1215"/>
      <c r="BU96" s="1215"/>
      <c r="BV96" s="853"/>
      <c r="BW96" s="853"/>
      <c r="BX96" s="853"/>
      <c r="BY96" s="853"/>
      <c r="BZ96" s="853"/>
      <c r="CA96" s="853"/>
      <c r="CB96" s="853"/>
      <c r="CC96" s="853"/>
      <c r="CD96" s="853"/>
      <c r="CE96" s="853"/>
    </row>
    <row r="97" spans="1:83" s="855" customFormat="1" ht="15.75" customHeight="1" x14ac:dyDescent="0.2">
      <c r="A97" s="779"/>
      <c r="B97" s="56"/>
      <c r="C97" s="56"/>
      <c r="D97" s="780"/>
      <c r="E97" s="780"/>
      <c r="F97" s="780"/>
      <c r="G97" s="780"/>
      <c r="H97" s="780"/>
      <c r="I97" s="585"/>
      <c r="J97" s="585"/>
      <c r="K97" s="35"/>
      <c r="L97" s="853"/>
      <c r="M97" s="1215"/>
      <c r="N97" s="1274"/>
      <c r="O97" s="1215"/>
      <c r="P97" s="1215"/>
      <c r="Q97" s="1215"/>
      <c r="R97" s="1215"/>
      <c r="S97" s="1215"/>
      <c r="T97" s="1215"/>
      <c r="U97" s="1215"/>
      <c r="V97" s="1215"/>
      <c r="W97" s="1215"/>
      <c r="X97" s="1215"/>
      <c r="Y97" s="1215"/>
      <c r="Z97" s="1215"/>
      <c r="AA97" s="1215"/>
      <c r="AB97" s="1215"/>
      <c r="AC97" s="1215"/>
      <c r="AD97" s="1215"/>
      <c r="AE97" s="1215"/>
      <c r="AF97" s="1215"/>
      <c r="AG97" s="1215"/>
      <c r="AH97" s="1215"/>
      <c r="AI97" s="1215"/>
      <c r="AJ97" s="1215"/>
      <c r="AK97" s="1215"/>
      <c r="AL97" s="1215"/>
      <c r="AM97" s="1215"/>
      <c r="AN97" s="1215"/>
      <c r="AO97" s="1215"/>
      <c r="AP97" s="1215"/>
      <c r="AQ97" s="1215"/>
      <c r="AR97" s="1215"/>
      <c r="AS97" s="1215"/>
      <c r="AT97" s="1215"/>
      <c r="AU97" s="1215"/>
      <c r="AV97" s="1215"/>
      <c r="AW97" s="1215"/>
      <c r="AX97" s="1215"/>
      <c r="AY97" s="1215"/>
      <c r="AZ97" s="1215"/>
      <c r="BA97" s="1215"/>
      <c r="BB97" s="1215"/>
      <c r="BC97" s="1215"/>
      <c r="BD97" s="1215"/>
      <c r="BE97" s="1215"/>
      <c r="BF97" s="1215"/>
      <c r="BG97" s="1215"/>
      <c r="BH97" s="1215"/>
      <c r="BI97" s="1215"/>
      <c r="BJ97" s="1215"/>
      <c r="BK97" s="1215"/>
      <c r="BL97" s="1215"/>
      <c r="BM97" s="1215"/>
      <c r="BN97" s="1215"/>
      <c r="BO97" s="1215"/>
      <c r="BP97" s="1215"/>
      <c r="BQ97" s="1215"/>
      <c r="BR97" s="1215"/>
      <c r="BS97" s="1215"/>
      <c r="BT97" s="1215"/>
      <c r="BU97" s="1215"/>
      <c r="BV97" s="853"/>
      <c r="BW97" s="853"/>
      <c r="BX97" s="853"/>
      <c r="BY97" s="853"/>
      <c r="BZ97" s="853"/>
      <c r="CA97" s="853"/>
      <c r="CB97" s="853"/>
      <c r="CC97" s="853"/>
      <c r="CD97" s="853"/>
      <c r="CE97" s="853"/>
    </row>
    <row r="98" spans="1:83" s="855" customFormat="1" ht="15.75" customHeight="1" x14ac:dyDescent="0.2">
      <c r="A98" s="779"/>
      <c r="B98" s="56"/>
      <c r="C98" s="56"/>
      <c r="D98" s="780"/>
      <c r="E98" s="780"/>
      <c r="F98" s="780"/>
      <c r="G98" s="780"/>
      <c r="H98" s="780"/>
      <c r="I98" s="585"/>
      <c r="J98" s="585"/>
      <c r="K98" s="35"/>
      <c r="L98" s="853"/>
      <c r="M98" s="1215"/>
      <c r="N98" s="1274"/>
      <c r="O98" s="1215"/>
      <c r="P98" s="1215"/>
      <c r="Q98" s="1215"/>
      <c r="R98" s="1215"/>
      <c r="S98" s="1215"/>
      <c r="T98" s="1215"/>
      <c r="U98" s="1215"/>
      <c r="V98" s="1215"/>
      <c r="W98" s="1215"/>
      <c r="X98" s="1215"/>
      <c r="Y98" s="1215"/>
      <c r="Z98" s="1215"/>
      <c r="AA98" s="1215"/>
      <c r="AB98" s="1215"/>
      <c r="AC98" s="1215"/>
      <c r="AD98" s="1215"/>
      <c r="AE98" s="1215"/>
      <c r="AF98" s="1215"/>
      <c r="AG98" s="1215"/>
      <c r="AH98" s="1215"/>
      <c r="AI98" s="1215"/>
      <c r="AJ98" s="1215"/>
      <c r="AK98" s="1215"/>
      <c r="AL98" s="1215"/>
      <c r="AM98" s="1215"/>
      <c r="AN98" s="1215"/>
      <c r="AO98" s="1215"/>
      <c r="AP98" s="1215"/>
      <c r="AQ98" s="1215"/>
      <c r="AR98" s="1215"/>
      <c r="AS98" s="1215"/>
      <c r="AT98" s="1215"/>
      <c r="AU98" s="1215"/>
      <c r="AV98" s="1215"/>
      <c r="AW98" s="1215"/>
      <c r="AX98" s="1215"/>
      <c r="AY98" s="1215"/>
      <c r="AZ98" s="1215"/>
      <c r="BA98" s="1215"/>
      <c r="BB98" s="1215"/>
      <c r="BC98" s="1215"/>
      <c r="BD98" s="1215"/>
      <c r="BE98" s="1215"/>
      <c r="BF98" s="1215"/>
      <c r="BG98" s="1215"/>
      <c r="BH98" s="1215"/>
      <c r="BI98" s="1215"/>
      <c r="BJ98" s="1215"/>
      <c r="BK98" s="1215"/>
      <c r="BL98" s="1215"/>
      <c r="BM98" s="1215"/>
      <c r="BN98" s="1215"/>
      <c r="BO98" s="1215"/>
      <c r="BP98" s="1215"/>
      <c r="BQ98" s="1215"/>
      <c r="BR98" s="1215"/>
      <c r="BS98" s="1215"/>
      <c r="BT98" s="1215"/>
      <c r="BU98" s="1215"/>
      <c r="BV98" s="853"/>
      <c r="BW98" s="853"/>
      <c r="BX98" s="853"/>
      <c r="BY98" s="853"/>
      <c r="BZ98" s="853"/>
      <c r="CA98" s="853"/>
      <c r="CB98" s="853"/>
      <c r="CC98" s="853"/>
      <c r="CD98" s="853"/>
      <c r="CE98" s="853"/>
    </row>
    <row r="99" spans="1:83" s="855" customFormat="1" ht="15.75" customHeight="1" x14ac:dyDescent="0.2">
      <c r="A99" s="779"/>
      <c r="B99" s="56"/>
      <c r="C99" s="56"/>
      <c r="D99" s="780"/>
      <c r="E99" s="780"/>
      <c r="F99" s="780"/>
      <c r="G99" s="780"/>
      <c r="H99" s="780"/>
      <c r="I99" s="585"/>
      <c r="J99" s="585"/>
      <c r="K99" s="35"/>
      <c r="L99" s="853"/>
      <c r="M99" s="1215"/>
      <c r="N99" s="1274"/>
      <c r="O99" s="1215"/>
      <c r="P99" s="1215"/>
      <c r="Q99" s="1215"/>
      <c r="R99" s="1215"/>
      <c r="S99" s="1215"/>
      <c r="T99" s="1215"/>
      <c r="U99" s="1215"/>
      <c r="V99" s="1215"/>
      <c r="W99" s="1215"/>
      <c r="X99" s="1215"/>
      <c r="Y99" s="1215"/>
      <c r="Z99" s="1215"/>
      <c r="AA99" s="1215"/>
      <c r="AB99" s="1215"/>
      <c r="AC99" s="1215"/>
      <c r="AD99" s="1215"/>
      <c r="AE99" s="1215"/>
      <c r="AF99" s="1215"/>
      <c r="AG99" s="1215"/>
      <c r="AH99" s="1215"/>
      <c r="AI99" s="1215"/>
      <c r="AJ99" s="1215"/>
      <c r="AK99" s="1215"/>
      <c r="AL99" s="1215"/>
      <c r="AM99" s="1215"/>
      <c r="AN99" s="1215"/>
      <c r="AO99" s="1215"/>
      <c r="AP99" s="1215"/>
      <c r="AQ99" s="1215"/>
      <c r="AR99" s="1215"/>
      <c r="AS99" s="1215"/>
      <c r="AT99" s="1215"/>
      <c r="AU99" s="1215"/>
      <c r="AV99" s="1215"/>
      <c r="AW99" s="1215"/>
      <c r="AX99" s="1215"/>
      <c r="AY99" s="1215"/>
      <c r="AZ99" s="1215"/>
      <c r="BA99" s="1215"/>
      <c r="BB99" s="1215"/>
      <c r="BC99" s="1215"/>
      <c r="BD99" s="1215"/>
      <c r="BE99" s="1215"/>
      <c r="BF99" s="1215"/>
      <c r="BG99" s="1215"/>
      <c r="BH99" s="1215"/>
      <c r="BI99" s="1215"/>
      <c r="BJ99" s="1215"/>
      <c r="BK99" s="1215"/>
      <c r="BL99" s="1215"/>
      <c r="BM99" s="1215"/>
      <c r="BN99" s="1215"/>
      <c r="BO99" s="1215"/>
      <c r="BP99" s="1215"/>
      <c r="BQ99" s="1215"/>
      <c r="BR99" s="1215"/>
      <c r="BS99" s="1215"/>
      <c r="BT99" s="1215"/>
      <c r="BU99" s="1215"/>
      <c r="BV99" s="853"/>
      <c r="BW99" s="853"/>
      <c r="BX99" s="853"/>
      <c r="BY99" s="853"/>
      <c r="BZ99" s="853"/>
      <c r="CA99" s="853"/>
      <c r="CB99" s="853"/>
      <c r="CC99" s="853"/>
      <c r="CD99" s="853"/>
      <c r="CE99" s="853"/>
    </row>
    <row r="100" spans="1:83" s="855" customFormat="1" ht="15.75" customHeight="1" x14ac:dyDescent="0.2">
      <c r="A100" s="779"/>
      <c r="B100" s="56"/>
      <c r="C100" s="56"/>
      <c r="D100" s="780"/>
      <c r="E100" s="780"/>
      <c r="F100" s="780"/>
      <c r="G100" s="780"/>
      <c r="H100" s="780"/>
      <c r="I100" s="585"/>
      <c r="J100" s="585"/>
      <c r="K100" s="35"/>
      <c r="L100" s="853"/>
      <c r="M100" s="1215"/>
      <c r="N100" s="1274"/>
      <c r="O100" s="1215"/>
      <c r="P100" s="1215"/>
      <c r="Q100" s="1215"/>
      <c r="R100" s="1215"/>
      <c r="S100" s="1215"/>
      <c r="T100" s="1215"/>
      <c r="U100" s="1215"/>
      <c r="V100" s="1215"/>
      <c r="W100" s="1215"/>
      <c r="X100" s="1215"/>
      <c r="Y100" s="1215"/>
      <c r="Z100" s="1215"/>
      <c r="AA100" s="1215"/>
      <c r="AB100" s="1215"/>
      <c r="AC100" s="1215"/>
      <c r="AD100" s="1215"/>
      <c r="AE100" s="1215"/>
      <c r="AF100" s="1215"/>
      <c r="AG100" s="1215"/>
      <c r="AH100" s="1215"/>
      <c r="AI100" s="1215"/>
      <c r="AJ100" s="1215"/>
      <c r="AK100" s="1215"/>
      <c r="AL100" s="1215"/>
      <c r="AM100" s="1215"/>
      <c r="AN100" s="1215"/>
      <c r="AO100" s="1215"/>
      <c r="AP100" s="1215"/>
      <c r="AQ100" s="1215"/>
      <c r="AR100" s="1215"/>
      <c r="AS100" s="1215"/>
      <c r="AT100" s="1215"/>
      <c r="AU100" s="1215"/>
      <c r="AV100" s="1215"/>
      <c r="AW100" s="1215"/>
      <c r="AX100" s="1215"/>
      <c r="AY100" s="1215"/>
      <c r="AZ100" s="1215"/>
      <c r="BA100" s="1215"/>
      <c r="BB100" s="1215"/>
      <c r="BC100" s="1215"/>
      <c r="BD100" s="1215"/>
      <c r="BE100" s="1215"/>
      <c r="BF100" s="1215"/>
      <c r="BG100" s="1215"/>
      <c r="BH100" s="1215"/>
      <c r="BI100" s="1215"/>
      <c r="BJ100" s="1215"/>
      <c r="BK100" s="1215"/>
      <c r="BL100" s="1215"/>
      <c r="BM100" s="1215"/>
      <c r="BN100" s="1215"/>
      <c r="BO100" s="1215"/>
      <c r="BP100" s="1215"/>
      <c r="BQ100" s="1215"/>
      <c r="BR100" s="1215"/>
      <c r="BS100" s="1215"/>
      <c r="BT100" s="1215"/>
      <c r="BU100" s="1215"/>
      <c r="BV100" s="853"/>
      <c r="BW100" s="853"/>
      <c r="BX100" s="853"/>
      <c r="BY100" s="853"/>
      <c r="BZ100" s="853"/>
      <c r="CA100" s="853"/>
      <c r="CB100" s="853"/>
      <c r="CC100" s="853"/>
      <c r="CD100" s="853"/>
      <c r="CE100" s="853"/>
    </row>
    <row r="101" spans="1:83" s="855" customFormat="1" ht="15.75" customHeight="1" x14ac:dyDescent="0.2">
      <c r="A101" s="779"/>
      <c r="B101" s="56"/>
      <c r="C101" s="56"/>
      <c r="D101" s="780"/>
      <c r="E101" s="780"/>
      <c r="F101" s="780"/>
      <c r="G101" s="780"/>
      <c r="H101" s="780"/>
      <c r="I101" s="585"/>
      <c r="J101" s="585"/>
      <c r="K101" s="35"/>
      <c r="L101" s="853"/>
      <c r="M101" s="1215"/>
      <c r="N101" s="1274"/>
      <c r="O101" s="1215"/>
      <c r="P101" s="1215"/>
      <c r="Q101" s="1215"/>
      <c r="R101" s="1215"/>
      <c r="S101" s="1215"/>
      <c r="T101" s="1215"/>
      <c r="U101" s="1215"/>
      <c r="V101" s="1215"/>
      <c r="W101" s="1215"/>
      <c r="X101" s="1215"/>
      <c r="Y101" s="1215"/>
      <c r="Z101" s="1215"/>
      <c r="AA101" s="1215"/>
      <c r="AB101" s="1215"/>
      <c r="AC101" s="1215"/>
      <c r="AD101" s="1215"/>
      <c r="AE101" s="1215"/>
      <c r="AF101" s="1215"/>
      <c r="AG101" s="1215"/>
      <c r="AH101" s="1215"/>
      <c r="AI101" s="1215"/>
      <c r="AJ101" s="1215"/>
      <c r="AK101" s="1215"/>
      <c r="AL101" s="1215"/>
      <c r="AM101" s="1215"/>
      <c r="AN101" s="1215"/>
      <c r="AO101" s="1215"/>
      <c r="AP101" s="1215"/>
      <c r="AQ101" s="1215"/>
      <c r="AR101" s="1215"/>
      <c r="AS101" s="1215"/>
      <c r="AT101" s="1215"/>
      <c r="AU101" s="1215"/>
      <c r="AV101" s="1215"/>
      <c r="AW101" s="1215"/>
      <c r="AX101" s="1215"/>
      <c r="AY101" s="1215"/>
      <c r="AZ101" s="1215"/>
      <c r="BA101" s="1215"/>
      <c r="BB101" s="1215"/>
      <c r="BC101" s="1215"/>
      <c r="BD101" s="1215"/>
      <c r="BE101" s="1215"/>
      <c r="BF101" s="1215"/>
      <c r="BG101" s="1215"/>
      <c r="BH101" s="1215"/>
      <c r="BI101" s="1215"/>
      <c r="BJ101" s="1215"/>
      <c r="BK101" s="1215"/>
      <c r="BL101" s="1215"/>
      <c r="BM101" s="1215"/>
      <c r="BN101" s="1215"/>
      <c r="BO101" s="1215"/>
      <c r="BP101" s="1215"/>
      <c r="BQ101" s="1215"/>
      <c r="BR101" s="1215"/>
      <c r="BS101" s="1215"/>
      <c r="BT101" s="1215"/>
      <c r="BU101" s="1215"/>
      <c r="BV101" s="853"/>
      <c r="BW101" s="853"/>
      <c r="BX101" s="853"/>
      <c r="BY101" s="853"/>
      <c r="BZ101" s="853"/>
      <c r="CA101" s="853"/>
      <c r="CB101" s="853"/>
      <c r="CC101" s="853"/>
      <c r="CD101" s="853"/>
      <c r="CE101" s="853"/>
    </row>
    <row r="102" spans="1:83" s="855" customFormat="1" ht="15.75" customHeight="1" x14ac:dyDescent="0.2">
      <c r="A102" s="42"/>
      <c r="B102" s="42"/>
      <c r="C102" s="42"/>
      <c r="D102" s="42"/>
      <c r="E102" s="42"/>
      <c r="F102" s="42"/>
      <c r="G102" s="42"/>
      <c r="H102" s="42"/>
      <c r="I102" s="42"/>
      <c r="J102" s="35"/>
      <c r="K102" s="35"/>
      <c r="L102" s="853"/>
      <c r="M102" s="1215"/>
      <c r="N102" s="1215"/>
      <c r="O102" s="1215"/>
      <c r="P102" s="1215"/>
      <c r="Q102" s="1215"/>
      <c r="R102" s="1215"/>
      <c r="S102" s="1215"/>
      <c r="T102" s="1215"/>
      <c r="U102" s="1215"/>
      <c r="V102" s="1215"/>
      <c r="W102" s="1215"/>
      <c r="X102" s="1215"/>
      <c r="Y102" s="1215"/>
      <c r="Z102" s="1215"/>
      <c r="AA102" s="1215"/>
      <c r="AB102" s="1215"/>
      <c r="AC102" s="1215"/>
      <c r="AD102" s="1215"/>
      <c r="AE102" s="1215"/>
      <c r="AF102" s="1215"/>
      <c r="AG102" s="1215"/>
      <c r="AH102" s="1215"/>
      <c r="AI102" s="1215"/>
      <c r="AJ102" s="1215"/>
      <c r="AK102" s="1215"/>
      <c r="AL102" s="1215"/>
      <c r="AM102" s="1215"/>
      <c r="AN102" s="1215"/>
      <c r="AO102" s="1215"/>
      <c r="AP102" s="1215"/>
      <c r="AQ102" s="1215"/>
      <c r="AR102" s="1215"/>
      <c r="AS102" s="1215"/>
      <c r="AT102" s="1215"/>
      <c r="AU102" s="1215"/>
      <c r="AV102" s="1215"/>
      <c r="AW102" s="1215"/>
      <c r="AX102" s="1215"/>
      <c r="AY102" s="1215"/>
      <c r="AZ102" s="1215"/>
      <c r="BA102" s="1215"/>
      <c r="BB102" s="1215"/>
      <c r="BC102" s="1215"/>
      <c r="BD102" s="1215"/>
      <c r="BE102" s="1215"/>
      <c r="BF102" s="1215"/>
      <c r="BG102" s="1215"/>
      <c r="BH102" s="1215"/>
      <c r="BI102" s="1215"/>
      <c r="BJ102" s="1215"/>
      <c r="BK102" s="1215"/>
      <c r="BL102" s="1215"/>
      <c r="BM102" s="1215"/>
      <c r="BN102" s="1215"/>
      <c r="BO102" s="1215"/>
      <c r="BP102" s="1215"/>
      <c r="BQ102" s="1215"/>
      <c r="BR102" s="1215"/>
      <c r="BS102" s="1215"/>
      <c r="BT102" s="1215"/>
      <c r="BU102" s="1215"/>
      <c r="BV102" s="853"/>
      <c r="BW102" s="853"/>
      <c r="BX102" s="853"/>
      <c r="BY102" s="853"/>
      <c r="BZ102" s="853"/>
      <c r="CA102" s="853"/>
      <c r="CB102" s="853"/>
      <c r="CC102" s="853"/>
      <c r="CD102" s="853"/>
      <c r="CE102" s="853"/>
    </row>
    <row r="103" spans="1:83" s="855" customFormat="1" ht="23.25" customHeight="1" x14ac:dyDescent="0.2">
      <c r="A103" s="42"/>
      <c r="B103" s="42"/>
      <c r="C103" s="42"/>
      <c r="D103" s="42"/>
      <c r="E103" s="42"/>
      <c r="F103" s="42"/>
      <c r="G103" s="42"/>
      <c r="H103" s="42"/>
      <c r="I103" s="42"/>
      <c r="J103" s="35"/>
      <c r="K103" s="35"/>
      <c r="L103" s="853"/>
      <c r="M103" s="1215"/>
      <c r="N103" s="1215"/>
      <c r="O103" s="1215"/>
      <c r="P103" s="1215"/>
      <c r="Q103" s="1215"/>
      <c r="R103" s="1215"/>
      <c r="S103" s="1215"/>
      <c r="T103" s="1215"/>
      <c r="U103" s="1215"/>
      <c r="V103" s="1215"/>
      <c r="W103" s="1215"/>
      <c r="X103" s="1215"/>
      <c r="Y103" s="1215"/>
      <c r="Z103" s="1215"/>
      <c r="AA103" s="1215"/>
      <c r="AB103" s="1215"/>
      <c r="AC103" s="1215"/>
      <c r="AD103" s="1215"/>
      <c r="AE103" s="1215"/>
      <c r="AF103" s="1215"/>
      <c r="AG103" s="1215"/>
      <c r="AH103" s="1215"/>
      <c r="AI103" s="1215"/>
      <c r="AJ103" s="1215"/>
      <c r="AK103" s="1215"/>
      <c r="AL103" s="1215"/>
      <c r="AM103" s="1215"/>
      <c r="AN103" s="1215"/>
      <c r="AO103" s="1215"/>
      <c r="AP103" s="1215"/>
      <c r="AQ103" s="1215"/>
      <c r="AR103" s="1215"/>
      <c r="AS103" s="1215"/>
      <c r="AT103" s="1215"/>
      <c r="AU103" s="1215"/>
      <c r="AV103" s="1215"/>
      <c r="AW103" s="1215"/>
      <c r="AX103" s="1215"/>
      <c r="AY103" s="1215"/>
      <c r="AZ103" s="1215"/>
      <c r="BA103" s="1215"/>
      <c r="BB103" s="1215"/>
      <c r="BC103" s="1215"/>
      <c r="BD103" s="1215"/>
      <c r="BE103" s="1215"/>
      <c r="BF103" s="1215"/>
      <c r="BG103" s="1215"/>
      <c r="BH103" s="1215"/>
      <c r="BI103" s="1215"/>
      <c r="BJ103" s="1215"/>
      <c r="BK103" s="1215"/>
      <c r="BL103" s="1215"/>
      <c r="BM103" s="1215"/>
      <c r="BN103" s="1215"/>
      <c r="BO103" s="1215"/>
      <c r="BP103" s="1215"/>
      <c r="BQ103" s="1215"/>
      <c r="BR103" s="1215"/>
      <c r="BS103" s="1215"/>
      <c r="BT103" s="1215"/>
      <c r="BU103" s="1215"/>
      <c r="BV103" s="853"/>
      <c r="BW103" s="853"/>
      <c r="BX103" s="853"/>
      <c r="BY103" s="853"/>
      <c r="BZ103" s="853"/>
      <c r="CA103" s="853"/>
      <c r="CB103" s="853"/>
      <c r="CC103" s="853"/>
      <c r="CD103" s="853"/>
      <c r="CE103" s="853"/>
    </row>
    <row r="104" spans="1:83" s="855" customFormat="1" ht="15.75" customHeight="1" x14ac:dyDescent="0.2">
      <c r="A104" s="42"/>
      <c r="B104" s="42"/>
      <c r="C104" s="42"/>
      <c r="D104" s="42"/>
      <c r="E104" s="42"/>
      <c r="F104" s="42"/>
      <c r="G104" s="42"/>
      <c r="H104" s="42"/>
      <c r="I104" s="42"/>
      <c r="J104" s="35"/>
      <c r="K104" s="35"/>
      <c r="L104" s="853"/>
      <c r="M104" s="1215"/>
      <c r="N104" s="1215"/>
      <c r="O104" s="1215"/>
      <c r="P104" s="1215"/>
      <c r="Q104" s="1215"/>
      <c r="R104" s="1215"/>
      <c r="S104" s="1215"/>
      <c r="T104" s="1215"/>
      <c r="U104" s="1215"/>
      <c r="V104" s="1215"/>
      <c r="W104" s="1215"/>
      <c r="X104" s="1215"/>
      <c r="Y104" s="1215"/>
      <c r="Z104" s="1215"/>
      <c r="AA104" s="1215"/>
      <c r="AB104" s="1215"/>
      <c r="AC104" s="1215"/>
      <c r="AD104" s="1215"/>
      <c r="AE104" s="1215"/>
      <c r="AF104" s="1215"/>
      <c r="AG104" s="1215"/>
      <c r="AH104" s="1215"/>
      <c r="AI104" s="1215"/>
      <c r="AJ104" s="1215"/>
      <c r="AK104" s="1215"/>
      <c r="AL104" s="1215"/>
      <c r="AM104" s="1215"/>
      <c r="AN104" s="1215"/>
      <c r="AO104" s="1215"/>
      <c r="AP104" s="1215"/>
      <c r="AQ104" s="1215"/>
      <c r="AR104" s="1215"/>
      <c r="AS104" s="1215"/>
      <c r="AT104" s="1215"/>
      <c r="AU104" s="1215"/>
      <c r="AV104" s="1215"/>
      <c r="AW104" s="1215"/>
      <c r="AX104" s="1215"/>
      <c r="AY104" s="1215"/>
      <c r="AZ104" s="1215"/>
      <c r="BA104" s="1215"/>
      <c r="BB104" s="1215"/>
      <c r="BC104" s="1215"/>
      <c r="BD104" s="1215"/>
      <c r="BE104" s="1215"/>
      <c r="BF104" s="1215"/>
      <c r="BG104" s="1215"/>
      <c r="BH104" s="1215"/>
      <c r="BI104" s="1215"/>
      <c r="BJ104" s="1215"/>
      <c r="BK104" s="1215"/>
      <c r="BL104" s="1215"/>
      <c r="BM104" s="1215"/>
      <c r="BN104" s="1215"/>
      <c r="BO104" s="1215"/>
      <c r="BP104" s="1215"/>
      <c r="BQ104" s="1215"/>
      <c r="BR104" s="1215"/>
      <c r="BS104" s="1215"/>
      <c r="BT104" s="1215"/>
      <c r="BU104" s="1215"/>
      <c r="BV104" s="853"/>
      <c r="BW104" s="853"/>
      <c r="BX104" s="853"/>
      <c r="BY104" s="853"/>
      <c r="BZ104" s="853"/>
      <c r="CA104" s="853"/>
      <c r="CB104" s="853"/>
      <c r="CC104" s="853"/>
      <c r="CD104" s="853"/>
      <c r="CE104" s="853"/>
    </row>
    <row r="105" spans="1:83" s="855" customFormat="1" ht="15.75" customHeight="1" thickBot="1" x14ac:dyDescent="0.25">
      <c r="A105" s="1383" t="s">
        <v>590</v>
      </c>
      <c r="B105" s="1383"/>
      <c r="C105" s="1383"/>
      <c r="D105" s="1383"/>
      <c r="E105" s="1383"/>
      <c r="F105" s="1383"/>
      <c r="G105" s="1383"/>
      <c r="H105" s="1383"/>
      <c r="I105" s="1383"/>
      <c r="J105" s="1383"/>
      <c r="K105" s="35"/>
      <c r="L105" s="853"/>
      <c r="M105" s="1215"/>
      <c r="N105" s="1215"/>
      <c r="O105" s="1215"/>
      <c r="P105" s="1215"/>
      <c r="Q105" s="1215"/>
      <c r="R105" s="1215"/>
      <c r="S105" s="1215"/>
      <c r="T105" s="1215"/>
      <c r="U105" s="1215"/>
      <c r="V105" s="1215"/>
      <c r="W105" s="1215"/>
      <c r="X105" s="1215"/>
      <c r="Y105" s="1215"/>
      <c r="Z105" s="1215"/>
      <c r="AA105" s="1215"/>
      <c r="AB105" s="1215"/>
      <c r="AC105" s="1215"/>
      <c r="AD105" s="1215"/>
      <c r="AE105" s="1215"/>
      <c r="AF105" s="1215"/>
      <c r="AG105" s="1215"/>
      <c r="AH105" s="1215"/>
      <c r="AI105" s="1215"/>
      <c r="AJ105" s="1215"/>
      <c r="AK105" s="1215"/>
      <c r="AL105" s="1215"/>
      <c r="AM105" s="1215"/>
      <c r="AN105" s="1215"/>
      <c r="AO105" s="1215"/>
      <c r="AP105" s="1215"/>
      <c r="AQ105" s="1215"/>
      <c r="AR105" s="1215"/>
      <c r="AS105" s="1215"/>
      <c r="AT105" s="1215"/>
      <c r="AU105" s="1215"/>
      <c r="AV105" s="1215"/>
      <c r="AW105" s="1215"/>
      <c r="AX105" s="1215"/>
      <c r="AY105" s="1215"/>
      <c r="AZ105" s="1215"/>
      <c r="BA105" s="1215"/>
      <c r="BB105" s="1215"/>
      <c r="BC105" s="1215"/>
      <c r="BD105" s="1215"/>
      <c r="BE105" s="1215"/>
      <c r="BF105" s="1215"/>
      <c r="BG105" s="1215"/>
      <c r="BH105" s="1215"/>
      <c r="BI105" s="1215"/>
      <c r="BJ105" s="1215"/>
      <c r="BK105" s="1215"/>
      <c r="BL105" s="1215"/>
      <c r="BM105" s="1215"/>
      <c r="BN105" s="1215"/>
      <c r="BO105" s="1215"/>
      <c r="BP105" s="1215"/>
      <c r="BQ105" s="1215"/>
      <c r="BR105" s="1215"/>
      <c r="BS105" s="1215"/>
      <c r="BT105" s="1215"/>
      <c r="BU105" s="1215"/>
      <c r="BV105" s="853"/>
      <c r="BW105" s="853"/>
      <c r="BX105" s="853"/>
      <c r="BY105" s="853"/>
      <c r="BZ105" s="853"/>
      <c r="CA105" s="853"/>
      <c r="CB105" s="853"/>
      <c r="CC105" s="853"/>
      <c r="CD105" s="853"/>
      <c r="CE105" s="853"/>
    </row>
    <row r="106" spans="1:83" s="855" customFormat="1" ht="15.75" customHeight="1" thickBot="1" x14ac:dyDescent="0.25">
      <c r="A106" s="1384" t="s">
        <v>563</v>
      </c>
      <c r="B106" s="1385"/>
      <c r="C106" s="1385"/>
      <c r="D106" s="1385"/>
      <c r="E106" s="1385"/>
      <c r="F106" s="1385"/>
      <c r="G106" s="1385"/>
      <c r="H106" s="1385"/>
      <c r="I106" s="1385"/>
      <c r="J106" s="1386"/>
      <c r="K106" s="35"/>
      <c r="L106" s="853"/>
      <c r="M106" s="1215"/>
      <c r="N106" s="1215"/>
      <c r="O106" s="1215"/>
      <c r="P106" s="1215"/>
      <c r="Q106" s="1215"/>
      <c r="R106" s="1215"/>
      <c r="S106" s="1215"/>
      <c r="T106" s="1215"/>
      <c r="U106" s="1215"/>
      <c r="V106" s="1215"/>
      <c r="W106" s="1215"/>
      <c r="X106" s="1215"/>
      <c r="Y106" s="1215"/>
      <c r="Z106" s="1215"/>
      <c r="AA106" s="1215"/>
      <c r="AB106" s="1215"/>
      <c r="AC106" s="1215"/>
      <c r="AD106" s="1215"/>
      <c r="AE106" s="1215"/>
      <c r="AF106" s="1215"/>
      <c r="AG106" s="1215"/>
      <c r="AH106" s="1215"/>
      <c r="AI106" s="1215"/>
      <c r="AJ106" s="1215"/>
      <c r="AK106" s="1215"/>
      <c r="AL106" s="1215"/>
      <c r="AM106" s="1215"/>
      <c r="AN106" s="1215"/>
      <c r="AO106" s="1215"/>
      <c r="AP106" s="1215"/>
      <c r="AQ106" s="1215"/>
      <c r="AR106" s="1215"/>
      <c r="AS106" s="1215"/>
      <c r="AT106" s="1215"/>
      <c r="AU106" s="1215"/>
      <c r="AV106" s="1215"/>
      <c r="AW106" s="1215"/>
      <c r="AX106" s="1215"/>
      <c r="AY106" s="1215"/>
      <c r="AZ106" s="1215"/>
      <c r="BA106" s="1215"/>
      <c r="BB106" s="1215"/>
      <c r="BC106" s="1215"/>
      <c r="BD106" s="1215"/>
      <c r="BE106" s="1215"/>
      <c r="BF106" s="1215"/>
      <c r="BG106" s="1215"/>
      <c r="BH106" s="1215"/>
      <c r="BI106" s="1215"/>
      <c r="BJ106" s="1215"/>
      <c r="BK106" s="1215"/>
      <c r="BL106" s="1215"/>
      <c r="BM106" s="1215"/>
      <c r="BN106" s="1215"/>
      <c r="BO106" s="1215"/>
      <c r="BP106" s="1215"/>
      <c r="BQ106" s="1215"/>
      <c r="BR106" s="1215"/>
      <c r="BS106" s="1215"/>
      <c r="BT106" s="1215"/>
      <c r="BU106" s="1215"/>
      <c r="BV106" s="853"/>
      <c r="BW106" s="853"/>
      <c r="BX106" s="853"/>
      <c r="BY106" s="853"/>
      <c r="BZ106" s="853"/>
      <c r="CA106" s="853"/>
      <c r="CB106" s="853"/>
      <c r="CC106" s="853"/>
      <c r="CD106" s="853"/>
      <c r="CE106" s="853"/>
    </row>
    <row r="107" spans="1:83" s="849" customFormat="1" ht="6.75" customHeight="1" thickBot="1" x14ac:dyDescent="0.25">
      <c r="A107" s="1"/>
      <c r="B107" s="43"/>
      <c r="C107" s="43"/>
      <c r="D107" s="44"/>
      <c r="E107" s="44"/>
      <c r="F107" s="44"/>
      <c r="G107" s="44"/>
      <c r="H107" s="44"/>
      <c r="I107" s="44"/>
      <c r="J107" s="45"/>
      <c r="K107" s="45"/>
      <c r="L107" s="860"/>
      <c r="M107" s="1308"/>
      <c r="N107" s="1308"/>
      <c r="O107" s="1308"/>
      <c r="P107" s="1308"/>
      <c r="Q107" s="1308"/>
      <c r="R107" s="1308"/>
      <c r="S107" s="1308"/>
      <c r="T107" s="1308"/>
      <c r="U107" s="1308"/>
      <c r="V107" s="1308"/>
      <c r="W107" s="1308"/>
      <c r="X107" s="1308"/>
      <c r="Y107" s="1308"/>
      <c r="Z107" s="1308"/>
      <c r="AA107" s="1308"/>
      <c r="AB107" s="1308"/>
      <c r="AC107" s="1308"/>
      <c r="AD107" s="1308"/>
      <c r="AE107" s="1308"/>
      <c r="AF107" s="1308"/>
      <c r="AG107" s="1308"/>
      <c r="AH107" s="1308"/>
      <c r="AI107" s="1308"/>
      <c r="AJ107" s="1308"/>
      <c r="AK107" s="1308"/>
      <c r="AL107" s="1308"/>
      <c r="AM107" s="1308"/>
      <c r="AN107" s="1308"/>
      <c r="AO107" s="1308"/>
      <c r="AP107" s="1308"/>
      <c r="AQ107" s="1308"/>
      <c r="AR107" s="1308"/>
      <c r="AS107" s="1308"/>
      <c r="AT107" s="1308"/>
      <c r="AU107" s="1308"/>
      <c r="AV107" s="1308"/>
      <c r="AW107" s="1308"/>
      <c r="AX107" s="1308"/>
      <c r="AY107" s="1308"/>
      <c r="AZ107" s="1308"/>
      <c r="BA107" s="1308"/>
      <c r="BB107" s="1308"/>
      <c r="BC107" s="1308"/>
      <c r="BD107" s="1308"/>
      <c r="BE107" s="1308"/>
      <c r="BF107" s="1308"/>
      <c r="BG107" s="1308"/>
      <c r="BH107" s="1308"/>
      <c r="BI107" s="1308"/>
      <c r="BJ107" s="1308"/>
      <c r="BK107" s="1308"/>
      <c r="BL107" s="1308"/>
      <c r="BM107" s="1308"/>
      <c r="BN107" s="1308"/>
      <c r="BO107" s="1308"/>
      <c r="BP107" s="1308"/>
      <c r="BQ107" s="1308"/>
      <c r="BR107" s="1308"/>
      <c r="BS107" s="1308"/>
      <c r="BT107" s="1308"/>
      <c r="BU107" s="1308"/>
      <c r="BV107" s="860"/>
      <c r="BW107" s="860"/>
      <c r="BX107" s="860"/>
      <c r="BY107" s="860"/>
      <c r="BZ107" s="860"/>
      <c r="CA107" s="860"/>
      <c r="CB107" s="860"/>
      <c r="CC107" s="860"/>
      <c r="CD107" s="860"/>
      <c r="CE107" s="860"/>
    </row>
    <row r="108" spans="1:83" s="855" customFormat="1" ht="15.75" customHeight="1" x14ac:dyDescent="0.2">
      <c r="A108" s="868" t="s">
        <v>410</v>
      </c>
      <c r="B108" s="869"/>
      <c r="C108" s="1360" t="s">
        <v>409</v>
      </c>
      <c r="D108" s="1361"/>
      <c r="E108" s="1360" t="s">
        <v>42</v>
      </c>
      <c r="F108" s="1361"/>
      <c r="G108" s="1359" t="s">
        <v>560</v>
      </c>
      <c r="H108" s="1359"/>
      <c r="I108" s="1362" t="s">
        <v>415</v>
      </c>
      <c r="J108" s="1363"/>
      <c r="K108" s="35"/>
      <c r="L108" s="853"/>
      <c r="M108" s="1215"/>
      <c r="N108" s="1215"/>
      <c r="O108" s="1215"/>
      <c r="P108" s="1215"/>
      <c r="Q108" s="1215"/>
      <c r="R108" s="1215"/>
      <c r="S108" s="1215"/>
      <c r="T108" s="1215"/>
      <c r="U108" s="1215"/>
      <c r="V108" s="1215"/>
      <c r="W108" s="1215"/>
      <c r="X108" s="1215"/>
      <c r="Y108" s="1215"/>
      <c r="Z108" s="1215"/>
      <c r="AA108" s="1215"/>
      <c r="AB108" s="1215"/>
      <c r="AC108" s="1215"/>
      <c r="AD108" s="1215"/>
      <c r="AE108" s="1215"/>
      <c r="AF108" s="1215"/>
      <c r="AG108" s="1215"/>
      <c r="AH108" s="1215"/>
      <c r="AI108" s="1215"/>
      <c r="AJ108" s="1215"/>
      <c r="AK108" s="1215"/>
      <c r="AL108" s="1215"/>
      <c r="AM108" s="1215"/>
      <c r="AN108" s="1215"/>
      <c r="AO108" s="1215"/>
      <c r="AP108" s="1215"/>
      <c r="AQ108" s="1215"/>
      <c r="AR108" s="1215"/>
      <c r="AS108" s="1215"/>
      <c r="AT108" s="1215"/>
      <c r="AU108" s="1215"/>
      <c r="AV108" s="1215"/>
      <c r="AW108" s="1215"/>
      <c r="AX108" s="1215"/>
      <c r="AY108" s="1215"/>
      <c r="AZ108" s="1215"/>
      <c r="BA108" s="1215"/>
      <c r="BB108" s="1215"/>
      <c r="BC108" s="1215"/>
      <c r="BD108" s="1215"/>
      <c r="BE108" s="1215"/>
      <c r="BF108" s="1215"/>
      <c r="BG108" s="1215"/>
      <c r="BH108" s="1215"/>
      <c r="BI108" s="1215"/>
      <c r="BJ108" s="1215"/>
      <c r="BK108" s="1215"/>
      <c r="BL108" s="1215"/>
      <c r="BM108" s="1215"/>
      <c r="BN108" s="1215"/>
      <c r="BO108" s="1215"/>
      <c r="BP108" s="1215"/>
      <c r="BQ108" s="1215"/>
      <c r="BR108" s="1215"/>
      <c r="BS108" s="1215"/>
      <c r="BT108" s="1215"/>
      <c r="BU108" s="1215"/>
      <c r="BV108" s="853"/>
      <c r="BW108" s="853"/>
      <c r="BX108" s="853"/>
      <c r="BY108" s="853"/>
      <c r="BZ108" s="853"/>
      <c r="CA108" s="853"/>
      <c r="CB108" s="853"/>
      <c r="CC108" s="853"/>
      <c r="CD108" s="853"/>
      <c r="CE108" s="853"/>
    </row>
    <row r="109" spans="1:83" s="855" customFormat="1" ht="16.5" customHeight="1" thickBot="1" x14ac:dyDescent="0.25">
      <c r="A109" s="870"/>
      <c r="B109" s="871"/>
      <c r="C109" s="1398" t="s">
        <v>506</v>
      </c>
      <c r="D109" s="1365"/>
      <c r="E109" s="1398" t="s">
        <v>41</v>
      </c>
      <c r="F109" s="1365"/>
      <c r="G109" s="1364" t="s">
        <v>41</v>
      </c>
      <c r="H109" s="1364"/>
      <c r="I109" s="872" t="s">
        <v>391</v>
      </c>
      <c r="J109" s="938" t="s">
        <v>392</v>
      </c>
      <c r="K109" s="35"/>
      <c r="L109" s="853"/>
      <c r="M109" s="1215"/>
      <c r="N109" s="1215"/>
      <c r="O109" s="1215"/>
      <c r="P109" s="1215"/>
      <c r="Q109" s="1215"/>
      <c r="R109" s="1215"/>
      <c r="S109" s="1215"/>
      <c r="T109" s="1215"/>
      <c r="U109" s="1215"/>
      <c r="V109" s="1215"/>
      <c r="W109" s="1215"/>
      <c r="X109" s="1215"/>
      <c r="Y109" s="1215"/>
      <c r="Z109" s="1215"/>
      <c r="AA109" s="1215"/>
      <c r="AB109" s="1215"/>
      <c r="AC109" s="1215"/>
      <c r="AD109" s="1215"/>
      <c r="AE109" s="1215"/>
      <c r="AF109" s="1215"/>
      <c r="AG109" s="1215"/>
      <c r="AH109" s="1215"/>
      <c r="AI109" s="1215"/>
      <c r="AJ109" s="1215"/>
      <c r="AK109" s="1215"/>
      <c r="AL109" s="1215"/>
      <c r="AM109" s="1215"/>
      <c r="AN109" s="1215"/>
      <c r="AO109" s="1215"/>
      <c r="AP109" s="1215"/>
      <c r="AQ109" s="1215"/>
      <c r="AR109" s="1215"/>
      <c r="AS109" s="1215"/>
      <c r="AT109" s="1215"/>
      <c r="AU109" s="1215"/>
      <c r="AV109" s="1215"/>
      <c r="AW109" s="1215"/>
      <c r="AX109" s="1215"/>
      <c r="AY109" s="1215"/>
      <c r="AZ109" s="1215"/>
      <c r="BA109" s="1215"/>
      <c r="BB109" s="1215"/>
      <c r="BC109" s="1215"/>
      <c r="BD109" s="1215"/>
      <c r="BE109" s="1215"/>
      <c r="BF109" s="1215"/>
      <c r="BG109" s="1215"/>
      <c r="BH109" s="1215"/>
      <c r="BI109" s="1215"/>
      <c r="BJ109" s="1215"/>
      <c r="BK109" s="1215"/>
      <c r="BL109" s="1215"/>
      <c r="BM109" s="1215"/>
      <c r="BN109" s="1215"/>
      <c r="BO109" s="1215"/>
      <c r="BP109" s="1215"/>
      <c r="BQ109" s="1215"/>
      <c r="BR109" s="1215"/>
      <c r="BS109" s="1215"/>
      <c r="BT109" s="1215"/>
      <c r="BU109" s="1215"/>
      <c r="BV109" s="853"/>
      <c r="BW109" s="853"/>
      <c r="BX109" s="853"/>
      <c r="BY109" s="853"/>
      <c r="BZ109" s="853"/>
      <c r="CA109" s="853"/>
      <c r="CB109" s="853"/>
      <c r="CC109" s="853"/>
      <c r="CD109" s="853"/>
      <c r="CE109" s="853"/>
    </row>
    <row r="110" spans="1:83" s="855" customFormat="1" ht="18" customHeight="1" x14ac:dyDescent="0.2">
      <c r="A110" s="1425" t="s">
        <v>43</v>
      </c>
      <c r="B110" s="1426"/>
      <c r="C110" s="1431" t="s">
        <v>391</v>
      </c>
      <c r="D110" s="1432"/>
      <c r="E110" s="1435"/>
      <c r="F110" s="1418"/>
      <c r="G110" s="1418"/>
      <c r="H110" s="1419"/>
      <c r="I110" s="1163" t="str">
        <f>IF(M110=TRUE,E110/2*E110/2*3.1415926*G110," ")</f>
        <v xml:space="preserve"> </v>
      </c>
      <c r="J110" s="955"/>
      <c r="K110" s="35"/>
      <c r="L110" s="853"/>
      <c r="M110" s="1215" t="b">
        <f>AND(E110&gt;0.1,G110&gt;0.1)</f>
        <v>0</v>
      </c>
      <c r="N110" s="1215"/>
      <c r="O110" s="1215"/>
      <c r="P110" s="1215"/>
      <c r="Q110" s="1215"/>
      <c r="R110" s="1215"/>
      <c r="S110" s="1215"/>
      <c r="T110" s="1215"/>
      <c r="U110" s="1215"/>
      <c r="V110" s="1215"/>
      <c r="W110" s="1215"/>
      <c r="X110" s="1215"/>
      <c r="Y110" s="1215"/>
      <c r="Z110" s="1215"/>
      <c r="AA110" s="1215"/>
      <c r="AB110" s="1215"/>
      <c r="AC110" s="1215"/>
      <c r="AD110" s="1215"/>
      <c r="AE110" s="1215"/>
      <c r="AF110" s="1215"/>
      <c r="AG110" s="1215"/>
      <c r="AH110" s="1215"/>
      <c r="AI110" s="1215"/>
      <c r="AJ110" s="1215"/>
      <c r="AK110" s="1215"/>
      <c r="AL110" s="1215"/>
      <c r="AM110" s="1215"/>
      <c r="AN110" s="1215"/>
      <c r="AO110" s="1215"/>
      <c r="AP110" s="1215"/>
      <c r="AQ110" s="1215"/>
      <c r="AR110" s="1215"/>
      <c r="AS110" s="1215"/>
      <c r="AT110" s="1215"/>
      <c r="AU110" s="1215"/>
      <c r="AV110" s="1215"/>
      <c r="AW110" s="1215"/>
      <c r="AX110" s="1215"/>
      <c r="AY110" s="1215"/>
      <c r="AZ110" s="1215"/>
      <c r="BA110" s="1215"/>
      <c r="BB110" s="1215"/>
      <c r="BC110" s="1215"/>
      <c r="BD110" s="1215"/>
      <c r="BE110" s="1215"/>
      <c r="BF110" s="1215"/>
      <c r="BG110" s="1215"/>
      <c r="BH110" s="1215"/>
      <c r="BI110" s="1215"/>
      <c r="BJ110" s="1215"/>
      <c r="BK110" s="1215"/>
      <c r="BL110" s="1215"/>
      <c r="BM110" s="1215"/>
      <c r="BN110" s="1215"/>
      <c r="BO110" s="1215"/>
      <c r="BP110" s="1215"/>
      <c r="BQ110" s="1215"/>
      <c r="BR110" s="1215"/>
      <c r="BS110" s="1215"/>
      <c r="BT110" s="1215"/>
      <c r="BU110" s="1215"/>
      <c r="BV110" s="853"/>
      <c r="BW110" s="853"/>
      <c r="BX110" s="853"/>
      <c r="BY110" s="853"/>
      <c r="BZ110" s="853"/>
      <c r="CA110" s="853"/>
      <c r="CB110" s="853"/>
      <c r="CC110" s="853"/>
      <c r="CD110" s="853"/>
      <c r="CE110" s="853"/>
    </row>
    <row r="111" spans="1:83" s="855" customFormat="1" ht="18" customHeight="1" x14ac:dyDescent="0.2">
      <c r="A111" s="1403" t="s">
        <v>44</v>
      </c>
      <c r="B111" s="1427"/>
      <c r="C111" s="1389" t="s">
        <v>391</v>
      </c>
      <c r="D111" s="1390"/>
      <c r="E111" s="1417"/>
      <c r="F111" s="1387"/>
      <c r="G111" s="1387"/>
      <c r="H111" s="1388"/>
      <c r="I111" s="1164" t="str">
        <f>IF(M111=TRUE,E111/2*E111/2*3.1415926*G111," ")</f>
        <v xml:space="preserve"> </v>
      </c>
      <c r="J111" s="956"/>
      <c r="K111" s="35"/>
      <c r="L111" s="853"/>
      <c r="M111" s="1215" t="b">
        <f>AND(E111&gt;0.1,G111&gt;0.1)</f>
        <v>0</v>
      </c>
      <c r="N111" s="1215"/>
      <c r="O111" s="1215"/>
      <c r="P111" s="1215"/>
      <c r="Q111" s="1215"/>
      <c r="R111" s="1215"/>
      <c r="S111" s="1215"/>
      <c r="T111" s="1215"/>
      <c r="U111" s="1215"/>
      <c r="V111" s="1215"/>
      <c r="W111" s="1215"/>
      <c r="X111" s="1215"/>
      <c r="Y111" s="1215"/>
      <c r="Z111" s="1215"/>
      <c r="AA111" s="1215"/>
      <c r="AB111" s="1215"/>
      <c r="AC111" s="1215"/>
      <c r="AD111" s="1215"/>
      <c r="AE111" s="1215"/>
      <c r="AF111" s="1215"/>
      <c r="AG111" s="1215"/>
      <c r="AH111" s="1215"/>
      <c r="AI111" s="1215"/>
      <c r="AJ111" s="1215"/>
      <c r="AK111" s="1215"/>
      <c r="AL111" s="1215"/>
      <c r="AM111" s="1215"/>
      <c r="AN111" s="1215"/>
      <c r="AO111" s="1215"/>
      <c r="AP111" s="1215"/>
      <c r="AQ111" s="1215"/>
      <c r="AR111" s="1215"/>
      <c r="AS111" s="1215"/>
      <c r="AT111" s="1215"/>
      <c r="AU111" s="1215"/>
      <c r="AV111" s="1215"/>
      <c r="AW111" s="1215"/>
      <c r="AX111" s="1215"/>
      <c r="AY111" s="1215"/>
      <c r="AZ111" s="1215"/>
      <c r="BA111" s="1215"/>
      <c r="BB111" s="1215"/>
      <c r="BC111" s="1215"/>
      <c r="BD111" s="1215"/>
      <c r="BE111" s="1215"/>
      <c r="BF111" s="1215"/>
      <c r="BG111" s="1215"/>
      <c r="BH111" s="1215"/>
      <c r="BI111" s="1215"/>
      <c r="BJ111" s="1215"/>
      <c r="BK111" s="1215"/>
      <c r="BL111" s="1215"/>
      <c r="BM111" s="1215"/>
      <c r="BN111" s="1215"/>
      <c r="BO111" s="1215"/>
      <c r="BP111" s="1215"/>
      <c r="BQ111" s="1215"/>
      <c r="BR111" s="1215"/>
      <c r="BS111" s="1215"/>
      <c r="BT111" s="1215"/>
      <c r="BU111" s="1215"/>
      <c r="BV111" s="853"/>
      <c r="BW111" s="853"/>
      <c r="BX111" s="853"/>
      <c r="BY111" s="853"/>
      <c r="BZ111" s="853"/>
      <c r="CA111" s="853"/>
      <c r="CB111" s="853"/>
      <c r="CC111" s="853"/>
      <c r="CD111" s="853"/>
      <c r="CE111" s="853"/>
    </row>
    <row r="112" spans="1:83" s="855" customFormat="1" ht="18" customHeight="1" x14ac:dyDescent="0.2">
      <c r="A112" s="1403" t="s">
        <v>45</v>
      </c>
      <c r="B112" s="1427"/>
      <c r="C112" s="1389" t="s">
        <v>391</v>
      </c>
      <c r="D112" s="1390"/>
      <c r="E112" s="1417"/>
      <c r="F112" s="1387"/>
      <c r="G112" s="1387"/>
      <c r="H112" s="1388"/>
      <c r="I112" s="1164" t="str">
        <f>IF(M112=TRUE,E112/2*E112/2*3.1415926*G112," ")</f>
        <v xml:space="preserve"> </v>
      </c>
      <c r="J112" s="956"/>
      <c r="K112" s="35"/>
      <c r="L112" s="853"/>
      <c r="M112" s="1215" t="b">
        <f>AND(E112&gt;0.1,G112&gt;0.1)</f>
        <v>0</v>
      </c>
      <c r="N112" s="1215"/>
      <c r="O112" s="1215"/>
      <c r="P112" s="1215"/>
      <c r="Q112" s="1215"/>
      <c r="R112" s="1215"/>
      <c r="S112" s="1215"/>
      <c r="T112" s="1215"/>
      <c r="U112" s="1215"/>
      <c r="V112" s="1215"/>
      <c r="W112" s="1215"/>
      <c r="X112" s="1215"/>
      <c r="Y112" s="1215"/>
      <c r="Z112" s="1215"/>
      <c r="AA112" s="1215"/>
      <c r="AB112" s="1215"/>
      <c r="AC112" s="1215"/>
      <c r="AD112" s="1215"/>
      <c r="AE112" s="1215"/>
      <c r="AF112" s="1215"/>
      <c r="AG112" s="1215"/>
      <c r="AH112" s="1215"/>
      <c r="AI112" s="1215"/>
      <c r="AJ112" s="1215"/>
      <c r="AK112" s="1215"/>
      <c r="AL112" s="1215"/>
      <c r="AM112" s="1215"/>
      <c r="AN112" s="1215"/>
      <c r="AO112" s="1215"/>
      <c r="AP112" s="1215"/>
      <c r="AQ112" s="1215"/>
      <c r="AR112" s="1215"/>
      <c r="AS112" s="1215"/>
      <c r="AT112" s="1215"/>
      <c r="AU112" s="1215"/>
      <c r="AV112" s="1215"/>
      <c r="AW112" s="1215"/>
      <c r="AX112" s="1215"/>
      <c r="AY112" s="1215"/>
      <c r="AZ112" s="1215"/>
      <c r="BA112" s="1215"/>
      <c r="BB112" s="1215"/>
      <c r="BC112" s="1215"/>
      <c r="BD112" s="1215"/>
      <c r="BE112" s="1215"/>
      <c r="BF112" s="1215"/>
      <c r="BG112" s="1215"/>
      <c r="BH112" s="1215"/>
      <c r="BI112" s="1215"/>
      <c r="BJ112" s="1215"/>
      <c r="BK112" s="1215"/>
      <c r="BL112" s="1215"/>
      <c r="BM112" s="1215"/>
      <c r="BN112" s="1215"/>
      <c r="BO112" s="1215"/>
      <c r="BP112" s="1215"/>
      <c r="BQ112" s="1215"/>
      <c r="BR112" s="1215"/>
      <c r="BS112" s="1215"/>
      <c r="BT112" s="1215"/>
      <c r="BU112" s="1215"/>
      <c r="BV112" s="853"/>
      <c r="BW112" s="853"/>
      <c r="BX112" s="853"/>
      <c r="BY112" s="853"/>
      <c r="BZ112" s="853"/>
      <c r="CA112" s="853"/>
      <c r="CB112" s="853"/>
      <c r="CC112" s="853"/>
      <c r="CD112" s="853"/>
      <c r="CE112" s="853"/>
    </row>
    <row r="113" spans="1:83" s="855" customFormat="1" ht="18" customHeight="1" thickBot="1" x14ac:dyDescent="0.25">
      <c r="A113" s="1454" t="s">
        <v>47</v>
      </c>
      <c r="B113" s="1455"/>
      <c r="C113" s="1438" t="s">
        <v>391</v>
      </c>
      <c r="D113" s="1439"/>
      <c r="E113" s="1407"/>
      <c r="F113" s="1401"/>
      <c r="G113" s="1401"/>
      <c r="H113" s="1402"/>
      <c r="I113" s="1165" t="str">
        <f>IF(M113=TRUE,E113/2*E113/2*3.1415926*G113," ")</f>
        <v xml:space="preserve"> </v>
      </c>
      <c r="J113" s="957"/>
      <c r="K113" s="35"/>
      <c r="L113" s="853"/>
      <c r="M113" s="1215" t="b">
        <f>AND(E113&gt;0.1,G113&gt;0.1)</f>
        <v>0</v>
      </c>
      <c r="N113" s="1215"/>
      <c r="O113" s="1215"/>
      <c r="P113" s="1215"/>
      <c r="Q113" s="1215"/>
      <c r="R113" s="1215"/>
      <c r="S113" s="1215"/>
      <c r="T113" s="1215"/>
      <c r="U113" s="1215"/>
      <c r="V113" s="1215"/>
      <c r="W113" s="1215"/>
      <c r="X113" s="1215"/>
      <c r="Y113" s="1215"/>
      <c r="Z113" s="1215"/>
      <c r="AA113" s="1215"/>
      <c r="AB113" s="1215"/>
      <c r="AC113" s="1215"/>
      <c r="AD113" s="1215"/>
      <c r="AE113" s="1215"/>
      <c r="AF113" s="1215"/>
      <c r="AG113" s="1215"/>
      <c r="AH113" s="1215"/>
      <c r="AI113" s="1215"/>
      <c r="AJ113" s="1215"/>
      <c r="AK113" s="1215"/>
      <c r="AL113" s="1215"/>
      <c r="AM113" s="1215"/>
      <c r="AN113" s="1215"/>
      <c r="AO113" s="1215"/>
      <c r="AP113" s="1215"/>
      <c r="AQ113" s="1215"/>
      <c r="AR113" s="1215"/>
      <c r="AS113" s="1215"/>
      <c r="AT113" s="1215"/>
      <c r="AU113" s="1215"/>
      <c r="AV113" s="1215"/>
      <c r="AW113" s="1215"/>
      <c r="AX113" s="1215"/>
      <c r="AY113" s="1215"/>
      <c r="AZ113" s="1215"/>
      <c r="BA113" s="1215"/>
      <c r="BB113" s="1215"/>
      <c r="BC113" s="1215"/>
      <c r="BD113" s="1215"/>
      <c r="BE113" s="1215"/>
      <c r="BF113" s="1215"/>
      <c r="BG113" s="1215"/>
      <c r="BH113" s="1215"/>
      <c r="BI113" s="1215"/>
      <c r="BJ113" s="1215"/>
      <c r="BK113" s="1215"/>
      <c r="BL113" s="1215"/>
      <c r="BM113" s="1215"/>
      <c r="BN113" s="1215"/>
      <c r="BO113" s="1215"/>
      <c r="BP113" s="1215"/>
      <c r="BQ113" s="1215"/>
      <c r="BR113" s="1215"/>
      <c r="BS113" s="1215"/>
      <c r="BT113" s="1215"/>
      <c r="BU113" s="1215"/>
      <c r="BV113" s="853"/>
      <c r="BW113" s="853"/>
      <c r="BX113" s="853"/>
      <c r="BY113" s="853"/>
      <c r="BZ113" s="853"/>
      <c r="CA113" s="853"/>
      <c r="CB113" s="853"/>
      <c r="CC113" s="853"/>
      <c r="CD113" s="853"/>
      <c r="CE113" s="853"/>
    </row>
    <row r="114" spans="1:83" s="855" customFormat="1" ht="16.5" customHeight="1" x14ac:dyDescent="0.2">
      <c r="A114" s="873" t="s">
        <v>411</v>
      </c>
      <c r="B114" s="874"/>
      <c r="C114" s="1398" t="s">
        <v>409</v>
      </c>
      <c r="D114" s="1365"/>
      <c r="E114" s="937" t="s">
        <v>46</v>
      </c>
      <c r="F114" s="937" t="s">
        <v>51</v>
      </c>
      <c r="G114" s="1398" t="s">
        <v>560</v>
      </c>
      <c r="H114" s="1364"/>
      <c r="I114" s="906"/>
      <c r="J114" s="899"/>
      <c r="K114" s="35"/>
      <c r="L114" s="853"/>
      <c r="M114" s="1215"/>
      <c r="N114" s="1215"/>
      <c r="O114" s="1215"/>
      <c r="P114" s="1215"/>
      <c r="Q114" s="1215"/>
      <c r="R114" s="1215"/>
      <c r="S114" s="1215"/>
      <c r="T114" s="1215"/>
      <c r="U114" s="1215"/>
      <c r="V114" s="1215"/>
      <c r="W114" s="1215"/>
      <c r="X114" s="1215"/>
      <c r="Y114" s="1215"/>
      <c r="Z114" s="1215"/>
      <c r="AA114" s="1215"/>
      <c r="AB114" s="1215"/>
      <c r="AC114" s="1215"/>
      <c r="AD114" s="1215"/>
      <c r="AE114" s="1215"/>
      <c r="AF114" s="1215"/>
      <c r="AG114" s="1215"/>
      <c r="AH114" s="1215"/>
      <c r="AI114" s="1215"/>
      <c r="AJ114" s="1215"/>
      <c r="AK114" s="1215"/>
      <c r="AL114" s="1215"/>
      <c r="AM114" s="1215"/>
      <c r="AN114" s="1215"/>
      <c r="AO114" s="1215"/>
      <c r="AP114" s="1215"/>
      <c r="AQ114" s="1215"/>
      <c r="AR114" s="1215"/>
      <c r="AS114" s="1215"/>
      <c r="AT114" s="1215"/>
      <c r="AU114" s="1215"/>
      <c r="AV114" s="1215"/>
      <c r="AW114" s="1215"/>
      <c r="AX114" s="1215"/>
      <c r="AY114" s="1215"/>
      <c r="AZ114" s="1215"/>
      <c r="BA114" s="1215"/>
      <c r="BB114" s="1215"/>
      <c r="BC114" s="1215"/>
      <c r="BD114" s="1215"/>
      <c r="BE114" s="1215"/>
      <c r="BF114" s="1215"/>
      <c r="BG114" s="1215"/>
      <c r="BH114" s="1215"/>
      <c r="BI114" s="1215"/>
      <c r="BJ114" s="1215"/>
      <c r="BK114" s="1215"/>
      <c r="BL114" s="1215"/>
      <c r="BM114" s="1215"/>
      <c r="BN114" s="1215"/>
      <c r="BO114" s="1215"/>
      <c r="BP114" s="1215"/>
      <c r="BQ114" s="1215"/>
      <c r="BR114" s="1215"/>
      <c r="BS114" s="1215"/>
      <c r="BT114" s="1215"/>
      <c r="BU114" s="1215"/>
      <c r="BV114" s="853"/>
      <c r="BW114" s="853"/>
      <c r="BX114" s="853"/>
      <c r="BY114" s="853"/>
      <c r="BZ114" s="853"/>
      <c r="CA114" s="853"/>
      <c r="CB114" s="853"/>
      <c r="CC114" s="853"/>
      <c r="CD114" s="853"/>
      <c r="CE114" s="853"/>
    </row>
    <row r="115" spans="1:83" s="855" customFormat="1" ht="16.5" customHeight="1" thickBot="1" x14ac:dyDescent="0.25">
      <c r="A115" s="873" t="s">
        <v>412</v>
      </c>
      <c r="B115" s="874"/>
      <c r="C115" s="1398" t="s">
        <v>506</v>
      </c>
      <c r="D115" s="1365"/>
      <c r="E115" s="937" t="s">
        <v>41</v>
      </c>
      <c r="F115" s="937" t="s">
        <v>41</v>
      </c>
      <c r="G115" s="1405" t="s">
        <v>41</v>
      </c>
      <c r="H115" s="1406"/>
      <c r="I115" s="899"/>
      <c r="J115" s="899"/>
      <c r="K115" s="35"/>
      <c r="L115" s="853"/>
      <c r="M115" s="1215"/>
      <c r="N115" s="1215"/>
      <c r="O115" s="1215"/>
      <c r="P115" s="1215"/>
      <c r="Q115" s="1215"/>
      <c r="R115" s="1215" t="s">
        <v>27</v>
      </c>
      <c r="S115" s="1215"/>
      <c r="T115" s="1215"/>
      <c r="U115" s="1215"/>
      <c r="V115" s="1215"/>
      <c r="W115" s="1215"/>
      <c r="X115" s="1215"/>
      <c r="Y115" s="1215"/>
      <c r="Z115" s="1215"/>
      <c r="AA115" s="1215"/>
      <c r="AB115" s="1215"/>
      <c r="AC115" s="1215"/>
      <c r="AD115" s="1215"/>
      <c r="AE115" s="1215"/>
      <c r="AF115" s="1215"/>
      <c r="AG115" s="1215"/>
      <c r="AH115" s="1215"/>
      <c r="AI115" s="1215"/>
      <c r="AJ115" s="1215"/>
      <c r="AK115" s="1215"/>
      <c r="AL115" s="1215"/>
      <c r="AM115" s="1215"/>
      <c r="AN115" s="1215"/>
      <c r="AO115" s="1215"/>
      <c r="AP115" s="1215"/>
      <c r="AQ115" s="1215"/>
      <c r="AR115" s="1215"/>
      <c r="AS115" s="1215"/>
      <c r="AT115" s="1215"/>
      <c r="AU115" s="1215"/>
      <c r="AV115" s="1215"/>
      <c r="AW115" s="1215"/>
      <c r="AX115" s="1215"/>
      <c r="AY115" s="1215"/>
      <c r="AZ115" s="1215"/>
      <c r="BA115" s="1215"/>
      <c r="BB115" s="1215"/>
      <c r="BC115" s="1215"/>
      <c r="BD115" s="1215"/>
      <c r="BE115" s="1215"/>
      <c r="BF115" s="1215"/>
      <c r="BG115" s="1215"/>
      <c r="BH115" s="1215"/>
      <c r="BI115" s="1215"/>
      <c r="BJ115" s="1215"/>
      <c r="BK115" s="1215"/>
      <c r="BL115" s="1215"/>
      <c r="BM115" s="1215"/>
      <c r="BN115" s="1215"/>
      <c r="BO115" s="1215"/>
      <c r="BP115" s="1215"/>
      <c r="BQ115" s="1215"/>
      <c r="BR115" s="1215"/>
      <c r="BS115" s="1215"/>
      <c r="BT115" s="1215"/>
      <c r="BU115" s="1215"/>
      <c r="BV115" s="853"/>
      <c r="BW115" s="853"/>
      <c r="BX115" s="853"/>
      <c r="BY115" s="853"/>
      <c r="BZ115" s="853"/>
      <c r="CA115" s="853"/>
      <c r="CB115" s="853"/>
      <c r="CC115" s="853"/>
      <c r="CD115" s="853"/>
      <c r="CE115" s="853"/>
    </row>
    <row r="116" spans="1:83" s="855" customFormat="1" ht="18" customHeight="1" x14ac:dyDescent="0.2">
      <c r="A116" s="1425" t="s">
        <v>413</v>
      </c>
      <c r="B116" s="1443"/>
      <c r="C116" s="1459"/>
      <c r="D116" s="1460"/>
      <c r="E116" s="952"/>
      <c r="F116" s="911"/>
      <c r="G116" s="1418"/>
      <c r="H116" s="1419"/>
      <c r="I116" s="1163" t="str">
        <f>IF(M116=TRUE,IF(U116=2,E116*F116*G116," ")," ")</f>
        <v xml:space="preserve"> </v>
      </c>
      <c r="J116" s="1166" t="str">
        <f>IF(M116=TRUE,IF(U116=3,E116*F116*G116," ")," ")</f>
        <v xml:space="preserve"> </v>
      </c>
      <c r="K116" s="35"/>
      <c r="L116" s="853"/>
      <c r="M116" s="1215" t="b">
        <f>AND(E116&gt;0.1,F116&gt;0.1,G116&gt;0.1)</f>
        <v>0</v>
      </c>
      <c r="N116" s="1215"/>
      <c r="O116" s="1215"/>
      <c r="P116" s="1215"/>
      <c r="Q116" s="1215"/>
      <c r="R116" s="1215" t="s">
        <v>391</v>
      </c>
      <c r="S116" s="1215"/>
      <c r="T116" s="1215"/>
      <c r="U116" s="1215">
        <v>1</v>
      </c>
      <c r="V116" s="1215"/>
      <c r="W116" s="1215"/>
      <c r="X116" s="1215"/>
      <c r="Y116" s="1215"/>
      <c r="Z116" s="1215"/>
      <c r="AA116" s="1215"/>
      <c r="AB116" s="1215"/>
      <c r="AC116" s="1215"/>
      <c r="AD116" s="1215"/>
      <c r="AE116" s="1215"/>
      <c r="AF116" s="1215"/>
      <c r="AG116" s="1215"/>
      <c r="AH116" s="1215"/>
      <c r="AI116" s="1215"/>
      <c r="AJ116" s="1215"/>
      <c r="AK116" s="1215"/>
      <c r="AL116" s="1215"/>
      <c r="AM116" s="1215"/>
      <c r="AN116" s="1215"/>
      <c r="AO116" s="1215"/>
      <c r="AP116" s="1215"/>
      <c r="AQ116" s="1215"/>
      <c r="AR116" s="1215"/>
      <c r="AS116" s="1215"/>
      <c r="AT116" s="1215"/>
      <c r="AU116" s="1215"/>
      <c r="AV116" s="1215"/>
      <c r="AW116" s="1215"/>
      <c r="AX116" s="1215"/>
      <c r="AY116" s="1215"/>
      <c r="AZ116" s="1215"/>
      <c r="BA116" s="1215"/>
      <c r="BB116" s="1215"/>
      <c r="BC116" s="1215"/>
      <c r="BD116" s="1215"/>
      <c r="BE116" s="1215"/>
      <c r="BF116" s="1215"/>
      <c r="BG116" s="1215"/>
      <c r="BH116" s="1215"/>
      <c r="BI116" s="1215"/>
      <c r="BJ116" s="1215"/>
      <c r="BK116" s="1215"/>
      <c r="BL116" s="1215"/>
      <c r="BM116" s="1215"/>
      <c r="BN116" s="1215"/>
      <c r="BO116" s="1215"/>
      <c r="BP116" s="1215"/>
      <c r="BQ116" s="1215"/>
      <c r="BR116" s="1215"/>
      <c r="BS116" s="1215"/>
      <c r="BT116" s="1215"/>
      <c r="BU116" s="1215"/>
      <c r="BV116" s="853"/>
      <c r="BW116" s="853"/>
      <c r="BX116" s="853"/>
      <c r="BY116" s="853"/>
      <c r="BZ116" s="853"/>
      <c r="CA116" s="853"/>
      <c r="CB116" s="853"/>
      <c r="CC116" s="853"/>
      <c r="CD116" s="853"/>
      <c r="CE116" s="853"/>
    </row>
    <row r="117" spans="1:83" s="855" customFormat="1" ht="18" customHeight="1" x14ac:dyDescent="0.2">
      <c r="A117" s="1403" t="s">
        <v>449</v>
      </c>
      <c r="B117" s="1404"/>
      <c r="C117" s="1391"/>
      <c r="D117" s="1392"/>
      <c r="E117" s="953"/>
      <c r="F117" s="912"/>
      <c r="G117" s="1387"/>
      <c r="H117" s="1388"/>
      <c r="I117" s="1164" t="str">
        <f>IF(M117=TRUE,IF(U117=2,E117*F117*G117," ")," ")</f>
        <v xml:space="preserve"> </v>
      </c>
      <c r="J117" s="1167" t="str">
        <f>IF(M117=TRUE,IF(U117=3,E117*F117*G117," ")," ")</f>
        <v xml:space="preserve"> </v>
      </c>
      <c r="K117" s="35"/>
      <c r="L117" s="853"/>
      <c r="M117" s="1215" t="b">
        <f>AND(E117&gt;0.1,F117&gt;0.1,G117&gt;0.1)</f>
        <v>0</v>
      </c>
      <c r="N117" s="1215"/>
      <c r="O117" s="1215"/>
      <c r="P117" s="1215"/>
      <c r="Q117" s="1215"/>
      <c r="R117" s="1215" t="s">
        <v>392</v>
      </c>
      <c r="S117" s="1215"/>
      <c r="T117" s="1215"/>
      <c r="U117" s="1215">
        <v>1</v>
      </c>
      <c r="V117" s="1215"/>
      <c r="W117" s="1215"/>
      <c r="X117" s="1215"/>
      <c r="Y117" s="1215"/>
      <c r="Z117" s="1215"/>
      <c r="AA117" s="1215"/>
      <c r="AB117" s="1215"/>
      <c r="AC117" s="1215"/>
      <c r="AD117" s="1215"/>
      <c r="AE117" s="1215"/>
      <c r="AF117" s="1215"/>
      <c r="AG117" s="1215"/>
      <c r="AH117" s="1215"/>
      <c r="AI117" s="1215"/>
      <c r="AJ117" s="1215"/>
      <c r="AK117" s="1215"/>
      <c r="AL117" s="1215"/>
      <c r="AM117" s="1215"/>
      <c r="AN117" s="1215"/>
      <c r="AO117" s="1215"/>
      <c r="AP117" s="1215"/>
      <c r="AQ117" s="1215"/>
      <c r="AR117" s="1215"/>
      <c r="AS117" s="1215"/>
      <c r="AT117" s="1215"/>
      <c r="AU117" s="1215"/>
      <c r="AV117" s="1215"/>
      <c r="AW117" s="1215"/>
      <c r="AX117" s="1215"/>
      <c r="AY117" s="1215"/>
      <c r="AZ117" s="1215"/>
      <c r="BA117" s="1215"/>
      <c r="BB117" s="1215"/>
      <c r="BC117" s="1215"/>
      <c r="BD117" s="1215"/>
      <c r="BE117" s="1215"/>
      <c r="BF117" s="1215"/>
      <c r="BG117" s="1215"/>
      <c r="BH117" s="1215"/>
      <c r="BI117" s="1215"/>
      <c r="BJ117" s="1215"/>
      <c r="BK117" s="1215"/>
      <c r="BL117" s="1215"/>
      <c r="BM117" s="1215"/>
      <c r="BN117" s="1215"/>
      <c r="BO117" s="1215"/>
      <c r="BP117" s="1215"/>
      <c r="BQ117" s="1215"/>
      <c r="BR117" s="1215"/>
      <c r="BS117" s="1215"/>
      <c r="BT117" s="1215"/>
      <c r="BU117" s="1215"/>
      <c r="BV117" s="853"/>
      <c r="BW117" s="853"/>
      <c r="BX117" s="853"/>
      <c r="BY117" s="853"/>
      <c r="BZ117" s="853"/>
      <c r="CA117" s="853"/>
      <c r="CB117" s="853"/>
      <c r="CC117" s="853"/>
      <c r="CD117" s="853"/>
      <c r="CE117" s="853"/>
    </row>
    <row r="118" spans="1:83" s="855" customFormat="1" ht="18" customHeight="1" x14ac:dyDescent="0.2">
      <c r="A118" s="1403" t="s">
        <v>450</v>
      </c>
      <c r="B118" s="1404"/>
      <c r="C118" s="1391"/>
      <c r="D118" s="1392"/>
      <c r="E118" s="953"/>
      <c r="F118" s="912"/>
      <c r="G118" s="1387"/>
      <c r="H118" s="1388"/>
      <c r="I118" s="1164" t="str">
        <f>IF(M118=TRUE,IF(U118=2,E118*F118*G118," ")," ")</f>
        <v xml:space="preserve"> </v>
      </c>
      <c r="J118" s="1167" t="str">
        <f>IF(M118=TRUE,IF(U118=3,E118*F118*G118," ")," ")</f>
        <v xml:space="preserve"> </v>
      </c>
      <c r="K118" s="35"/>
      <c r="L118" s="853"/>
      <c r="M118" s="1215" t="b">
        <f>AND(E118&gt;0.1,F118&gt;0.1,G118&gt;0.1)</f>
        <v>0</v>
      </c>
      <c r="N118" s="1215"/>
      <c r="O118" s="1215"/>
      <c r="P118" s="1215"/>
      <c r="Q118" s="1215"/>
      <c r="R118" s="1215"/>
      <c r="S118" s="1215"/>
      <c r="T118" s="1215"/>
      <c r="U118" s="1215">
        <v>1</v>
      </c>
      <c r="V118" s="1215"/>
      <c r="W118" s="1215"/>
      <c r="X118" s="1215"/>
      <c r="Y118" s="1215"/>
      <c r="Z118" s="1215"/>
      <c r="AA118" s="1215"/>
      <c r="AB118" s="1215"/>
      <c r="AC118" s="1215"/>
      <c r="AD118" s="1215"/>
      <c r="AE118" s="1215"/>
      <c r="AF118" s="1215"/>
      <c r="AG118" s="1215"/>
      <c r="AH118" s="1215"/>
      <c r="AI118" s="1215"/>
      <c r="AJ118" s="1215"/>
      <c r="AK118" s="1215"/>
      <c r="AL118" s="1215"/>
      <c r="AM118" s="1215"/>
      <c r="AN118" s="1215"/>
      <c r="AO118" s="1215"/>
      <c r="AP118" s="1215"/>
      <c r="AQ118" s="1215"/>
      <c r="AR118" s="1215"/>
      <c r="AS118" s="1215"/>
      <c r="AT118" s="1215"/>
      <c r="AU118" s="1215"/>
      <c r="AV118" s="1215"/>
      <c r="AW118" s="1215"/>
      <c r="AX118" s="1215"/>
      <c r="AY118" s="1215"/>
      <c r="AZ118" s="1215"/>
      <c r="BA118" s="1215"/>
      <c r="BB118" s="1215"/>
      <c r="BC118" s="1215"/>
      <c r="BD118" s="1215"/>
      <c r="BE118" s="1215"/>
      <c r="BF118" s="1215"/>
      <c r="BG118" s="1215"/>
      <c r="BH118" s="1215"/>
      <c r="BI118" s="1215"/>
      <c r="BJ118" s="1215"/>
      <c r="BK118" s="1215"/>
      <c r="BL118" s="1215"/>
      <c r="BM118" s="1215"/>
      <c r="BN118" s="1215"/>
      <c r="BO118" s="1215"/>
      <c r="BP118" s="1215"/>
      <c r="BQ118" s="1215"/>
      <c r="BR118" s="1215"/>
      <c r="BS118" s="1215"/>
      <c r="BT118" s="1215"/>
      <c r="BU118" s="1215"/>
      <c r="BV118" s="853"/>
      <c r="BW118" s="853"/>
      <c r="BX118" s="853"/>
      <c r="BY118" s="853"/>
      <c r="BZ118" s="853"/>
      <c r="CA118" s="853"/>
      <c r="CB118" s="853"/>
      <c r="CC118" s="853"/>
      <c r="CD118" s="853"/>
      <c r="CE118" s="853"/>
    </row>
    <row r="119" spans="1:83" s="855" customFormat="1" ht="18" customHeight="1" thickBot="1" x14ac:dyDescent="0.25">
      <c r="A119" s="1454" t="s">
        <v>451</v>
      </c>
      <c r="B119" s="1461"/>
      <c r="C119" s="1444"/>
      <c r="D119" s="1445"/>
      <c r="E119" s="954"/>
      <c r="F119" s="913"/>
      <c r="G119" s="1401"/>
      <c r="H119" s="1402"/>
      <c r="I119" s="1165" t="str">
        <f>IF(M119=TRUE,IF(U119=2,E119*F119*G119," ")," ")</f>
        <v xml:space="preserve"> </v>
      </c>
      <c r="J119" s="1168" t="str">
        <f>IF(M119=TRUE,IF(U119=3,E119*F119*G119," ")," ")</f>
        <v xml:space="preserve"> </v>
      </c>
      <c r="K119" s="35"/>
      <c r="L119" s="853"/>
      <c r="M119" s="1215" t="b">
        <f>AND(E119&gt;0.1,F119&gt;0.1,G119&gt;0.1)</f>
        <v>0</v>
      </c>
      <c r="N119" s="1215"/>
      <c r="O119" s="1215"/>
      <c r="P119" s="1215"/>
      <c r="Q119" s="1215"/>
      <c r="R119" s="1215"/>
      <c r="S119" s="1215"/>
      <c r="T119" s="1215"/>
      <c r="U119" s="1215">
        <v>1</v>
      </c>
      <c r="V119" s="1215"/>
      <c r="W119" s="1215"/>
      <c r="X119" s="1215"/>
      <c r="Y119" s="1215"/>
      <c r="Z119" s="1215"/>
      <c r="AA119" s="1215"/>
      <c r="AB119" s="1215"/>
      <c r="AC119" s="1215"/>
      <c r="AD119" s="1215"/>
      <c r="AE119" s="1215"/>
      <c r="AF119" s="1215"/>
      <c r="AG119" s="1215"/>
      <c r="AH119" s="1215"/>
      <c r="AI119" s="1215"/>
      <c r="AJ119" s="1215"/>
      <c r="AK119" s="1215"/>
      <c r="AL119" s="1215"/>
      <c r="AM119" s="1215"/>
      <c r="AN119" s="1215"/>
      <c r="AO119" s="1215"/>
      <c r="AP119" s="1215"/>
      <c r="AQ119" s="1215"/>
      <c r="AR119" s="1215"/>
      <c r="AS119" s="1215"/>
      <c r="AT119" s="1215"/>
      <c r="AU119" s="1215"/>
      <c r="AV119" s="1215"/>
      <c r="AW119" s="1215"/>
      <c r="AX119" s="1215"/>
      <c r="AY119" s="1215"/>
      <c r="AZ119" s="1215"/>
      <c r="BA119" s="1215"/>
      <c r="BB119" s="1215"/>
      <c r="BC119" s="1215"/>
      <c r="BD119" s="1215"/>
      <c r="BE119" s="1215"/>
      <c r="BF119" s="1215"/>
      <c r="BG119" s="1215"/>
      <c r="BH119" s="1215"/>
      <c r="BI119" s="1215"/>
      <c r="BJ119" s="1215"/>
      <c r="BK119" s="1215"/>
      <c r="BL119" s="1215"/>
      <c r="BM119" s="1215"/>
      <c r="BN119" s="1215"/>
      <c r="BO119" s="1215"/>
      <c r="BP119" s="1215"/>
      <c r="BQ119" s="1215"/>
      <c r="BR119" s="1215"/>
      <c r="BS119" s="1215"/>
      <c r="BT119" s="1215"/>
      <c r="BU119" s="1215"/>
      <c r="BV119" s="853"/>
      <c r="BW119" s="853"/>
      <c r="BX119" s="853"/>
      <c r="BY119" s="853"/>
      <c r="BZ119" s="853"/>
      <c r="CA119" s="853"/>
      <c r="CB119" s="853"/>
      <c r="CC119" s="853"/>
      <c r="CD119" s="853"/>
      <c r="CE119" s="853"/>
    </row>
    <row r="120" spans="1:83" s="855" customFormat="1" ht="21" customHeight="1" thickBot="1" x14ac:dyDescent="0.25">
      <c r="A120" s="1456" t="s">
        <v>535</v>
      </c>
      <c r="B120" s="1457"/>
      <c r="C120" s="1457"/>
      <c r="D120" s="1457"/>
      <c r="E120" s="1457"/>
      <c r="F120" s="1457"/>
      <c r="G120" s="1457"/>
      <c r="H120" s="1458"/>
      <c r="I120" s="910"/>
      <c r="J120" s="910"/>
      <c r="K120" s="35"/>
      <c r="L120" s="853"/>
      <c r="M120" s="1215"/>
      <c r="N120" s="1215"/>
      <c r="O120" s="1215"/>
      <c r="P120" s="1215"/>
      <c r="Q120" s="1215"/>
      <c r="R120" s="1215"/>
      <c r="S120" s="1215"/>
      <c r="T120" s="1215"/>
      <c r="U120" s="1215"/>
      <c r="V120" s="1215"/>
      <c r="W120" s="1215"/>
      <c r="X120" s="1215"/>
      <c r="Y120" s="1215"/>
      <c r="Z120" s="1215"/>
      <c r="AA120" s="1215"/>
      <c r="AB120" s="1215"/>
      <c r="AC120" s="1215"/>
      <c r="AD120" s="1215"/>
      <c r="AE120" s="1215"/>
      <c r="AF120" s="1215"/>
      <c r="AG120" s="1215"/>
      <c r="AH120" s="1215"/>
      <c r="AI120" s="1215"/>
      <c r="AJ120" s="1215"/>
      <c r="AK120" s="1215"/>
      <c r="AL120" s="1215"/>
      <c r="AM120" s="1215"/>
      <c r="AN120" s="1215"/>
      <c r="AO120" s="1215"/>
      <c r="AP120" s="1215"/>
      <c r="AQ120" s="1215"/>
      <c r="AR120" s="1215"/>
      <c r="AS120" s="1215"/>
      <c r="AT120" s="1215"/>
      <c r="AU120" s="1215"/>
      <c r="AV120" s="1215"/>
      <c r="AW120" s="1215"/>
      <c r="AX120" s="1215"/>
      <c r="AY120" s="1215"/>
      <c r="AZ120" s="1215"/>
      <c r="BA120" s="1215"/>
      <c r="BB120" s="1215"/>
      <c r="BC120" s="1215"/>
      <c r="BD120" s="1215"/>
      <c r="BE120" s="1215"/>
      <c r="BF120" s="1215"/>
      <c r="BG120" s="1215"/>
      <c r="BH120" s="1215"/>
      <c r="BI120" s="1215"/>
      <c r="BJ120" s="1215"/>
      <c r="BK120" s="1215"/>
      <c r="BL120" s="1215"/>
      <c r="BM120" s="1215"/>
      <c r="BN120" s="1215"/>
      <c r="BO120" s="1215"/>
      <c r="BP120" s="1215"/>
      <c r="BQ120" s="1215"/>
      <c r="BR120" s="1215"/>
      <c r="BS120" s="1215"/>
      <c r="BT120" s="1215"/>
      <c r="BU120" s="1215"/>
      <c r="BV120" s="853"/>
      <c r="BW120" s="853"/>
      <c r="BX120" s="853"/>
      <c r="BY120" s="853"/>
      <c r="BZ120" s="853"/>
      <c r="CA120" s="853"/>
      <c r="CB120" s="853"/>
      <c r="CC120" s="853"/>
      <c r="CD120" s="853"/>
      <c r="CE120" s="853"/>
    </row>
    <row r="121" spans="1:83" s="855" customFormat="1" ht="18" customHeight="1" x14ac:dyDescent="0.2">
      <c r="A121" s="1447" t="s">
        <v>414</v>
      </c>
      <c r="B121" s="1448"/>
      <c r="C121" s="1435"/>
      <c r="D121" s="1418"/>
      <c r="E121" s="1418"/>
      <c r="F121" s="1418"/>
      <c r="G121" s="1418"/>
      <c r="H121" s="1419"/>
      <c r="I121" s="917"/>
      <c r="J121" s="914"/>
      <c r="K121" s="35"/>
      <c r="L121" s="853"/>
      <c r="M121" s="1215"/>
      <c r="O121" s="1215"/>
      <c r="P121" s="1215"/>
      <c r="Q121" s="1215"/>
      <c r="R121" s="1215"/>
      <c r="S121" s="1215"/>
      <c r="T121" s="1215"/>
      <c r="U121" s="1215"/>
      <c r="V121" s="1215"/>
      <c r="W121" s="1215"/>
      <c r="X121" s="1215"/>
      <c r="Y121" s="1215"/>
      <c r="Z121" s="1215"/>
      <c r="AA121" s="1215"/>
      <c r="AB121" s="1215"/>
      <c r="AC121" s="1215"/>
      <c r="AD121" s="1215"/>
      <c r="AE121" s="1215"/>
      <c r="AF121" s="1215"/>
      <c r="AG121" s="1215"/>
      <c r="AH121" s="1215"/>
      <c r="AI121" s="1215"/>
      <c r="AJ121" s="1215"/>
      <c r="AK121" s="1215"/>
      <c r="AL121" s="1215"/>
      <c r="AM121" s="1215"/>
      <c r="AN121" s="1215"/>
      <c r="AO121" s="1215"/>
      <c r="AP121" s="1215"/>
      <c r="AQ121" s="1215"/>
      <c r="AR121" s="1215"/>
      <c r="AS121" s="1215"/>
      <c r="AT121" s="1215"/>
      <c r="AU121" s="1215"/>
      <c r="AV121" s="1215"/>
      <c r="AW121" s="1215"/>
      <c r="AX121" s="1215"/>
      <c r="AY121" s="1215"/>
      <c r="AZ121" s="1215"/>
      <c r="BA121" s="1215"/>
      <c r="BB121" s="1215"/>
      <c r="BC121" s="1215"/>
      <c r="BD121" s="1215"/>
      <c r="BE121" s="1215"/>
      <c r="BF121" s="1215"/>
      <c r="BG121" s="1215"/>
      <c r="BH121" s="1215"/>
      <c r="BI121" s="1215"/>
      <c r="BJ121" s="1215"/>
      <c r="BK121" s="1215"/>
      <c r="BL121" s="1215"/>
      <c r="BM121" s="1215"/>
      <c r="BN121" s="1215"/>
      <c r="BO121" s="1215"/>
      <c r="BP121" s="1215"/>
      <c r="BQ121" s="1215"/>
      <c r="BR121" s="1215"/>
      <c r="BS121" s="1215"/>
      <c r="BT121" s="1215"/>
      <c r="BU121" s="1215"/>
      <c r="BV121" s="853"/>
      <c r="BW121" s="853"/>
      <c r="BX121" s="853"/>
      <c r="BY121" s="853"/>
      <c r="BZ121" s="853"/>
      <c r="CA121" s="853"/>
      <c r="CB121" s="853"/>
      <c r="CC121" s="853"/>
      <c r="CD121" s="853"/>
      <c r="CE121" s="853"/>
    </row>
    <row r="122" spans="1:83" s="855" customFormat="1" ht="18" customHeight="1" x14ac:dyDescent="0.2">
      <c r="A122" s="1378" t="s">
        <v>419</v>
      </c>
      <c r="B122" s="1379"/>
      <c r="C122" s="1417"/>
      <c r="D122" s="1387"/>
      <c r="E122" s="1387"/>
      <c r="F122" s="1387"/>
      <c r="G122" s="1387"/>
      <c r="H122" s="1388"/>
      <c r="I122" s="918"/>
      <c r="J122" s="915"/>
      <c r="K122" s="35"/>
      <c r="L122" s="853"/>
      <c r="M122" s="1215"/>
      <c r="N122" s="1215"/>
      <c r="O122" s="1215"/>
      <c r="P122" s="1215"/>
      <c r="Q122" s="1215"/>
      <c r="R122" s="1215"/>
      <c r="S122" s="1215"/>
      <c r="T122" s="1215"/>
      <c r="U122" s="1215"/>
      <c r="V122" s="1215"/>
      <c r="W122" s="1215"/>
      <c r="X122" s="1215"/>
      <c r="Y122" s="1215"/>
      <c r="Z122" s="1215"/>
      <c r="AA122" s="1215"/>
      <c r="AB122" s="1215"/>
      <c r="AC122" s="1215"/>
      <c r="AD122" s="1215"/>
      <c r="AE122" s="1215"/>
      <c r="AF122" s="1215"/>
      <c r="AG122" s="1215"/>
      <c r="AH122" s="1215"/>
      <c r="AI122" s="1215"/>
      <c r="AJ122" s="1215"/>
      <c r="AK122" s="1215"/>
      <c r="AL122" s="1215"/>
      <c r="AM122" s="1215"/>
      <c r="AN122" s="1215"/>
      <c r="AO122" s="1215"/>
      <c r="AP122" s="1215"/>
      <c r="AQ122" s="1215"/>
      <c r="AR122" s="1215"/>
      <c r="AS122" s="1215"/>
      <c r="AT122" s="1215"/>
      <c r="AU122" s="1215"/>
      <c r="AV122" s="1215"/>
      <c r="AW122" s="1215"/>
      <c r="AX122" s="1215"/>
      <c r="AY122" s="1215"/>
      <c r="AZ122" s="1215"/>
      <c r="BA122" s="1215"/>
      <c r="BB122" s="1215"/>
      <c r="BC122" s="1215"/>
      <c r="BD122" s="1215"/>
      <c r="BE122" s="1215"/>
      <c r="BF122" s="1215"/>
      <c r="BG122" s="1215"/>
      <c r="BH122" s="1215"/>
      <c r="BI122" s="1215"/>
      <c r="BJ122" s="1215"/>
      <c r="BK122" s="1215"/>
      <c r="BL122" s="1215"/>
      <c r="BM122" s="1215"/>
      <c r="BN122" s="1215"/>
      <c r="BO122" s="1215"/>
      <c r="BP122" s="1215"/>
      <c r="BQ122" s="1215"/>
      <c r="BR122" s="1215"/>
      <c r="BS122" s="1215"/>
      <c r="BT122" s="1215"/>
      <c r="BU122" s="1215"/>
      <c r="BV122" s="853"/>
      <c r="BW122" s="853"/>
      <c r="BX122" s="853"/>
      <c r="BY122" s="853"/>
      <c r="BZ122" s="853"/>
      <c r="CA122" s="853"/>
      <c r="CB122" s="853"/>
      <c r="CC122" s="853"/>
      <c r="CD122" s="853"/>
      <c r="CE122" s="853"/>
    </row>
    <row r="123" spans="1:83" s="855" customFormat="1" ht="18" customHeight="1" x14ac:dyDescent="0.2">
      <c r="A123" s="1378" t="s">
        <v>420</v>
      </c>
      <c r="B123" s="1379"/>
      <c r="C123" s="1417"/>
      <c r="D123" s="1387"/>
      <c r="E123" s="1387"/>
      <c r="F123" s="1387"/>
      <c r="G123" s="1387"/>
      <c r="H123" s="1388"/>
      <c r="I123" s="918"/>
      <c r="J123" s="915"/>
      <c r="K123" s="35"/>
      <c r="L123" s="853"/>
      <c r="M123" s="1215"/>
      <c r="N123" s="1215"/>
      <c r="O123" s="1215"/>
      <c r="P123" s="1215"/>
      <c r="Q123" s="1215"/>
      <c r="R123" s="1215"/>
      <c r="S123" s="1215"/>
      <c r="T123" s="1215"/>
      <c r="U123" s="1215"/>
      <c r="V123" s="1215"/>
      <c r="W123" s="1215"/>
      <c r="X123" s="1215"/>
      <c r="Y123" s="1215"/>
      <c r="Z123" s="1215"/>
      <c r="AA123" s="1215"/>
      <c r="AB123" s="1215"/>
      <c r="AC123" s="1215"/>
      <c r="AD123" s="1215"/>
      <c r="AE123" s="1215"/>
      <c r="AF123" s="1215"/>
      <c r="AG123" s="1215"/>
      <c r="AH123" s="1215"/>
      <c r="AI123" s="1215"/>
      <c r="AJ123" s="1215"/>
      <c r="AK123" s="1215"/>
      <c r="AL123" s="1215"/>
      <c r="AM123" s="1215"/>
      <c r="AN123" s="1215"/>
      <c r="AO123" s="1215"/>
      <c r="AP123" s="1215"/>
      <c r="AQ123" s="1215"/>
      <c r="AR123" s="1215"/>
      <c r="AS123" s="1215"/>
      <c r="AT123" s="1215"/>
      <c r="AU123" s="1215"/>
      <c r="AV123" s="1215"/>
      <c r="AW123" s="1215"/>
      <c r="AX123" s="1215"/>
      <c r="AY123" s="1215"/>
      <c r="AZ123" s="1215"/>
      <c r="BA123" s="1215"/>
      <c r="BB123" s="1215"/>
      <c r="BC123" s="1215"/>
      <c r="BD123" s="1215"/>
      <c r="BE123" s="1215"/>
      <c r="BF123" s="1215"/>
      <c r="BG123" s="1215"/>
      <c r="BH123" s="1215"/>
      <c r="BI123" s="1215"/>
      <c r="BJ123" s="1215"/>
      <c r="BK123" s="1215"/>
      <c r="BL123" s="1215"/>
      <c r="BM123" s="1215"/>
      <c r="BN123" s="1215"/>
      <c r="BO123" s="1215"/>
      <c r="BP123" s="1215"/>
      <c r="BQ123" s="1215"/>
      <c r="BR123" s="1215"/>
      <c r="BS123" s="1215"/>
      <c r="BT123" s="1215"/>
      <c r="BU123" s="1215"/>
      <c r="BV123" s="853"/>
      <c r="BW123" s="853"/>
      <c r="BX123" s="853"/>
      <c r="BY123" s="853"/>
      <c r="BZ123" s="853"/>
      <c r="CA123" s="853"/>
      <c r="CB123" s="853"/>
      <c r="CC123" s="853"/>
      <c r="CD123" s="853"/>
      <c r="CE123" s="853"/>
    </row>
    <row r="124" spans="1:83" s="855" customFormat="1" ht="18" customHeight="1" thickBot="1" x14ac:dyDescent="0.25">
      <c r="A124" s="1465" t="s">
        <v>421</v>
      </c>
      <c r="B124" s="1466"/>
      <c r="C124" s="1407"/>
      <c r="D124" s="1401"/>
      <c r="E124" s="1401"/>
      <c r="F124" s="1401"/>
      <c r="G124" s="1401"/>
      <c r="H124" s="1402"/>
      <c r="I124" s="919"/>
      <c r="J124" s="916"/>
      <c r="K124" s="35"/>
      <c r="L124" s="853"/>
      <c r="M124" s="1215"/>
      <c r="N124" s="1215"/>
      <c r="O124" s="1215"/>
      <c r="P124" s="1215"/>
      <c r="Q124" s="1215"/>
      <c r="R124" s="1215"/>
      <c r="S124" s="1215"/>
      <c r="T124" s="1215"/>
      <c r="U124" s="1215"/>
      <c r="V124" s="1215"/>
      <c r="W124" s="1215"/>
      <c r="X124" s="1215"/>
      <c r="Y124" s="1215"/>
      <c r="Z124" s="1215"/>
      <c r="AA124" s="1215"/>
      <c r="AB124" s="1215"/>
      <c r="AC124" s="1215"/>
      <c r="AD124" s="1215"/>
      <c r="AE124" s="1215"/>
      <c r="AF124" s="1215"/>
      <c r="AG124" s="1215"/>
      <c r="AH124" s="1215"/>
      <c r="AI124" s="1215"/>
      <c r="AJ124" s="1215"/>
      <c r="AK124" s="1215"/>
      <c r="AL124" s="1215"/>
      <c r="AM124" s="1215"/>
      <c r="AN124" s="1215"/>
      <c r="AO124" s="1215"/>
      <c r="AP124" s="1215"/>
      <c r="AQ124" s="1215"/>
      <c r="AR124" s="1215"/>
      <c r="AS124" s="1215"/>
      <c r="AT124" s="1215"/>
      <c r="AU124" s="1215"/>
      <c r="AV124" s="1215"/>
      <c r="AW124" s="1215"/>
      <c r="AX124" s="1215"/>
      <c r="AY124" s="1215"/>
      <c r="AZ124" s="1215"/>
      <c r="BA124" s="1215"/>
      <c r="BB124" s="1215"/>
      <c r="BC124" s="1215"/>
      <c r="BD124" s="1215"/>
      <c r="BE124" s="1215"/>
      <c r="BF124" s="1215"/>
      <c r="BG124" s="1215"/>
      <c r="BH124" s="1215"/>
      <c r="BI124" s="1215"/>
      <c r="BJ124" s="1215"/>
      <c r="BK124" s="1215"/>
      <c r="BL124" s="1215"/>
      <c r="BM124" s="1215"/>
      <c r="BN124" s="1215"/>
      <c r="BO124" s="1215"/>
      <c r="BP124" s="1215"/>
      <c r="BQ124" s="1215"/>
      <c r="BR124" s="1215"/>
      <c r="BS124" s="1215"/>
      <c r="BT124" s="1215"/>
      <c r="BU124" s="1215"/>
      <c r="BV124" s="853"/>
      <c r="BW124" s="853"/>
      <c r="BX124" s="853"/>
      <c r="BY124" s="853"/>
      <c r="BZ124" s="853"/>
      <c r="CA124" s="853"/>
      <c r="CB124" s="853"/>
      <c r="CC124" s="853"/>
      <c r="CD124" s="853"/>
      <c r="CE124" s="853"/>
    </row>
    <row r="125" spans="1:83" s="849" customFormat="1" ht="20.25" customHeight="1" thickBot="1" x14ac:dyDescent="0.25">
      <c r="A125" s="894" t="s">
        <v>422</v>
      </c>
      <c r="B125" s="895"/>
      <c r="C125" s="895"/>
      <c r="D125" s="1191" t="str">
        <f>IF(X131&gt;1,"Verpacht mit Vorzeichen minus"," ")</f>
        <v xml:space="preserve"> </v>
      </c>
      <c r="E125" s="897"/>
      <c r="F125" s="897"/>
      <c r="G125" s="897"/>
      <c r="H125" s="897"/>
      <c r="I125" s="946"/>
      <c r="J125" s="946"/>
      <c r="K125" s="45"/>
      <c r="L125" s="860"/>
      <c r="M125" s="1308"/>
      <c r="N125" s="1308"/>
      <c r="O125" s="1308"/>
      <c r="P125" s="1308"/>
      <c r="Q125" s="1308"/>
      <c r="R125" s="1308"/>
      <c r="S125" s="1308"/>
      <c r="T125" s="1308"/>
      <c r="U125" s="1308"/>
      <c r="V125" s="1308"/>
      <c r="W125" s="1308"/>
      <c r="X125" s="1308"/>
      <c r="Y125" s="1308"/>
      <c r="Z125" s="1308"/>
      <c r="AA125" s="1308"/>
      <c r="AB125" s="1308"/>
      <c r="AC125" s="1308"/>
      <c r="AD125" s="1308"/>
      <c r="AE125" s="1308"/>
      <c r="AF125" s="1308"/>
      <c r="AG125" s="1308"/>
      <c r="AH125" s="1308"/>
      <c r="AI125" s="1308"/>
      <c r="AJ125" s="1308"/>
      <c r="AK125" s="1308"/>
      <c r="AL125" s="1308"/>
      <c r="AM125" s="1308"/>
      <c r="AN125" s="1308"/>
      <c r="AO125" s="1308"/>
      <c r="AP125" s="1308"/>
      <c r="AQ125" s="1308"/>
      <c r="AR125" s="1308"/>
      <c r="AS125" s="1308"/>
      <c r="AT125" s="1308"/>
      <c r="AU125" s="1308"/>
      <c r="AV125" s="1308"/>
      <c r="AW125" s="1308"/>
      <c r="AX125" s="1308"/>
      <c r="AY125" s="1308"/>
      <c r="AZ125" s="1308"/>
      <c r="BA125" s="1308"/>
      <c r="BB125" s="1308"/>
      <c r="BC125" s="1308"/>
      <c r="BD125" s="1308"/>
      <c r="BE125" s="1308"/>
      <c r="BF125" s="1308"/>
      <c r="BG125" s="1308"/>
      <c r="BH125" s="1308"/>
      <c r="BI125" s="1308"/>
      <c r="BJ125" s="1308"/>
      <c r="BK125" s="1308"/>
      <c r="BL125" s="1308"/>
      <c r="BM125" s="1308"/>
      <c r="BN125" s="1308"/>
      <c r="BO125" s="1308"/>
      <c r="BP125" s="1308"/>
      <c r="BQ125" s="1308"/>
      <c r="BR125" s="1308"/>
      <c r="BS125" s="1308"/>
      <c r="BT125" s="1308"/>
      <c r="BU125" s="1308"/>
      <c r="BV125" s="860"/>
      <c r="BW125" s="860"/>
      <c r="BX125" s="860"/>
      <c r="BY125" s="860"/>
      <c r="BZ125" s="860"/>
      <c r="CA125" s="860"/>
      <c r="CB125" s="860"/>
      <c r="CC125" s="860"/>
      <c r="CD125" s="860"/>
      <c r="CE125" s="860"/>
    </row>
    <row r="126" spans="1:83" s="855" customFormat="1" ht="19.5" customHeight="1" thickBot="1" x14ac:dyDescent="0.25">
      <c r="A126" s="894" t="s">
        <v>417</v>
      </c>
      <c r="B126" s="894" t="s">
        <v>416</v>
      </c>
      <c r="C126" s="898"/>
      <c r="D126" s="939"/>
      <c r="E126" s="939"/>
      <c r="F126" s="939"/>
      <c r="G126" s="939"/>
      <c r="H126" s="939"/>
      <c r="I126" s="945"/>
      <c r="J126" s="945"/>
      <c r="K126" s="37"/>
      <c r="L126" s="854"/>
      <c r="M126" s="1274"/>
      <c r="N126" s="1274"/>
      <c r="O126" s="1274"/>
      <c r="P126" s="1274"/>
      <c r="Q126" s="1274"/>
      <c r="R126" s="1274"/>
      <c r="S126" s="1274"/>
      <c r="T126" s="1274"/>
      <c r="U126" s="1274"/>
      <c r="V126" s="1274"/>
      <c r="W126" s="1274"/>
      <c r="X126" s="1274"/>
      <c r="Y126" s="1274"/>
      <c r="Z126" s="1274"/>
      <c r="AA126" s="1274"/>
      <c r="AB126" s="1274"/>
      <c r="AC126" s="1274"/>
      <c r="AD126" s="1274"/>
      <c r="AE126" s="1274"/>
      <c r="AF126" s="1274"/>
      <c r="AG126" s="1274"/>
      <c r="AH126" s="1274"/>
      <c r="AI126" s="1274"/>
      <c r="AJ126" s="1274"/>
      <c r="AK126" s="1274"/>
      <c r="AL126" s="1274"/>
      <c r="AM126" s="1274"/>
      <c r="AN126" s="1274"/>
      <c r="AO126" s="1274"/>
      <c r="AP126" s="1274"/>
      <c r="AQ126" s="1215"/>
      <c r="AR126" s="1215"/>
      <c r="AS126" s="1215"/>
      <c r="AT126" s="1215"/>
      <c r="AU126" s="1215"/>
      <c r="AV126" s="1215"/>
      <c r="AW126" s="1215"/>
      <c r="AX126" s="1215"/>
      <c r="AY126" s="1215"/>
      <c r="AZ126" s="1215"/>
      <c r="BA126" s="1215"/>
      <c r="BB126" s="1215"/>
      <c r="BC126" s="1215"/>
      <c r="BD126" s="1215"/>
      <c r="BE126" s="1215"/>
      <c r="BF126" s="1215"/>
      <c r="BG126" s="1215"/>
      <c r="BH126" s="1215"/>
      <c r="BI126" s="1215"/>
      <c r="BJ126" s="1215"/>
      <c r="BK126" s="1215"/>
      <c r="BL126" s="1215"/>
      <c r="BM126" s="1215"/>
      <c r="BN126" s="1215"/>
      <c r="BO126" s="1215"/>
      <c r="BP126" s="1215"/>
      <c r="BQ126" s="1215"/>
      <c r="BR126" s="1215"/>
      <c r="BS126" s="1215"/>
      <c r="BT126" s="1215"/>
      <c r="BU126" s="1215"/>
      <c r="BV126" s="853"/>
      <c r="BW126" s="853"/>
      <c r="BX126" s="853"/>
      <c r="BY126" s="853"/>
      <c r="BZ126" s="853"/>
      <c r="CA126" s="853"/>
      <c r="CB126" s="853"/>
      <c r="CC126" s="853"/>
      <c r="CD126" s="853"/>
      <c r="CE126" s="853"/>
    </row>
    <row r="127" spans="1:83" s="855" customFormat="1" ht="18" customHeight="1" x14ac:dyDescent="0.2">
      <c r="A127" s="554"/>
      <c r="B127" s="1451"/>
      <c r="C127" s="1452"/>
      <c r="D127" s="1452"/>
      <c r="E127" s="1452"/>
      <c r="F127" s="1452"/>
      <c r="G127" s="1452"/>
      <c r="H127" s="1453"/>
      <c r="I127" s="1042"/>
      <c r="J127" s="1043"/>
      <c r="K127" s="37"/>
      <c r="L127" s="854"/>
      <c r="M127" s="1274"/>
      <c r="N127" s="1274"/>
      <c r="O127" s="1274"/>
      <c r="P127" s="1274"/>
      <c r="Q127" s="1274"/>
      <c r="R127" s="1215" t="s">
        <v>27</v>
      </c>
      <c r="S127" s="1274"/>
      <c r="T127" s="1274"/>
      <c r="U127" s="1274">
        <v>1</v>
      </c>
      <c r="V127" s="1274"/>
      <c r="W127" s="1274"/>
      <c r="X127" s="1274">
        <f>IF(U127=3,IF(I127&gt;0,99,IF(J127&gt;0,99,0)),0)</f>
        <v>0</v>
      </c>
      <c r="Y127" s="1274">
        <f>IF(U127=1,IF(I127&gt;0,99,IF(J127&gt;0,99,0)),0)</f>
        <v>0</v>
      </c>
      <c r="Z127" s="1274">
        <f>IF(U127=1,IF(I127&lt;0,99,IF(J127&lt;0,99,0)),0)</f>
        <v>0</v>
      </c>
      <c r="AA127" s="1274"/>
      <c r="AB127" s="1274"/>
      <c r="AC127" s="1274"/>
      <c r="AD127" s="1274"/>
      <c r="AE127" s="1274"/>
      <c r="AF127" s="1274"/>
      <c r="AG127" s="1274"/>
      <c r="AH127" s="1274"/>
      <c r="AI127" s="1274"/>
      <c r="AJ127" s="1274"/>
      <c r="AK127" s="1274"/>
      <c r="AL127" s="1274"/>
      <c r="AM127" s="1274"/>
      <c r="AN127" s="1274"/>
      <c r="AO127" s="1274"/>
      <c r="AP127" s="1274"/>
      <c r="AQ127" s="1215"/>
      <c r="AR127" s="1215"/>
      <c r="AS127" s="1215"/>
      <c r="AT127" s="1215"/>
      <c r="AU127" s="1215"/>
      <c r="AV127" s="1215"/>
      <c r="AW127" s="1215"/>
      <c r="AX127" s="1215"/>
      <c r="AY127" s="1215"/>
      <c r="AZ127" s="1215"/>
      <c r="BA127" s="1215"/>
      <c r="BB127" s="1215"/>
      <c r="BC127" s="1215"/>
      <c r="BD127" s="1215"/>
      <c r="BE127" s="1215"/>
      <c r="BF127" s="1215"/>
      <c r="BG127" s="1215"/>
      <c r="BH127" s="1215"/>
      <c r="BI127" s="1215"/>
      <c r="BJ127" s="1215"/>
      <c r="BK127" s="1215"/>
      <c r="BL127" s="1215"/>
      <c r="BM127" s="1215"/>
      <c r="BN127" s="1215"/>
      <c r="BO127" s="1215"/>
      <c r="BP127" s="1215"/>
      <c r="BQ127" s="1215"/>
      <c r="BR127" s="1215"/>
      <c r="BS127" s="1215"/>
      <c r="BT127" s="1215"/>
      <c r="BU127" s="1215"/>
      <c r="BV127" s="853"/>
      <c r="BW127" s="853"/>
      <c r="BX127" s="853"/>
      <c r="BY127" s="853"/>
      <c r="BZ127" s="853"/>
      <c r="CA127" s="853"/>
      <c r="CB127" s="853"/>
      <c r="CC127" s="853"/>
      <c r="CD127" s="853"/>
      <c r="CE127" s="853"/>
    </row>
    <row r="128" spans="1:83" s="855" customFormat="1" ht="18" customHeight="1" x14ac:dyDescent="0.2">
      <c r="A128" s="555"/>
      <c r="B128" s="1440"/>
      <c r="C128" s="1441"/>
      <c r="D128" s="1441"/>
      <c r="E128" s="1441"/>
      <c r="F128" s="1441"/>
      <c r="G128" s="1441"/>
      <c r="H128" s="1442"/>
      <c r="I128" s="918"/>
      <c r="J128" s="1044"/>
      <c r="K128" s="37"/>
      <c r="L128" s="854"/>
      <c r="M128" s="1274"/>
      <c r="N128" s="1274"/>
      <c r="O128" s="1274"/>
      <c r="P128" s="1274"/>
      <c r="Q128" s="1274"/>
      <c r="R128" s="1215" t="s">
        <v>452</v>
      </c>
      <c r="S128" s="1274"/>
      <c r="T128" s="1274"/>
      <c r="U128" s="1274">
        <v>1</v>
      </c>
      <c r="V128" s="1274"/>
      <c r="W128" s="1274"/>
      <c r="X128" s="1274">
        <f>IF(U128=3,IF(I128&gt;0,99,IF(J128&gt;0,99,0)),0)</f>
        <v>0</v>
      </c>
      <c r="Y128" s="1274">
        <f>IF(U128=1,IF(I128&gt;0,99,IF(J128&gt;0,99,0)),0)</f>
        <v>0</v>
      </c>
      <c r="Z128" s="1274">
        <f>IF(U128=1,IF(I128&lt;0,99,IF(J128&lt;0,99,0)),0)</f>
        <v>0</v>
      </c>
      <c r="AA128" s="1274"/>
      <c r="AB128" s="1274"/>
      <c r="AC128" s="1274"/>
      <c r="AD128" s="1274"/>
      <c r="AE128" s="1274"/>
      <c r="AF128" s="1274"/>
      <c r="AG128" s="1274"/>
      <c r="AH128" s="1274"/>
      <c r="AI128" s="1274"/>
      <c r="AJ128" s="1274"/>
      <c r="AK128" s="1274"/>
      <c r="AL128" s="1274"/>
      <c r="AM128" s="1274"/>
      <c r="AN128" s="1274"/>
      <c r="AO128" s="1274"/>
      <c r="AP128" s="1274"/>
      <c r="AQ128" s="1215"/>
      <c r="AR128" s="1215"/>
      <c r="AS128" s="1215"/>
      <c r="AT128" s="1215"/>
      <c r="AU128" s="1215"/>
      <c r="AV128" s="1215"/>
      <c r="AW128" s="1215"/>
      <c r="AX128" s="1215"/>
      <c r="AY128" s="1215"/>
      <c r="AZ128" s="1215"/>
      <c r="BA128" s="1215"/>
      <c r="BB128" s="1215"/>
      <c r="BC128" s="1215"/>
      <c r="BD128" s="1215"/>
      <c r="BE128" s="1215"/>
      <c r="BF128" s="1215"/>
      <c r="BG128" s="1215"/>
      <c r="BH128" s="1215"/>
      <c r="BI128" s="1215"/>
      <c r="BJ128" s="1215"/>
      <c r="BK128" s="1215"/>
      <c r="BL128" s="1215"/>
      <c r="BM128" s="1215"/>
      <c r="BN128" s="1215"/>
      <c r="BO128" s="1215"/>
      <c r="BP128" s="1215"/>
      <c r="BQ128" s="1215"/>
      <c r="BR128" s="1215"/>
      <c r="BS128" s="1215"/>
      <c r="BT128" s="1215"/>
      <c r="BU128" s="1215"/>
      <c r="BV128" s="853"/>
      <c r="BW128" s="853"/>
      <c r="BX128" s="853"/>
      <c r="BY128" s="853"/>
      <c r="BZ128" s="853"/>
      <c r="CA128" s="853"/>
      <c r="CB128" s="853"/>
      <c r="CC128" s="853"/>
      <c r="CD128" s="853"/>
      <c r="CE128" s="853"/>
    </row>
    <row r="129" spans="1:83" s="855" customFormat="1" ht="18" customHeight="1" x14ac:dyDescent="0.2">
      <c r="A129" s="555"/>
      <c r="B129" s="1440"/>
      <c r="C129" s="1441"/>
      <c r="D129" s="1441"/>
      <c r="E129" s="1441"/>
      <c r="F129" s="1441"/>
      <c r="G129" s="1441"/>
      <c r="H129" s="1442"/>
      <c r="I129" s="918"/>
      <c r="J129" s="1044"/>
      <c r="K129" s="37"/>
      <c r="L129" s="854"/>
      <c r="M129" s="1274"/>
      <c r="N129" s="1274"/>
      <c r="O129" s="1274"/>
      <c r="P129" s="1274"/>
      <c r="Q129" s="1274"/>
      <c r="R129" s="1215" t="s">
        <v>453</v>
      </c>
      <c r="S129" s="1274"/>
      <c r="T129" s="1274"/>
      <c r="U129" s="1274">
        <v>1</v>
      </c>
      <c r="V129" s="1274"/>
      <c r="W129" s="1274"/>
      <c r="X129" s="1274">
        <f>IF(U129=3,IF(I129&gt;0,99,IF(J129&gt;0,99,0)),0)</f>
        <v>0</v>
      </c>
      <c r="Y129" s="1274">
        <f>IF(U129=1,IF(I129&gt;0,99,IF(J129&gt;0,99,0)),0)</f>
        <v>0</v>
      </c>
      <c r="Z129" s="1274">
        <f>IF(U129=1,IF(I129&lt;0,99,IF(J129&lt;0,99,0)),0)</f>
        <v>0</v>
      </c>
      <c r="AA129" s="1274"/>
      <c r="AB129" s="1274"/>
      <c r="AC129" s="1274"/>
      <c r="AD129" s="1274"/>
      <c r="AE129" s="1274"/>
      <c r="AF129" s="1274"/>
      <c r="AG129" s="1274"/>
      <c r="AH129" s="1274"/>
      <c r="AI129" s="1274"/>
      <c r="AJ129" s="1274"/>
      <c r="AK129" s="1274"/>
      <c r="AL129" s="1274"/>
      <c r="AM129" s="1274"/>
      <c r="AN129" s="1274"/>
      <c r="AO129" s="1274"/>
      <c r="AP129" s="1274"/>
      <c r="AQ129" s="1215"/>
      <c r="AR129" s="1215"/>
      <c r="AS129" s="1215"/>
      <c r="AT129" s="1215"/>
      <c r="AU129" s="1215"/>
      <c r="AV129" s="1215"/>
      <c r="AW129" s="1215"/>
      <c r="AX129" s="1215"/>
      <c r="AY129" s="1215"/>
      <c r="AZ129" s="1215"/>
      <c r="BA129" s="1215"/>
      <c r="BB129" s="1215"/>
      <c r="BC129" s="1215"/>
      <c r="BD129" s="1215"/>
      <c r="BE129" s="1215"/>
      <c r="BF129" s="1215"/>
      <c r="BG129" s="1215"/>
      <c r="BH129" s="1215"/>
      <c r="BI129" s="1215"/>
      <c r="BJ129" s="1215"/>
      <c r="BK129" s="1215"/>
      <c r="BL129" s="1215"/>
      <c r="BM129" s="1215"/>
      <c r="BN129" s="1215"/>
      <c r="BO129" s="1215"/>
      <c r="BP129" s="1215"/>
      <c r="BQ129" s="1215"/>
      <c r="BR129" s="1215"/>
      <c r="BS129" s="1215"/>
      <c r="BT129" s="1215"/>
      <c r="BU129" s="1215"/>
      <c r="BV129" s="853"/>
      <c r="BW129" s="853"/>
      <c r="BX129" s="853"/>
      <c r="BY129" s="853"/>
      <c r="BZ129" s="853"/>
      <c r="CA129" s="853"/>
      <c r="CB129" s="853"/>
      <c r="CC129" s="853"/>
      <c r="CD129" s="853"/>
      <c r="CE129" s="853"/>
    </row>
    <row r="130" spans="1:83" s="855" customFormat="1" ht="18" customHeight="1" thickBot="1" x14ac:dyDescent="0.25">
      <c r="A130" s="555"/>
      <c r="B130" s="1462"/>
      <c r="C130" s="1463"/>
      <c r="D130" s="1463"/>
      <c r="E130" s="1463"/>
      <c r="F130" s="1463"/>
      <c r="G130" s="1463"/>
      <c r="H130" s="1464"/>
      <c r="I130" s="919"/>
      <c r="J130" s="1045"/>
      <c r="K130" s="37"/>
      <c r="L130" s="854"/>
      <c r="M130" s="1274"/>
      <c r="N130" s="1274"/>
      <c r="O130" s="1274"/>
      <c r="P130" s="1274"/>
      <c r="Q130" s="1274"/>
      <c r="R130" s="1274"/>
      <c r="S130" s="1274"/>
      <c r="T130" s="1274"/>
      <c r="U130" s="1274">
        <v>1</v>
      </c>
      <c r="V130" s="1274"/>
      <c r="W130" s="1274"/>
      <c r="X130" s="1274">
        <f>IF(U130=3,IF(I130&gt;0,99,IF(J130&gt;0,99,0)),0)</f>
        <v>0</v>
      </c>
      <c r="Y130" s="1274">
        <f>IF(U130=1,IF(I130&gt;0,99,IF(J130&gt;0,99,0)),0)</f>
        <v>0</v>
      </c>
      <c r="Z130" s="1274">
        <f>IF(U130=1,IF(I130&lt;0,99,IF(J130&lt;0,99,0)),0)</f>
        <v>0</v>
      </c>
      <c r="AA130" s="1274"/>
      <c r="AB130" s="1274"/>
      <c r="AC130" s="1274"/>
      <c r="AD130" s="1274"/>
      <c r="AE130" s="1274"/>
      <c r="AF130" s="1274"/>
      <c r="AG130" s="1274"/>
      <c r="AH130" s="1274"/>
      <c r="AI130" s="1274"/>
      <c r="AJ130" s="1274"/>
      <c r="AK130" s="1274"/>
      <c r="AL130" s="1274"/>
      <c r="AM130" s="1274"/>
      <c r="AN130" s="1274"/>
      <c r="AO130" s="1274"/>
      <c r="AP130" s="1274"/>
      <c r="AQ130" s="1215"/>
      <c r="AR130" s="1215"/>
      <c r="AS130" s="1215"/>
      <c r="AT130" s="1215"/>
      <c r="AU130" s="1215"/>
      <c r="AV130" s="1215"/>
      <c r="AW130" s="1215"/>
      <c r="AX130" s="1215"/>
      <c r="AY130" s="1215"/>
      <c r="AZ130" s="1215"/>
      <c r="BA130" s="1215"/>
      <c r="BB130" s="1215"/>
      <c r="BC130" s="1215"/>
      <c r="BD130" s="1215"/>
      <c r="BE130" s="1215"/>
      <c r="BF130" s="1215"/>
      <c r="BG130" s="1215"/>
      <c r="BH130" s="1215"/>
      <c r="BI130" s="1215"/>
      <c r="BJ130" s="1215"/>
      <c r="BK130" s="1215"/>
      <c r="BL130" s="1215"/>
      <c r="BM130" s="1215"/>
      <c r="BN130" s="1215"/>
      <c r="BO130" s="1215"/>
      <c r="BP130" s="1215"/>
      <c r="BQ130" s="1215"/>
      <c r="BR130" s="1215"/>
      <c r="BS130" s="1215"/>
      <c r="BT130" s="1215"/>
      <c r="BU130" s="1215"/>
      <c r="BV130" s="853"/>
      <c r="BW130" s="853"/>
      <c r="BX130" s="853"/>
      <c r="BY130" s="853"/>
      <c r="BZ130" s="853"/>
      <c r="CA130" s="853"/>
      <c r="CB130" s="853"/>
      <c r="CC130" s="853"/>
      <c r="CD130" s="853"/>
      <c r="CE130" s="853"/>
    </row>
    <row r="131" spans="1:83" s="857" customFormat="1" ht="27.75" customHeight="1" thickBot="1" x14ac:dyDescent="0.25">
      <c r="A131" s="903" t="s">
        <v>562</v>
      </c>
      <c r="B131" s="904"/>
      <c r="C131" s="904"/>
      <c r="D131" s="905"/>
      <c r="E131" s="905"/>
      <c r="F131" s="905"/>
      <c r="G131" s="905"/>
      <c r="H131" s="905"/>
      <c r="I131" s="1179" t="str">
        <f>IF(M131=0," ",IF(AA131&gt;1,"Fehler",M131))</f>
        <v xml:space="preserve"> </v>
      </c>
      <c r="J131" s="1179" t="str">
        <f>IF(N131=0," ",IF(AA131&gt;0,"Fehler",N131))</f>
        <v xml:space="preserve"> </v>
      </c>
      <c r="K131" s="585"/>
      <c r="L131" s="1281"/>
      <c r="M131" s="1283">
        <f>+M132+M133</f>
        <v>0</v>
      </c>
      <c r="N131" s="1283">
        <f>+N132+N133</f>
        <v>0</v>
      </c>
      <c r="O131" s="1282"/>
      <c r="P131" s="1282"/>
      <c r="Q131" s="1282"/>
      <c r="R131" s="1282"/>
      <c r="S131" s="1282"/>
      <c r="T131" s="1282"/>
      <c r="U131" s="1282"/>
      <c r="V131" s="1282"/>
      <c r="W131" s="1282"/>
      <c r="X131" s="1282">
        <f>SUM(X127:X130)</f>
        <v>0</v>
      </c>
      <c r="Y131" s="1282">
        <f>SUM(Y127:Y130)</f>
        <v>0</v>
      </c>
      <c r="Z131" s="1282">
        <f>SUM(Z127:Z130)</f>
        <v>0</v>
      </c>
      <c r="AA131" s="1282">
        <f>+X131+Y131+Z131</f>
        <v>0</v>
      </c>
      <c r="AB131" s="1282"/>
      <c r="AC131" s="1282"/>
      <c r="AD131" s="1282"/>
      <c r="AE131" s="1282"/>
      <c r="AF131" s="1282"/>
      <c r="AG131" s="1282"/>
      <c r="AH131" s="1282"/>
      <c r="AI131" s="1282"/>
      <c r="AJ131" s="1282"/>
      <c r="AK131" s="1282"/>
      <c r="AL131" s="1282"/>
      <c r="AM131" s="1282"/>
      <c r="AN131" s="1282"/>
      <c r="AO131" s="1282"/>
      <c r="AP131" s="1282"/>
      <c r="AQ131" s="1284"/>
      <c r="AR131" s="1284"/>
      <c r="AS131" s="1284"/>
      <c r="AT131" s="1284"/>
      <c r="AU131" s="1284"/>
      <c r="AV131" s="1284"/>
      <c r="AW131" s="1284"/>
      <c r="AX131" s="1284"/>
      <c r="AY131" s="1284"/>
      <c r="AZ131" s="1284"/>
      <c r="BA131" s="1284"/>
      <c r="BB131" s="1284"/>
      <c r="BC131" s="1284"/>
      <c r="BD131" s="1284"/>
      <c r="BE131" s="1284"/>
      <c r="BF131" s="1284"/>
      <c r="BG131" s="1284"/>
      <c r="BH131" s="1284"/>
      <c r="BI131" s="1284"/>
      <c r="BJ131" s="1284"/>
      <c r="BK131" s="1284"/>
      <c r="BL131" s="1284"/>
      <c r="BM131" s="1284"/>
      <c r="BN131" s="1284"/>
      <c r="BO131" s="1284"/>
      <c r="BP131" s="1284"/>
      <c r="BQ131" s="1284"/>
      <c r="BR131" s="1284"/>
      <c r="BS131" s="1284"/>
      <c r="BT131" s="1284"/>
      <c r="BU131" s="1284"/>
      <c r="BV131" s="856"/>
      <c r="BW131" s="856"/>
      <c r="BX131" s="856"/>
      <c r="BY131" s="856"/>
      <c r="BZ131" s="856"/>
      <c r="CA131" s="856"/>
      <c r="CB131" s="856"/>
      <c r="CC131" s="856"/>
      <c r="CD131" s="856"/>
      <c r="CE131" s="856"/>
    </row>
    <row r="132" spans="1:83" s="859" customFormat="1" ht="10.5" customHeight="1" thickBot="1" x14ac:dyDescent="0.25">
      <c r="A132" s="1145" t="s">
        <v>444</v>
      </c>
      <c r="B132" s="1146"/>
      <c r="C132" s="1146"/>
      <c r="D132" s="1147"/>
      <c r="E132" s="1147"/>
      <c r="F132" s="1147"/>
      <c r="G132" s="1147"/>
      <c r="H132" s="1147"/>
      <c r="I132" s="1169" t="str">
        <f>IF(M132=0," ",M132)</f>
        <v xml:space="preserve"> </v>
      </c>
      <c r="J132" s="1170" t="str">
        <f>IF(N132=0," ",N132)</f>
        <v xml:space="preserve"> </v>
      </c>
      <c r="K132" s="539"/>
      <c r="L132" s="1288"/>
      <c r="M132" s="1309">
        <f>SUM(I110:I124)</f>
        <v>0</v>
      </c>
      <c r="N132" s="1310">
        <f>SUM(J110:J124)</f>
        <v>0</v>
      </c>
      <c r="O132" s="1289"/>
      <c r="P132" s="1289"/>
      <c r="Q132" s="1289"/>
      <c r="R132" s="1289"/>
      <c r="S132" s="1289"/>
      <c r="T132" s="1289"/>
      <c r="U132" s="1289"/>
      <c r="V132" s="1289"/>
      <c r="W132" s="1289"/>
      <c r="X132" s="1289"/>
      <c r="Y132" s="1289"/>
      <c r="Z132" s="1289"/>
      <c r="AA132" s="1289"/>
      <c r="AB132" s="1289"/>
      <c r="AC132" s="1289"/>
      <c r="AD132" s="1289"/>
      <c r="AE132" s="1289"/>
      <c r="AF132" s="1289"/>
      <c r="AG132" s="1289"/>
      <c r="AH132" s="1289"/>
      <c r="AI132" s="1289"/>
      <c r="AJ132" s="1289"/>
      <c r="AK132" s="1289"/>
      <c r="AL132" s="1289"/>
      <c r="AM132" s="1289"/>
      <c r="AN132" s="1289"/>
      <c r="AO132" s="1289"/>
      <c r="AP132" s="1289"/>
      <c r="AQ132" s="1291"/>
      <c r="AR132" s="1291"/>
      <c r="AS132" s="1291"/>
      <c r="AT132" s="1291"/>
      <c r="AU132" s="1291"/>
      <c r="AV132" s="1291"/>
      <c r="AW132" s="1291"/>
      <c r="AX132" s="1291"/>
      <c r="AY132" s="1291"/>
      <c r="AZ132" s="1291"/>
      <c r="BA132" s="1291"/>
      <c r="BB132" s="1291"/>
      <c r="BC132" s="1291"/>
      <c r="BD132" s="1291"/>
      <c r="BE132" s="1291"/>
      <c r="BF132" s="1291"/>
      <c r="BG132" s="1291"/>
      <c r="BH132" s="1291"/>
      <c r="BI132" s="1291"/>
      <c r="BJ132" s="1291"/>
      <c r="BK132" s="1291"/>
      <c r="BL132" s="1291"/>
      <c r="BM132" s="1291"/>
      <c r="BN132" s="1291"/>
      <c r="BO132" s="1291"/>
      <c r="BP132" s="1291"/>
      <c r="BQ132" s="1291"/>
      <c r="BR132" s="1291"/>
      <c r="BS132" s="1291"/>
      <c r="BT132" s="1291"/>
      <c r="BU132" s="1291"/>
      <c r="BV132" s="858"/>
      <c r="BW132" s="858"/>
      <c r="BX132" s="858"/>
      <c r="BY132" s="858"/>
      <c r="BZ132" s="858"/>
      <c r="CA132" s="858"/>
      <c r="CB132" s="858"/>
      <c r="CC132" s="858"/>
      <c r="CD132" s="858"/>
      <c r="CE132" s="858"/>
    </row>
    <row r="133" spans="1:83" s="859" customFormat="1" ht="10.5" customHeight="1" thickBot="1" x14ac:dyDescent="0.25">
      <c r="A133" s="1148" t="s">
        <v>445</v>
      </c>
      <c r="B133" s="1146"/>
      <c r="C133" s="1146"/>
      <c r="D133" s="1147"/>
      <c r="E133" s="1147"/>
      <c r="F133" s="1147"/>
      <c r="G133" s="1147"/>
      <c r="H133" s="1147"/>
      <c r="I133" s="1169" t="str">
        <f>IF(M133=0," ",M133)</f>
        <v xml:space="preserve"> </v>
      </c>
      <c r="J133" s="1170" t="str">
        <f>IF(N133=0," ",N133)</f>
        <v xml:space="preserve"> </v>
      </c>
      <c r="K133" s="539"/>
      <c r="L133" s="1288"/>
      <c r="M133" s="1311">
        <f>SUM(I127:I130)</f>
        <v>0</v>
      </c>
      <c r="N133" s="1311">
        <f>SUM(J127:J130)</f>
        <v>0</v>
      </c>
      <c r="O133" s="1289"/>
      <c r="P133" s="1289"/>
      <c r="Q133" s="1289"/>
      <c r="R133" s="1312" t="s">
        <v>436</v>
      </c>
      <c r="S133" s="1289"/>
      <c r="T133" s="1289"/>
      <c r="U133" s="1289"/>
      <c r="V133" s="1289"/>
      <c r="W133" s="1289"/>
      <c r="X133" s="1289"/>
      <c r="Y133" s="1289"/>
      <c r="Z133" s="1313" t="s">
        <v>434</v>
      </c>
      <c r="AA133" s="1313"/>
      <c r="AB133" s="1313"/>
      <c r="AC133" s="1313"/>
      <c r="AD133" s="1313"/>
      <c r="AE133" s="1289"/>
      <c r="AF133" s="1289"/>
      <c r="AG133" s="1289"/>
      <c r="AH133" s="1289"/>
      <c r="AI133" s="1289"/>
      <c r="AJ133" s="1289"/>
      <c r="AK133" s="1289"/>
      <c r="AL133" s="1289"/>
      <c r="AM133" s="1312" t="s">
        <v>437</v>
      </c>
      <c r="AN133" s="1289"/>
      <c r="AO133" s="1289"/>
      <c r="AP133" s="1289"/>
      <c r="AQ133" s="1291"/>
      <c r="AR133" s="1291"/>
      <c r="AS133" s="1291"/>
      <c r="AT133" s="1291"/>
      <c r="AU133" s="1291"/>
      <c r="AV133" s="1291"/>
      <c r="AW133" s="1291"/>
      <c r="AX133" s="1291"/>
      <c r="AY133" s="1291"/>
      <c r="AZ133" s="1291"/>
      <c r="BA133" s="1291"/>
      <c r="BB133" s="1291"/>
      <c r="BC133" s="1291"/>
      <c r="BD133" s="1291"/>
      <c r="BE133" s="1291"/>
      <c r="BF133" s="1291"/>
      <c r="BG133" s="1291"/>
      <c r="BH133" s="1291"/>
      <c r="BI133" s="1291"/>
      <c r="BJ133" s="1291"/>
      <c r="BK133" s="1291"/>
      <c r="BL133" s="1291"/>
      <c r="BM133" s="1291"/>
      <c r="BN133" s="1291"/>
      <c r="BO133" s="1291"/>
      <c r="BP133" s="1291"/>
      <c r="BQ133" s="1291"/>
      <c r="BR133" s="1291"/>
      <c r="BS133" s="1291"/>
      <c r="BT133" s="1291"/>
      <c r="BU133" s="1291"/>
      <c r="BV133" s="858"/>
      <c r="BW133" s="858"/>
      <c r="BX133" s="858"/>
      <c r="BY133" s="858"/>
      <c r="BZ133" s="858"/>
      <c r="CA133" s="858"/>
      <c r="CB133" s="858"/>
      <c r="CC133" s="858"/>
      <c r="CD133" s="858"/>
      <c r="CE133" s="858"/>
    </row>
    <row r="134" spans="1:83" s="855" customFormat="1" ht="7.5" customHeight="1" x14ac:dyDescent="0.2">
      <c r="A134" s="38"/>
      <c r="B134" s="38"/>
      <c r="C134" s="38"/>
      <c r="D134" s="38"/>
      <c r="E134" s="38"/>
      <c r="F134" s="38"/>
      <c r="G134" s="38"/>
      <c r="H134" s="38"/>
      <c r="I134" s="38"/>
      <c r="J134" s="38"/>
      <c r="K134" s="38"/>
      <c r="M134" s="1314"/>
      <c r="N134" s="1314"/>
      <c r="O134" s="1274"/>
      <c r="P134" s="1274"/>
      <c r="Q134" s="1274"/>
      <c r="R134" s="1274"/>
      <c r="S134" s="1274"/>
      <c r="T134" s="1274"/>
      <c r="U134" s="1274"/>
      <c r="V134" s="1274"/>
      <c r="W134" s="1274"/>
      <c r="X134" s="1274"/>
      <c r="Y134" s="1274"/>
      <c r="Z134" s="1274"/>
      <c r="AA134" s="1274"/>
      <c r="AB134" s="1274"/>
      <c r="AC134" s="1274"/>
      <c r="AD134" s="1274"/>
      <c r="AE134" s="1274"/>
      <c r="AF134" s="1274"/>
      <c r="AG134" s="1274"/>
      <c r="AH134" s="1274"/>
      <c r="AI134" s="1274"/>
      <c r="AJ134" s="1274"/>
      <c r="AK134" s="1274"/>
      <c r="AL134" s="1274"/>
      <c r="AM134" s="1274"/>
      <c r="AN134" s="1274"/>
      <c r="AO134" s="1274"/>
      <c r="AP134" s="1274"/>
      <c r="AQ134" s="1215"/>
      <c r="AR134" s="1215"/>
      <c r="AS134" s="1215"/>
      <c r="AT134" s="1215"/>
      <c r="AU134" s="1215"/>
      <c r="AV134" s="1215"/>
      <c r="AW134" s="1215"/>
      <c r="AX134" s="1215"/>
      <c r="AY134" s="1215"/>
      <c r="AZ134" s="1215"/>
      <c r="BA134" s="1215"/>
      <c r="BB134" s="1215"/>
      <c r="BC134" s="1215"/>
      <c r="BD134" s="1215"/>
      <c r="BE134" s="1215"/>
      <c r="BF134" s="1215"/>
      <c r="BG134" s="1215"/>
      <c r="BH134" s="1215"/>
      <c r="BI134" s="1215"/>
      <c r="BJ134" s="1215"/>
      <c r="BK134" s="1215"/>
      <c r="BL134" s="1215"/>
      <c r="BM134" s="1215"/>
      <c r="BN134" s="1215"/>
      <c r="BO134" s="1215"/>
      <c r="BP134" s="1215"/>
      <c r="BQ134" s="1215"/>
      <c r="BR134" s="1215"/>
      <c r="BS134" s="1215"/>
      <c r="BT134" s="1215"/>
      <c r="BU134" s="1215"/>
      <c r="BV134" s="853"/>
      <c r="BW134" s="853"/>
      <c r="BX134" s="853"/>
      <c r="BY134" s="853"/>
      <c r="BZ134" s="853"/>
      <c r="CA134" s="853"/>
      <c r="CB134" s="853"/>
      <c r="CC134" s="853"/>
      <c r="CD134" s="853"/>
      <c r="CE134" s="853"/>
    </row>
    <row r="135" spans="1:83" s="855" customFormat="1" ht="7.5" customHeight="1" thickBot="1" x14ac:dyDescent="0.25">
      <c r="A135" s="41"/>
      <c r="B135" s="6"/>
      <c r="C135" s="6"/>
      <c r="D135" s="12"/>
      <c r="E135" s="12"/>
      <c r="F135" s="12"/>
      <c r="G135" s="12"/>
      <c r="H135" s="12"/>
      <c r="I135" s="35"/>
      <c r="J135" s="18"/>
      <c r="K135" s="35"/>
      <c r="L135" s="853"/>
      <c r="M135" s="1215"/>
      <c r="N135" s="1215"/>
      <c r="O135" s="1215"/>
      <c r="P135" s="1215"/>
      <c r="Q135" s="1215"/>
      <c r="R135" s="1215"/>
      <c r="S135" s="1215"/>
      <c r="T135" s="1215"/>
      <c r="U135" s="1215"/>
      <c r="V135" s="1215"/>
      <c r="W135" s="1215"/>
      <c r="X135" s="1215"/>
      <c r="Y135" s="1215"/>
      <c r="Z135" s="1215"/>
      <c r="AA135" s="1215"/>
      <c r="AB135" s="1215"/>
      <c r="AC135" s="1215"/>
      <c r="AD135" s="1215"/>
      <c r="AE135" s="1215"/>
      <c r="AF135" s="1215"/>
      <c r="AG135" s="1215"/>
      <c r="AH135" s="1215"/>
      <c r="AI135" s="1215"/>
      <c r="AJ135" s="1215"/>
      <c r="AK135" s="1215"/>
      <c r="AL135" s="1215"/>
      <c r="AM135" s="1215"/>
      <c r="AN135" s="1215"/>
      <c r="AO135" s="1215"/>
      <c r="AP135" s="1215"/>
      <c r="AQ135" s="1215"/>
      <c r="AR135" s="1215"/>
      <c r="AS135" s="1215"/>
      <c r="AT135" s="1215"/>
      <c r="AU135" s="1215"/>
      <c r="AV135" s="1215"/>
      <c r="AW135" s="1215"/>
      <c r="AX135" s="1215"/>
      <c r="AY135" s="1215"/>
      <c r="AZ135" s="1215"/>
      <c r="BA135" s="1215"/>
      <c r="BB135" s="1215"/>
      <c r="BC135" s="1215"/>
      <c r="BD135" s="1215"/>
      <c r="BE135" s="1215"/>
      <c r="BF135" s="1215"/>
      <c r="BG135" s="1215"/>
      <c r="BH135" s="1215"/>
      <c r="BI135" s="1215"/>
      <c r="BJ135" s="1215"/>
      <c r="BK135" s="1215"/>
      <c r="BL135" s="1215"/>
      <c r="BM135" s="1215"/>
      <c r="BN135" s="1215"/>
      <c r="BO135" s="1215"/>
      <c r="BP135" s="1215"/>
      <c r="BQ135" s="1215"/>
      <c r="BR135" s="1215"/>
      <c r="BS135" s="1215"/>
      <c r="BT135" s="1215"/>
      <c r="BU135" s="1215"/>
      <c r="BV135" s="853"/>
      <c r="BW135" s="853"/>
      <c r="BX135" s="853"/>
      <c r="BY135" s="853"/>
      <c r="BZ135" s="853"/>
      <c r="CA135" s="853"/>
      <c r="CB135" s="853"/>
      <c r="CC135" s="853"/>
      <c r="CD135" s="853"/>
      <c r="CE135" s="853"/>
    </row>
    <row r="136" spans="1:83" s="855" customFormat="1" ht="26.25" customHeight="1" thickBot="1" x14ac:dyDescent="0.25">
      <c r="A136" s="947" t="s">
        <v>591</v>
      </c>
      <c r="B136" s="951"/>
      <c r="C136" s="1449"/>
      <c r="D136" s="1449"/>
      <c r="E136" s="1449"/>
      <c r="F136" s="1449"/>
      <c r="G136" s="1449"/>
      <c r="H136" s="1450"/>
      <c r="I136" s="950" t="s">
        <v>391</v>
      </c>
      <c r="J136" s="944" t="s">
        <v>392</v>
      </c>
      <c r="K136" s="35"/>
      <c r="L136" s="853"/>
      <c r="M136" s="1215">
        <f>IF(I85=0,"0",6)</f>
        <v>6</v>
      </c>
      <c r="N136" s="1315">
        <f>ROUND(N137,1)</f>
        <v>0</v>
      </c>
      <c r="O136" s="1215"/>
      <c r="P136" s="1215"/>
      <c r="Q136" s="1215"/>
      <c r="R136" s="1215"/>
      <c r="S136" s="1215"/>
      <c r="T136" s="1215"/>
      <c r="U136" s="1215"/>
      <c r="V136" s="1215"/>
      <c r="W136" s="1215"/>
      <c r="X136" s="1215"/>
      <c r="Y136" s="1215"/>
      <c r="Z136" s="1215"/>
      <c r="AA136" s="1215"/>
      <c r="AB136" s="1215"/>
      <c r="AC136" s="1215"/>
      <c r="AD136" s="1215"/>
      <c r="AE136" s="1215"/>
      <c r="AF136" s="1215"/>
      <c r="AG136" s="1215"/>
      <c r="AH136" s="1215"/>
      <c r="AI136" s="1215"/>
      <c r="AJ136" s="1215"/>
      <c r="AK136" s="1215"/>
      <c r="AL136" s="1215"/>
      <c r="AM136" s="1215"/>
      <c r="AN136" s="1215"/>
      <c r="AO136" s="1215"/>
      <c r="AP136" s="1215"/>
      <c r="AQ136" s="1215"/>
      <c r="AR136" s="1215"/>
      <c r="AS136" s="1215"/>
      <c r="AT136" s="1215"/>
      <c r="AU136" s="1215"/>
      <c r="AV136" s="1215"/>
      <c r="AW136" s="1215"/>
      <c r="AX136" s="1215"/>
      <c r="AY136" s="1215"/>
      <c r="AZ136" s="1215"/>
      <c r="BA136" s="1215"/>
      <c r="BB136" s="1215"/>
      <c r="BC136" s="1215"/>
      <c r="BD136" s="1215"/>
      <c r="BE136" s="1215"/>
      <c r="BF136" s="1215"/>
      <c r="BG136" s="1215"/>
      <c r="BH136" s="1215"/>
      <c r="BI136" s="1215"/>
      <c r="BJ136" s="1215"/>
      <c r="BK136" s="1215"/>
      <c r="BL136" s="1215"/>
      <c r="BM136" s="1215"/>
      <c r="BN136" s="1215"/>
      <c r="BO136" s="1215"/>
      <c r="BP136" s="1215"/>
      <c r="BQ136" s="1215"/>
      <c r="BR136" s="1215"/>
      <c r="BS136" s="1215"/>
      <c r="BT136" s="1215"/>
      <c r="BU136" s="1215"/>
      <c r="BV136" s="853"/>
      <c r="BW136" s="853"/>
      <c r="BX136" s="853"/>
      <c r="BY136" s="853"/>
      <c r="BZ136" s="853"/>
      <c r="CA136" s="853"/>
      <c r="CB136" s="853"/>
      <c r="CC136" s="853"/>
      <c r="CD136" s="853"/>
      <c r="CE136" s="853"/>
    </row>
    <row r="137" spans="1:83" s="855" customFormat="1" ht="15.75" customHeight="1" thickBot="1" x14ac:dyDescent="0.25">
      <c r="A137" s="571" t="s">
        <v>446</v>
      </c>
      <c r="B137" s="572"/>
      <c r="C137" s="572"/>
      <c r="D137" s="572"/>
      <c r="E137" s="572"/>
      <c r="F137" s="572"/>
      <c r="G137" s="572"/>
      <c r="H137" s="573"/>
      <c r="I137" s="1192" t="str">
        <f>CONCATENATE(M136," Mo.")</f>
        <v>6 Mo.</v>
      </c>
      <c r="J137" s="1193" t="str">
        <f>CONCATENATE(N136," Mo.")</f>
        <v>0 Mo.</v>
      </c>
      <c r="K137" s="35"/>
      <c r="L137" s="853"/>
      <c r="M137" s="1316">
        <v>6</v>
      </c>
      <c r="N137" s="1317">
        <f>+BN87</f>
        <v>0</v>
      </c>
      <c r="O137" s="1215"/>
      <c r="P137" s="1215"/>
      <c r="Q137" s="1215"/>
      <c r="R137" s="1446" t="s">
        <v>426</v>
      </c>
      <c r="S137" s="1446" t="s">
        <v>427</v>
      </c>
      <c r="T137" s="1446" t="s">
        <v>431</v>
      </c>
      <c r="U137" s="1446" t="s">
        <v>432</v>
      </c>
      <c r="V137" s="1318"/>
      <c r="W137" s="1318"/>
      <c r="X137" s="1446" t="s">
        <v>433</v>
      </c>
      <c r="Y137" s="1215"/>
      <c r="Z137" s="1446" t="s">
        <v>426</v>
      </c>
      <c r="AA137" s="1318"/>
      <c r="AB137" s="1318"/>
      <c r="AC137" s="1318"/>
      <c r="AD137" s="1318"/>
      <c r="AE137" s="1446" t="s">
        <v>427</v>
      </c>
      <c r="AF137" s="1446" t="s">
        <v>435</v>
      </c>
      <c r="AG137" s="1446" t="s">
        <v>545</v>
      </c>
      <c r="AH137" s="1446" t="s">
        <v>546</v>
      </c>
      <c r="AI137" s="1446" t="s">
        <v>558</v>
      </c>
      <c r="AJ137" s="1446" t="s">
        <v>432</v>
      </c>
      <c r="AK137" s="1446" t="s">
        <v>433</v>
      </c>
      <c r="AL137" s="1314"/>
      <c r="AM137" s="1446" t="s">
        <v>432</v>
      </c>
      <c r="AN137" s="1446" t="s">
        <v>433</v>
      </c>
      <c r="AO137" s="1215"/>
      <c r="AP137" s="1215"/>
      <c r="AQ137" s="1215"/>
      <c r="AR137" s="1215"/>
      <c r="AS137" s="1215"/>
      <c r="AT137" s="1215"/>
      <c r="AU137" s="1215"/>
      <c r="AV137" s="1215"/>
      <c r="AW137" s="1215"/>
      <c r="AX137" s="1215"/>
      <c r="AY137" s="1215"/>
      <c r="AZ137" s="1215"/>
      <c r="BA137" s="1215"/>
      <c r="BB137" s="1215"/>
      <c r="BC137" s="1215"/>
      <c r="BD137" s="1215"/>
      <c r="BE137" s="1215"/>
      <c r="BF137" s="1215"/>
      <c r="BG137" s="1215"/>
      <c r="BH137" s="1215"/>
      <c r="BI137" s="1215"/>
      <c r="BJ137" s="1215"/>
      <c r="BK137" s="1215"/>
      <c r="BL137" s="1215"/>
      <c r="BM137" s="1215"/>
      <c r="BN137" s="1215"/>
      <c r="BO137" s="1215"/>
      <c r="BP137" s="1215"/>
      <c r="BQ137" s="1215"/>
      <c r="BR137" s="1215"/>
      <c r="BS137" s="1215"/>
      <c r="BT137" s="1215"/>
      <c r="BU137" s="1215"/>
      <c r="BV137" s="853"/>
      <c r="BW137" s="853"/>
      <c r="BX137" s="853"/>
      <c r="BY137" s="853"/>
      <c r="BZ137" s="853"/>
      <c r="CA137" s="853"/>
      <c r="CB137" s="853"/>
      <c r="CC137" s="853"/>
      <c r="CD137" s="853"/>
      <c r="CE137" s="853"/>
    </row>
    <row r="138" spans="1:83" s="855" customFormat="1" ht="15.75" customHeight="1" x14ac:dyDescent="0.2">
      <c r="A138" s="536" t="s">
        <v>447</v>
      </c>
      <c r="B138" s="533"/>
      <c r="C138" s="533"/>
      <c r="D138" s="534"/>
      <c r="E138" s="534"/>
      <c r="F138" s="534"/>
      <c r="G138" s="534"/>
      <c r="H138" s="534"/>
      <c r="I138" s="1171" t="str">
        <f>IF(M138=0," ",M138)</f>
        <v xml:space="preserve"> </v>
      </c>
      <c r="J138" s="1171" t="str">
        <f>IF(N138=0," ",N138)</f>
        <v xml:space="preserve"> </v>
      </c>
      <c r="K138" s="35"/>
      <c r="L138" s="853"/>
      <c r="M138" s="1319">
        <f>+M84/12*M137</f>
        <v>0</v>
      </c>
      <c r="N138" s="1320">
        <f>+N85/12*N137</f>
        <v>0</v>
      </c>
      <c r="O138" s="1215"/>
      <c r="P138" s="1215"/>
      <c r="Q138" s="1215"/>
      <c r="R138" s="1446"/>
      <c r="S138" s="1446"/>
      <c r="T138" s="1446"/>
      <c r="U138" s="1446"/>
      <c r="V138" s="1318"/>
      <c r="W138" s="1318"/>
      <c r="X138" s="1446"/>
      <c r="Y138" s="1215"/>
      <c r="Z138" s="1446"/>
      <c r="AA138" s="1318"/>
      <c r="AB138" s="1318"/>
      <c r="AC138" s="1318"/>
      <c r="AD138" s="1318"/>
      <c r="AE138" s="1446"/>
      <c r="AF138" s="1446"/>
      <c r="AG138" s="1446"/>
      <c r="AH138" s="1446"/>
      <c r="AI138" s="1446"/>
      <c r="AJ138" s="1446"/>
      <c r="AK138" s="1446"/>
      <c r="AL138" s="1314"/>
      <c r="AM138" s="1446"/>
      <c r="AN138" s="1446"/>
      <c r="AO138" s="1215"/>
      <c r="AP138" s="1215"/>
      <c r="AQ138" s="1215"/>
      <c r="AR138" s="1215"/>
      <c r="AS138" s="1215"/>
      <c r="AT138" s="1215"/>
      <c r="AU138" s="1215"/>
      <c r="AV138" s="1215"/>
      <c r="AW138" s="1215"/>
      <c r="AX138" s="1215"/>
      <c r="AY138" s="1215"/>
      <c r="AZ138" s="1215"/>
      <c r="BA138" s="1215"/>
      <c r="BB138" s="1215"/>
      <c r="BC138" s="1215"/>
      <c r="BD138" s="1215"/>
      <c r="BE138" s="1215"/>
      <c r="BF138" s="1215"/>
      <c r="BG138" s="1215"/>
      <c r="BH138" s="1215"/>
      <c r="BI138" s="1215"/>
      <c r="BJ138" s="1215"/>
      <c r="BK138" s="1215"/>
      <c r="BL138" s="1215"/>
      <c r="BM138" s="1215"/>
      <c r="BN138" s="1215"/>
      <c r="BO138" s="1215"/>
      <c r="BP138" s="1215"/>
      <c r="BQ138" s="1215"/>
      <c r="BR138" s="1215"/>
      <c r="BS138" s="1215"/>
      <c r="BT138" s="1215"/>
      <c r="BU138" s="1215"/>
      <c r="BV138" s="853"/>
      <c r="BW138" s="853"/>
      <c r="BX138" s="853"/>
      <c r="BY138" s="853"/>
      <c r="BZ138" s="853"/>
      <c r="CA138" s="853"/>
      <c r="CB138" s="853"/>
      <c r="CC138" s="853"/>
      <c r="CD138" s="853"/>
      <c r="CE138" s="853"/>
    </row>
    <row r="139" spans="1:83" s="855" customFormat="1" ht="15.75" customHeight="1" thickBot="1" x14ac:dyDescent="0.25">
      <c r="A139" s="575" t="s">
        <v>562</v>
      </c>
      <c r="B139" s="6"/>
      <c r="C139" s="6"/>
      <c r="D139" s="12"/>
      <c r="E139" s="12"/>
      <c r="F139" s="12"/>
      <c r="G139" s="12"/>
      <c r="H139" s="12"/>
      <c r="I139" s="1172" t="str">
        <f>IF(M139=0," ",M139)</f>
        <v xml:space="preserve"> </v>
      </c>
      <c r="J139" s="1172" t="str">
        <f>IF(N139=0," ",N139)</f>
        <v xml:space="preserve"> </v>
      </c>
      <c r="K139" s="35"/>
      <c r="L139" s="853"/>
      <c r="M139" s="1319">
        <f>IF(I131=" ",0,I131)</f>
        <v>0</v>
      </c>
      <c r="N139" s="1302">
        <f>IF(J131=" ",0,J131)</f>
        <v>0</v>
      </c>
      <c r="O139" s="1215"/>
      <c r="P139" s="1215"/>
      <c r="Q139" s="1215"/>
      <c r="R139" s="1446"/>
      <c r="S139" s="1446"/>
      <c r="T139" s="1446"/>
      <c r="U139" s="1446"/>
      <c r="V139" s="1318"/>
      <c r="W139" s="1318"/>
      <c r="X139" s="1446"/>
      <c r="Y139" s="1215"/>
      <c r="Z139" s="1446"/>
      <c r="AA139" s="1318"/>
      <c r="AB139" s="1318"/>
      <c r="AC139" s="1318"/>
      <c r="AD139" s="1318"/>
      <c r="AE139" s="1446"/>
      <c r="AF139" s="1446"/>
      <c r="AG139" s="1446"/>
      <c r="AH139" s="1446"/>
      <c r="AI139" s="1446"/>
      <c r="AJ139" s="1446"/>
      <c r="AK139" s="1446"/>
      <c r="AL139" s="1314"/>
      <c r="AM139" s="1446"/>
      <c r="AN139" s="1446"/>
      <c r="AO139" s="1215"/>
      <c r="AP139" s="1215"/>
      <c r="AQ139" s="1215"/>
      <c r="AR139" s="1215"/>
      <c r="AS139" s="1215"/>
      <c r="AT139" s="1215"/>
      <c r="AU139" s="1215"/>
      <c r="AV139" s="1215"/>
      <c r="AW139" s="1215"/>
      <c r="AX139" s="1215"/>
      <c r="AY139" s="1215"/>
      <c r="AZ139" s="1215"/>
      <c r="BA139" s="1215"/>
      <c r="BB139" s="1215"/>
      <c r="BC139" s="1215"/>
      <c r="BD139" s="1215"/>
      <c r="BE139" s="1215"/>
      <c r="BF139" s="1215"/>
      <c r="BG139" s="1215"/>
      <c r="BH139" s="1215"/>
      <c r="BI139" s="1215"/>
      <c r="BJ139" s="1215"/>
      <c r="BK139" s="1215"/>
      <c r="BL139" s="1215"/>
      <c r="BM139" s="1215"/>
      <c r="BN139" s="1215"/>
      <c r="BO139" s="1215"/>
      <c r="BP139" s="1215"/>
      <c r="BQ139" s="1215"/>
      <c r="BR139" s="1215"/>
      <c r="BS139" s="1215"/>
      <c r="BT139" s="1215"/>
      <c r="BU139" s="1215"/>
      <c r="BV139" s="853"/>
      <c r="BW139" s="853"/>
      <c r="BX139" s="853"/>
      <c r="BY139" s="853"/>
      <c r="BZ139" s="853"/>
      <c r="CA139" s="853"/>
      <c r="CB139" s="853"/>
      <c r="CC139" s="853"/>
      <c r="CD139" s="853"/>
      <c r="CE139" s="853"/>
    </row>
    <row r="140" spans="1:83" s="857" customFormat="1" ht="25.5" customHeight="1" thickBot="1" x14ac:dyDescent="0.25">
      <c r="A140" s="1126" t="s">
        <v>424</v>
      </c>
      <c r="B140" s="1127"/>
      <c r="C140" s="1127"/>
      <c r="D140" s="1128"/>
      <c r="E140" s="1128"/>
      <c r="F140" s="1128"/>
      <c r="G140" s="1128"/>
      <c r="H140" s="1128"/>
      <c r="I140" s="1173" t="str">
        <f>IF(I139="Fehler","Fehler",IF(M138&gt;0.1,IF(M138&lt;M139,"ja","nein")," "))</f>
        <v xml:space="preserve"> </v>
      </c>
      <c r="J140" s="1174" t="str">
        <f>IF(J139="Fehler","Fehler",IF(N138&gt;0.1,IF(N138&lt;N139,"ja","nein")," "))</f>
        <v xml:space="preserve"> </v>
      </c>
      <c r="K140" s="574"/>
      <c r="L140" s="856"/>
      <c r="M140" s="1284"/>
      <c r="N140" s="1284"/>
      <c r="O140" s="1284"/>
      <c r="P140" s="1284" t="s">
        <v>507</v>
      </c>
      <c r="Q140" s="1284" t="s">
        <v>508</v>
      </c>
      <c r="R140" s="1446"/>
      <c r="S140" s="1446"/>
      <c r="T140" s="1446"/>
      <c r="U140" s="1446"/>
      <c r="V140" s="1318"/>
      <c r="W140" s="1318"/>
      <c r="X140" s="1446"/>
      <c r="Y140" s="1284"/>
      <c r="Z140" s="1446"/>
      <c r="AA140" s="1318"/>
      <c r="AB140" s="1321"/>
      <c r="AC140" s="1321"/>
      <c r="AD140" s="1321"/>
      <c r="AE140" s="1446"/>
      <c r="AF140" s="1446"/>
      <c r="AG140" s="1446"/>
      <c r="AH140" s="1446"/>
      <c r="AI140" s="1446"/>
      <c r="AJ140" s="1446"/>
      <c r="AK140" s="1446"/>
      <c r="AL140" s="1322"/>
      <c r="AM140" s="1446"/>
      <c r="AN140" s="1446"/>
      <c r="AO140" s="1284"/>
      <c r="AP140" s="1284"/>
      <c r="AQ140" s="1284"/>
      <c r="AR140" s="1284"/>
      <c r="AS140" s="1284"/>
      <c r="AT140" s="1284"/>
      <c r="AU140" s="1284"/>
      <c r="AV140" s="1284"/>
      <c r="AW140" s="1284"/>
      <c r="AX140" s="1284"/>
      <c r="AY140" s="1284"/>
      <c r="AZ140" s="1284"/>
      <c r="BA140" s="1284"/>
      <c r="BB140" s="1284"/>
      <c r="BC140" s="1284"/>
      <c r="BD140" s="1284"/>
      <c r="BE140" s="1284"/>
      <c r="BF140" s="1284"/>
      <c r="BG140" s="1284"/>
      <c r="BH140" s="1284"/>
      <c r="BI140" s="1284"/>
      <c r="BJ140" s="1284"/>
      <c r="BK140" s="1284"/>
      <c r="BL140" s="1284"/>
      <c r="BM140" s="1284"/>
      <c r="BN140" s="1284"/>
      <c r="BO140" s="1284"/>
      <c r="BP140" s="1284"/>
      <c r="BQ140" s="1284"/>
      <c r="BR140" s="1284"/>
      <c r="BS140" s="1284"/>
      <c r="BT140" s="1284"/>
      <c r="BU140" s="1284"/>
      <c r="BV140" s="856"/>
      <c r="BW140" s="856"/>
      <c r="BX140" s="856"/>
      <c r="BY140" s="856"/>
      <c r="BZ140" s="856"/>
      <c r="CA140" s="856"/>
      <c r="CB140" s="856"/>
      <c r="CC140" s="856"/>
      <c r="CD140" s="856"/>
      <c r="CE140" s="856"/>
    </row>
    <row r="141" spans="1:83" s="855" customFormat="1" ht="15" customHeight="1" thickBot="1" x14ac:dyDescent="0.25">
      <c r="A141" s="41"/>
      <c r="B141" s="6"/>
      <c r="C141" s="6"/>
      <c r="D141" s="12"/>
      <c r="E141" s="12"/>
      <c r="F141" s="12"/>
      <c r="G141" s="12"/>
      <c r="H141" s="12"/>
      <c r="I141" s="35"/>
      <c r="J141" s="18"/>
      <c r="K141" s="35"/>
      <c r="L141" s="853"/>
      <c r="M141" s="1215"/>
      <c r="N141" s="1215"/>
      <c r="O141" s="1215"/>
      <c r="P141" s="1215"/>
      <c r="Q141" s="1215"/>
      <c r="R141" s="1446"/>
      <c r="S141" s="1446"/>
      <c r="T141" s="1446"/>
      <c r="U141" s="1446"/>
      <c r="V141" s="1318"/>
      <c r="W141" s="1318"/>
      <c r="X141" s="1446"/>
      <c r="Y141" s="1215"/>
      <c r="Z141" s="1446"/>
      <c r="AA141" s="1318"/>
      <c r="AB141" s="1318"/>
      <c r="AC141" s="1318"/>
      <c r="AD141" s="1318"/>
      <c r="AE141" s="1446"/>
      <c r="AF141" s="1446"/>
      <c r="AG141" s="1446"/>
      <c r="AH141" s="1446"/>
      <c r="AI141" s="1446"/>
      <c r="AJ141" s="1446"/>
      <c r="AK141" s="1446"/>
      <c r="AL141" s="1314"/>
      <c r="AM141" s="1446"/>
      <c r="AN141" s="1446"/>
      <c r="AO141" s="1215"/>
      <c r="AP141" s="1215"/>
      <c r="AQ141" s="1215"/>
      <c r="AR141" s="1215"/>
      <c r="AS141" s="1215"/>
      <c r="AT141" s="1215"/>
      <c r="AU141" s="1215"/>
      <c r="AV141" s="1215"/>
      <c r="AW141" s="1215"/>
      <c r="AX141" s="1215"/>
      <c r="AY141" s="1215"/>
      <c r="AZ141" s="1215"/>
      <c r="BA141" s="1215"/>
      <c r="BB141" s="1215"/>
      <c r="BC141" s="1215"/>
      <c r="BD141" s="1215"/>
      <c r="BE141" s="1215"/>
      <c r="BF141" s="1215"/>
      <c r="BG141" s="1215"/>
      <c r="BH141" s="1215"/>
      <c r="BI141" s="1215"/>
      <c r="BJ141" s="1215"/>
      <c r="BK141" s="1215"/>
      <c r="BL141" s="1215"/>
      <c r="BM141" s="1215"/>
      <c r="BN141" s="1215"/>
      <c r="BO141" s="1215"/>
      <c r="BP141" s="1215"/>
      <c r="BQ141" s="1215"/>
      <c r="BR141" s="1215"/>
      <c r="BS141" s="1215"/>
      <c r="BT141" s="1215"/>
      <c r="BU141" s="1215"/>
      <c r="BV141" s="853"/>
      <c r="BW141" s="853"/>
      <c r="BX141" s="853"/>
      <c r="BY141" s="853"/>
      <c r="BZ141" s="853"/>
      <c r="CA141" s="853"/>
      <c r="CB141" s="853"/>
      <c r="CC141" s="853"/>
      <c r="CD141" s="853"/>
      <c r="CE141" s="853"/>
    </row>
    <row r="142" spans="1:83" s="855" customFormat="1" ht="26.25" customHeight="1" thickBot="1" x14ac:dyDescent="0.25">
      <c r="A142" s="947" t="s">
        <v>577</v>
      </c>
      <c r="B142" s="948"/>
      <c r="C142" s="948"/>
      <c r="D142" s="948"/>
      <c r="E142" s="948"/>
      <c r="F142" s="948"/>
      <c r="G142" s="948"/>
      <c r="H142" s="949"/>
      <c r="I142" s="950" t="s">
        <v>391</v>
      </c>
      <c r="J142" s="944" t="s">
        <v>392</v>
      </c>
      <c r="K142" s="35"/>
      <c r="L142" s="853"/>
      <c r="M142" s="1315">
        <f>IF(I85=0,"0",ROUND(M143,1))</f>
        <v>9</v>
      </c>
      <c r="N142" s="1315">
        <f>ROUND(N143,1)</f>
        <v>0</v>
      </c>
      <c r="O142" s="1215"/>
      <c r="P142" s="1215"/>
      <c r="Q142" s="1215"/>
      <c r="R142" s="1446"/>
      <c r="S142" s="1446"/>
      <c r="T142" s="1446"/>
      <c r="U142" s="1446"/>
      <c r="V142" s="1318"/>
      <c r="W142" s="1318"/>
      <c r="X142" s="1446"/>
      <c r="Y142" s="1215"/>
      <c r="Z142" s="1446"/>
      <c r="AA142" s="1318"/>
      <c r="AB142" s="1318"/>
      <c r="AC142" s="1318"/>
      <c r="AD142" s="1318"/>
      <c r="AE142" s="1446"/>
      <c r="AF142" s="1446"/>
      <c r="AG142" s="1446"/>
      <c r="AH142" s="1446"/>
      <c r="AI142" s="1446"/>
      <c r="AJ142" s="1446"/>
      <c r="AK142" s="1446"/>
      <c r="AL142" s="1314"/>
      <c r="AM142" s="1446"/>
      <c r="AN142" s="1446"/>
      <c r="AO142" s="1215"/>
      <c r="AP142" s="1215"/>
      <c r="AQ142" s="1215"/>
      <c r="AR142" s="1215"/>
      <c r="AS142" s="1215"/>
      <c r="AT142" s="1215"/>
      <c r="AU142" s="1215"/>
      <c r="AV142" s="1215"/>
      <c r="AW142" s="1215"/>
      <c r="AX142" s="1215"/>
      <c r="AY142" s="1215"/>
      <c r="AZ142" s="1215"/>
      <c r="BA142" s="1215"/>
      <c r="BB142" s="1215"/>
      <c r="BC142" s="1215"/>
      <c r="BD142" s="1215"/>
      <c r="BE142" s="1215"/>
      <c r="BF142" s="1215"/>
      <c r="BG142" s="1215"/>
      <c r="BH142" s="1215"/>
      <c r="BI142" s="1215"/>
      <c r="BJ142" s="1215"/>
      <c r="BK142" s="1215"/>
      <c r="BL142" s="1215"/>
      <c r="BM142" s="1215"/>
      <c r="BN142" s="1215"/>
      <c r="BO142" s="1215"/>
      <c r="BP142" s="1215"/>
      <c r="BQ142" s="1215"/>
      <c r="BR142" s="1215"/>
      <c r="BS142" s="1215"/>
      <c r="BT142" s="1215"/>
      <c r="BU142" s="1215"/>
      <c r="BV142" s="853"/>
      <c r="BW142" s="853"/>
      <c r="BX142" s="853"/>
      <c r="BY142" s="853"/>
      <c r="BZ142" s="853"/>
      <c r="CA142" s="853"/>
      <c r="CB142" s="853"/>
      <c r="CC142" s="853"/>
      <c r="CD142" s="853"/>
      <c r="CE142" s="853"/>
    </row>
    <row r="143" spans="1:83" s="855" customFormat="1" ht="15.75" customHeight="1" thickBot="1" x14ac:dyDescent="0.25">
      <c r="A143" s="3" t="s">
        <v>564</v>
      </c>
      <c r="B143" s="4"/>
      <c r="C143" s="4"/>
      <c r="D143" s="4"/>
      <c r="E143" s="4"/>
      <c r="F143" s="4"/>
      <c r="G143" s="4"/>
      <c r="H143" s="568"/>
      <c r="I143" s="1193" t="str">
        <f>CONCATENATE(M142," Mo.")</f>
        <v>9 Mo.</v>
      </c>
      <c r="J143" s="1193" t="str">
        <f>CONCATENATE(N142," Mo.")</f>
        <v>0 Mo.</v>
      </c>
      <c r="K143" s="35"/>
      <c r="L143" s="853"/>
      <c r="M143" s="1323">
        <f>IF((R144+F11)=0,9,IF(S144&gt;3,(6*AM144+9*AN144)/100,6))</f>
        <v>9</v>
      </c>
      <c r="N143" s="1324">
        <f>+BO87</f>
        <v>0</v>
      </c>
      <c r="O143" s="1215"/>
      <c r="P143" s="1215"/>
      <c r="Q143" s="1215"/>
      <c r="R143" s="1446"/>
      <c r="S143" s="1446"/>
      <c r="T143" s="1446"/>
      <c r="U143" s="1446"/>
      <c r="V143" s="1318"/>
      <c r="W143" s="1318"/>
      <c r="X143" s="1446"/>
      <c r="Y143" s="1318"/>
      <c r="Z143" s="1446"/>
      <c r="AA143" s="1318"/>
      <c r="AB143" s="1318"/>
      <c r="AC143" s="1318"/>
      <c r="AD143" s="1318"/>
      <c r="AE143" s="1446"/>
      <c r="AF143" s="1446"/>
      <c r="AG143" s="1446"/>
      <c r="AH143" s="1446"/>
      <c r="AI143" s="1446"/>
      <c r="AJ143" s="1446"/>
      <c r="AK143" s="1446"/>
      <c r="AL143" s="1314"/>
      <c r="AM143" s="1446"/>
      <c r="AN143" s="1446"/>
      <c r="AO143" s="1215"/>
      <c r="AP143" s="1215"/>
      <c r="AQ143" s="1215"/>
      <c r="AR143" s="1215"/>
      <c r="AS143" s="1215"/>
      <c r="AT143" s="1215"/>
      <c r="AU143" s="1215"/>
      <c r="AV143" s="1215"/>
      <c r="AW143" s="1215"/>
      <c r="AX143" s="1215"/>
      <c r="AY143" s="1215"/>
      <c r="AZ143" s="1215"/>
      <c r="BA143" s="1215"/>
      <c r="BB143" s="1215"/>
      <c r="BC143" s="1215"/>
      <c r="BD143" s="1215"/>
      <c r="BE143" s="1215"/>
      <c r="BF143" s="1215"/>
      <c r="BG143" s="1215"/>
      <c r="BH143" s="1215"/>
      <c r="BI143" s="1215"/>
      <c r="BJ143" s="1215"/>
      <c r="BK143" s="1215"/>
      <c r="BL143" s="1215"/>
      <c r="BM143" s="1215"/>
      <c r="BN143" s="1215"/>
      <c r="BO143" s="1215"/>
      <c r="BP143" s="1215"/>
      <c r="BQ143" s="1215"/>
      <c r="BR143" s="1215"/>
      <c r="BS143" s="1215"/>
      <c r="BT143" s="1215"/>
      <c r="BU143" s="1215"/>
      <c r="BV143" s="853"/>
      <c r="BW143" s="853"/>
      <c r="BX143" s="853"/>
      <c r="BY143" s="853"/>
      <c r="BZ143" s="853"/>
      <c r="CA143" s="853"/>
      <c r="CB143" s="853"/>
      <c r="CC143" s="853"/>
      <c r="CD143" s="853"/>
      <c r="CE143" s="853"/>
    </row>
    <row r="144" spans="1:83" s="855" customFormat="1" ht="15.75" customHeight="1" thickBot="1" x14ac:dyDescent="0.25">
      <c r="A144" s="7" t="s">
        <v>565</v>
      </c>
      <c r="B144" s="8"/>
      <c r="C144" s="8"/>
      <c r="D144" s="8"/>
      <c r="E144" s="8"/>
      <c r="F144" s="8"/>
      <c r="G144" s="8"/>
      <c r="H144" s="9"/>
      <c r="I144" s="1150" t="str">
        <f>IF(M144=0," ",M144)</f>
        <v xml:space="preserve"> </v>
      </c>
      <c r="J144" s="1150" t="str">
        <f>IF(N144=0," ",N144)</f>
        <v xml:space="preserve"> </v>
      </c>
      <c r="K144" s="35"/>
      <c r="L144" s="853"/>
      <c r="M144" s="1325">
        <f>+M84/12*M143</f>
        <v>0</v>
      </c>
      <c r="N144" s="1326">
        <f>+N85/12*N143</f>
        <v>0</v>
      </c>
      <c r="O144" s="1215"/>
      <c r="P144" s="1215"/>
      <c r="Q144" s="1215"/>
      <c r="R144" s="1327">
        <f>+F6-G7+F8-G9</f>
        <v>0</v>
      </c>
      <c r="S144" s="1327">
        <f>IF(R144=0,100,AT48/R144)</f>
        <v>100</v>
      </c>
      <c r="T144" s="1327">
        <f>R48/170</f>
        <v>0</v>
      </c>
      <c r="U144" s="1328" t="e">
        <f>IF(R144+F11&gt;T144,100,(1-(T144-R144-F11)/T144)*100)</f>
        <v>#DIV/0!</v>
      </c>
      <c r="V144" s="1327"/>
      <c r="W144" s="1327"/>
      <c r="X144" s="1328" t="e">
        <f>100-U144</f>
        <v>#DIV/0!</v>
      </c>
      <c r="Y144" s="1215"/>
      <c r="Z144" s="1215">
        <f>+R144</f>
        <v>0</v>
      </c>
      <c r="AA144" s="1215"/>
      <c r="AB144" s="1215"/>
      <c r="AC144" s="1215"/>
      <c r="AD144" s="1215"/>
      <c r="AE144" s="1215">
        <f>+S144</f>
        <v>100</v>
      </c>
      <c r="AF144" s="1314">
        <f>+F8-G9</f>
        <v>0</v>
      </c>
      <c r="AG144" s="1314">
        <f>+S48/255</f>
        <v>0</v>
      </c>
      <c r="AH144" s="1314">
        <f>IF(AF144&lt;AG144,AF144,AG144)</f>
        <v>0</v>
      </c>
      <c r="AI144" s="1287">
        <f>+AH144*255+(R144+F11-AH144)*170</f>
        <v>0</v>
      </c>
      <c r="AJ144" s="1328">
        <f>IF(R48=0,100,(AI144/R48)*100)</f>
        <v>100</v>
      </c>
      <c r="AK144" s="1328">
        <f>100-AJ144</f>
        <v>0</v>
      </c>
      <c r="AL144" s="1314"/>
      <c r="AM144" s="1328" t="e">
        <f>IF(AJ144&gt;100,100,(AJ144*T13+U144*(100-T13))/100)</f>
        <v>#DIV/0!</v>
      </c>
      <c r="AN144" s="1328" t="e">
        <f>100-AM144</f>
        <v>#DIV/0!</v>
      </c>
      <c r="AO144" s="1215"/>
      <c r="AP144" s="1215"/>
      <c r="AQ144" s="1215"/>
      <c r="AR144" s="1215"/>
      <c r="AS144" s="1215"/>
      <c r="AT144" s="1215"/>
      <c r="AU144" s="1215"/>
      <c r="AV144" s="1215"/>
      <c r="AW144" s="1215"/>
      <c r="AX144" s="1215"/>
      <c r="AY144" s="1215"/>
      <c r="AZ144" s="1215"/>
      <c r="BA144" s="1215"/>
      <c r="BB144" s="1215"/>
      <c r="BC144" s="1215"/>
      <c r="BD144" s="1215"/>
      <c r="BE144" s="1215"/>
      <c r="BF144" s="1215"/>
      <c r="BG144" s="1215"/>
      <c r="BH144" s="1215"/>
      <c r="BI144" s="1215"/>
      <c r="BJ144" s="1215"/>
      <c r="BK144" s="1215"/>
      <c r="BL144" s="1215"/>
      <c r="BM144" s="1215"/>
      <c r="BN144" s="1215"/>
      <c r="BO144" s="1215"/>
      <c r="BP144" s="1215"/>
      <c r="BQ144" s="1215"/>
      <c r="BR144" s="1215"/>
      <c r="BS144" s="1215"/>
      <c r="BT144" s="1215"/>
      <c r="BU144" s="1215"/>
      <c r="BV144" s="853"/>
      <c r="BW144" s="853"/>
      <c r="BX144" s="853"/>
      <c r="BY144" s="853"/>
      <c r="BZ144" s="853"/>
      <c r="CA144" s="853"/>
      <c r="CB144" s="853"/>
      <c r="CC144" s="853"/>
      <c r="CD144" s="853"/>
      <c r="CE144" s="853"/>
    </row>
    <row r="145" spans="1:83" s="855" customFormat="1" ht="13.5" customHeight="1" x14ac:dyDescent="0.2">
      <c r="A145" s="62" t="s">
        <v>457</v>
      </c>
      <c r="B145" s="1194" t="str">
        <f>IF(F5=0,"Betrieb ohne Fläche",S144)</f>
        <v>Betrieb ohne Fläche</v>
      </c>
      <c r="C145" s="6"/>
      <c r="D145" s="6"/>
      <c r="E145" s="6"/>
      <c r="F145" s="6"/>
      <c r="G145" s="6"/>
      <c r="H145" s="12"/>
      <c r="I145" s="37"/>
      <c r="J145" s="37"/>
      <c r="K145" s="35"/>
      <c r="L145" s="853"/>
      <c r="M145" s="1274"/>
      <c r="N145" s="1274"/>
      <c r="O145" s="1215"/>
      <c r="P145" s="1215"/>
      <c r="Q145" s="1215"/>
      <c r="R145" s="1327"/>
      <c r="S145" s="1327"/>
      <c r="T145" s="1327"/>
      <c r="U145" s="1327"/>
      <c r="V145" s="1327"/>
      <c r="W145" s="1327"/>
      <c r="X145" s="1327"/>
      <c r="Y145" s="1215"/>
      <c r="Z145" s="1215"/>
      <c r="AA145" s="1215"/>
      <c r="AB145" s="1215"/>
      <c r="AC145" s="1215"/>
      <c r="AD145" s="1215"/>
      <c r="AE145" s="1215"/>
      <c r="AF145" s="1314"/>
      <c r="AG145" s="1314"/>
      <c r="AH145" s="1314"/>
      <c r="AI145" s="1215"/>
      <c r="AJ145" s="1327"/>
      <c r="AK145" s="1327"/>
      <c r="AL145" s="1314"/>
      <c r="AM145" s="1328"/>
      <c r="AN145" s="1327"/>
      <c r="AO145" s="1215"/>
      <c r="AP145" s="1215"/>
      <c r="AQ145" s="1215"/>
      <c r="AR145" s="1215"/>
      <c r="AS145" s="1215"/>
      <c r="AT145" s="1215"/>
      <c r="AU145" s="1215"/>
      <c r="AV145" s="1215"/>
      <c r="AW145" s="1215"/>
      <c r="AX145" s="1215"/>
      <c r="AY145" s="1215"/>
      <c r="AZ145" s="1215"/>
      <c r="BA145" s="1215"/>
      <c r="BB145" s="1215"/>
      <c r="BC145" s="1215"/>
      <c r="BD145" s="1215"/>
      <c r="BE145" s="1215"/>
      <c r="BF145" s="1215"/>
      <c r="BG145" s="1215"/>
      <c r="BH145" s="1215"/>
      <c r="BI145" s="1215"/>
      <c r="BJ145" s="1215"/>
      <c r="BK145" s="1215"/>
      <c r="BL145" s="1215"/>
      <c r="BM145" s="1215"/>
      <c r="BN145" s="1215"/>
      <c r="BO145" s="1215"/>
      <c r="BP145" s="1215"/>
      <c r="BQ145" s="1215"/>
      <c r="BR145" s="1215"/>
      <c r="BS145" s="1215"/>
      <c r="BT145" s="1215"/>
      <c r="BU145" s="1215"/>
      <c r="BV145" s="853"/>
      <c r="BW145" s="853"/>
      <c r="BX145" s="853"/>
      <c r="BY145" s="853"/>
      <c r="BZ145" s="853"/>
      <c r="CA145" s="853"/>
      <c r="CB145" s="853"/>
      <c r="CC145" s="853"/>
      <c r="CD145" s="853"/>
      <c r="CE145" s="853"/>
    </row>
    <row r="146" spans="1:83" s="855" customFormat="1" ht="13.5" customHeight="1" x14ac:dyDescent="0.2">
      <c r="A146" s="1178" t="str">
        <f>IF(M48=0," ",IF(M146=" "," ",IF(M146&lt;=10," ",IF(M146&gt;10,"Achtung: Anlagenverordnung beachten; Gärsaft + verunreinigtes Wasser &gt; 10 % des Anfalls"))))</f>
        <v xml:space="preserve"> </v>
      </c>
      <c r="B146" s="38"/>
      <c r="C146" s="6"/>
      <c r="D146" s="6"/>
      <c r="E146" s="6"/>
      <c r="F146" s="6"/>
      <c r="G146" s="6"/>
      <c r="H146" s="12"/>
      <c r="I146" s="12"/>
      <c r="J146" s="35"/>
      <c r="K146" s="35"/>
      <c r="L146" s="853"/>
      <c r="M146" s="1294" t="e">
        <f>((M46+M43)/I49)*100</f>
        <v>#VALUE!</v>
      </c>
      <c r="N146" s="1215"/>
      <c r="O146" s="1215"/>
      <c r="P146" s="1215"/>
      <c r="Q146" s="1215"/>
      <c r="R146" s="1215"/>
      <c r="S146" s="1215"/>
      <c r="T146" s="1215"/>
      <c r="U146" s="1215"/>
      <c r="V146" s="1215"/>
      <c r="W146" s="1215"/>
      <c r="X146" s="1215"/>
      <c r="Y146" s="1215"/>
      <c r="Z146" s="1215"/>
      <c r="AA146" s="1215"/>
      <c r="AB146" s="1215"/>
      <c r="AC146" s="1215"/>
      <c r="AD146" s="1215"/>
      <c r="AE146" s="1215"/>
      <c r="AF146" s="1215"/>
      <c r="AG146" s="1215"/>
      <c r="AH146" s="1215"/>
      <c r="AI146" s="1215"/>
      <c r="AJ146" s="1215"/>
      <c r="AK146" s="1215"/>
      <c r="AL146" s="1215"/>
      <c r="AM146" s="1215"/>
      <c r="AN146" s="1215"/>
      <c r="AO146" s="1215"/>
      <c r="AP146" s="1215"/>
      <c r="AQ146" s="1215"/>
      <c r="AR146" s="1215"/>
      <c r="AS146" s="1215"/>
      <c r="AT146" s="1215"/>
      <c r="AU146" s="1215"/>
      <c r="AV146" s="1215"/>
      <c r="AW146" s="1215"/>
      <c r="AX146" s="1215"/>
      <c r="AY146" s="1215"/>
      <c r="AZ146" s="1215"/>
      <c r="BA146" s="1215"/>
      <c r="BB146" s="1215"/>
      <c r="BC146" s="1215"/>
      <c r="BD146" s="1215"/>
      <c r="BE146" s="1215"/>
      <c r="BF146" s="1215"/>
      <c r="BG146" s="1215"/>
      <c r="BH146" s="1215"/>
      <c r="BI146" s="1215"/>
      <c r="BJ146" s="1215"/>
      <c r="BK146" s="1215"/>
      <c r="BL146" s="1215"/>
      <c r="BM146" s="1215"/>
      <c r="BN146" s="1215"/>
      <c r="BO146" s="1215"/>
      <c r="BP146" s="1215"/>
      <c r="BQ146" s="1215"/>
      <c r="BR146" s="1215"/>
      <c r="BS146" s="1215"/>
      <c r="BT146" s="1215"/>
      <c r="BU146" s="1215"/>
      <c r="BV146" s="853"/>
      <c r="BW146" s="853"/>
      <c r="BX146" s="853"/>
      <c r="BY146" s="853"/>
      <c r="BZ146" s="853"/>
      <c r="CA146" s="853"/>
      <c r="CB146" s="853"/>
      <c r="CC146" s="853"/>
      <c r="CD146" s="853"/>
      <c r="CE146" s="853"/>
    </row>
    <row r="147" spans="1:83" s="859" customFormat="1" ht="10.5" customHeight="1" x14ac:dyDescent="0.2">
      <c r="A147" s="52" t="s">
        <v>559</v>
      </c>
      <c r="B147" s="30"/>
      <c r="C147" s="30"/>
      <c r="D147" s="30"/>
      <c r="E147" s="30"/>
      <c r="F147" s="30"/>
      <c r="G147" s="30"/>
      <c r="H147" s="30"/>
      <c r="I147" s="30"/>
      <c r="J147" s="13"/>
      <c r="K147" s="47"/>
      <c r="L147" s="861"/>
      <c r="M147" s="1329"/>
      <c r="N147" s="1329"/>
      <c r="O147" s="1329"/>
      <c r="P147" s="1329"/>
      <c r="Q147" s="1329"/>
      <c r="R147" s="1329"/>
      <c r="S147" s="1329"/>
      <c r="T147" s="1329"/>
      <c r="U147" s="1329"/>
      <c r="V147" s="1329"/>
      <c r="W147" s="1329"/>
      <c r="X147" s="1329"/>
      <c r="Y147" s="1329"/>
      <c r="Z147" s="1329"/>
      <c r="AA147" s="1329"/>
      <c r="AB147" s="1329"/>
      <c r="AC147" s="1329"/>
      <c r="AD147" s="1329"/>
      <c r="AE147" s="1329"/>
      <c r="AF147" s="1329"/>
      <c r="AG147" s="1329"/>
      <c r="AH147" s="1329"/>
      <c r="AI147" s="1329"/>
      <c r="AJ147" s="1329"/>
      <c r="AK147" s="1329"/>
      <c r="AL147" s="1329"/>
      <c r="AM147" s="1329"/>
      <c r="AN147" s="1329"/>
      <c r="AO147" s="1329"/>
      <c r="AP147" s="1329"/>
      <c r="AQ147" s="1329"/>
      <c r="AR147" s="1329"/>
      <c r="AS147" s="1329"/>
      <c r="AT147" s="1329"/>
      <c r="AU147" s="1329"/>
      <c r="AV147" s="1329"/>
      <c r="AW147" s="1329"/>
      <c r="AX147" s="1329"/>
      <c r="AY147" s="1329"/>
      <c r="AZ147" s="1329"/>
      <c r="BA147" s="1329"/>
      <c r="BB147" s="1329"/>
      <c r="BC147" s="1329"/>
      <c r="BD147" s="1329"/>
      <c r="BE147" s="1329"/>
      <c r="BF147" s="1329"/>
      <c r="BG147" s="1329"/>
      <c r="BH147" s="1329"/>
      <c r="BI147" s="1329"/>
      <c r="BJ147" s="1329"/>
      <c r="BK147" s="1329"/>
      <c r="BL147" s="1330"/>
      <c r="BM147" s="1330"/>
      <c r="BN147" s="1330"/>
      <c r="BO147" s="1330"/>
      <c r="BP147" s="1329"/>
      <c r="BQ147" s="1329"/>
      <c r="BR147" s="1329"/>
      <c r="BS147" s="1329"/>
      <c r="BT147" s="1329"/>
      <c r="BU147" s="1329"/>
      <c r="BV147" s="861"/>
      <c r="BW147" s="861"/>
      <c r="BX147" s="861"/>
      <c r="BY147" s="861"/>
      <c r="BZ147" s="861"/>
      <c r="CA147" s="861"/>
      <c r="CB147" s="861"/>
      <c r="CC147" s="861"/>
      <c r="CD147" s="861"/>
      <c r="CE147" s="861"/>
    </row>
    <row r="148" spans="1:83" s="859" customFormat="1" ht="10.5" customHeight="1" x14ac:dyDescent="0.2">
      <c r="A148" s="52" t="s">
        <v>572</v>
      </c>
      <c r="B148" s="30"/>
      <c r="C148" s="30"/>
      <c r="D148" s="30"/>
      <c r="E148" s="30"/>
      <c r="F148" s="30"/>
      <c r="G148" s="30"/>
      <c r="H148" s="30"/>
      <c r="I148" s="30"/>
      <c r="J148" s="532"/>
      <c r="K148" s="47"/>
      <c r="L148" s="861"/>
      <c r="M148" s="1329"/>
      <c r="N148" s="1329"/>
      <c r="O148" s="1329"/>
      <c r="P148" s="1329"/>
      <c r="Q148" s="1329"/>
      <c r="R148" s="1329"/>
      <c r="S148" s="1329"/>
      <c r="T148" s="1329"/>
      <c r="U148" s="1329"/>
      <c r="V148" s="1329"/>
      <c r="W148" s="1329"/>
      <c r="X148" s="1329"/>
      <c r="Y148" s="1329"/>
      <c r="Z148" s="1329"/>
      <c r="AA148" s="1329"/>
      <c r="AB148" s="1329"/>
      <c r="AC148" s="1329"/>
      <c r="AD148" s="1329"/>
      <c r="AE148" s="1329"/>
      <c r="AF148" s="1329"/>
      <c r="AG148" s="1329"/>
      <c r="AH148" s="1329"/>
      <c r="AI148" s="1329"/>
      <c r="AJ148" s="1329"/>
      <c r="AK148" s="1329"/>
      <c r="AL148" s="1329"/>
      <c r="AM148" s="1329"/>
      <c r="AN148" s="1329"/>
      <c r="AO148" s="1329"/>
      <c r="AP148" s="1329"/>
      <c r="AQ148" s="1329"/>
      <c r="AR148" s="1329"/>
      <c r="AS148" s="1329"/>
      <c r="AT148" s="1329"/>
      <c r="AU148" s="1329"/>
      <c r="AV148" s="1329"/>
      <c r="AW148" s="1329"/>
      <c r="AX148" s="1329"/>
      <c r="AY148" s="1329"/>
      <c r="AZ148" s="1329"/>
      <c r="BA148" s="1329"/>
      <c r="BB148" s="1329"/>
      <c r="BC148" s="1329"/>
      <c r="BD148" s="1329"/>
      <c r="BE148" s="1329"/>
      <c r="BF148" s="1329"/>
      <c r="BG148" s="1329"/>
      <c r="BH148" s="1329"/>
      <c r="BI148" s="1329"/>
      <c r="BJ148" s="1329"/>
      <c r="BK148" s="1329"/>
      <c r="BL148" s="1330"/>
      <c r="BM148" s="1330"/>
      <c r="BN148" s="1330"/>
      <c r="BO148" s="1330"/>
      <c r="BP148" s="1329"/>
      <c r="BQ148" s="1329"/>
      <c r="BR148" s="1329"/>
      <c r="BS148" s="1329"/>
      <c r="BT148" s="1329"/>
      <c r="BU148" s="1329"/>
      <c r="BV148" s="861"/>
      <c r="BW148" s="861"/>
      <c r="BX148" s="861"/>
      <c r="BY148" s="861"/>
      <c r="BZ148" s="861"/>
      <c r="CA148" s="861"/>
      <c r="CB148" s="861"/>
      <c r="CC148" s="861"/>
      <c r="CD148" s="861"/>
      <c r="CE148" s="861"/>
    </row>
    <row r="149" spans="1:83" s="859" customFormat="1" ht="11.25" customHeight="1" x14ac:dyDescent="0.2">
      <c r="A149" s="859" t="s">
        <v>576</v>
      </c>
      <c r="F149" s="859">
        <f>R144</f>
        <v>0</v>
      </c>
      <c r="G149" s="859" t="s">
        <v>578</v>
      </c>
      <c r="I149" s="30"/>
      <c r="J149" s="13"/>
      <c r="K149" s="47"/>
      <c r="L149" s="861"/>
      <c r="M149" s="1329"/>
      <c r="N149" s="1329"/>
      <c r="O149" s="1329"/>
      <c r="P149" s="1329"/>
      <c r="Q149" s="1329"/>
      <c r="R149" s="1329"/>
      <c r="S149" s="1329"/>
      <c r="T149" s="1329"/>
      <c r="U149" s="1329"/>
      <c r="V149" s="1329"/>
      <c r="W149" s="1329"/>
      <c r="X149" s="1329"/>
      <c r="Y149" s="1329"/>
      <c r="Z149" s="1329"/>
      <c r="AA149" s="1329"/>
      <c r="AB149" s="1329"/>
      <c r="AC149" s="1329"/>
      <c r="AD149" s="1329"/>
      <c r="AE149" s="1329"/>
      <c r="AF149" s="1329"/>
      <c r="AG149" s="1329"/>
      <c r="AH149" s="1329"/>
      <c r="AI149" s="1329"/>
      <c r="AJ149" s="1329"/>
      <c r="AK149" s="1329"/>
      <c r="AL149" s="1329"/>
      <c r="AM149" s="1329"/>
      <c r="AN149" s="1329"/>
      <c r="AO149" s="1329"/>
      <c r="AP149" s="1329"/>
      <c r="AQ149" s="1329"/>
      <c r="AR149" s="1329"/>
      <c r="AS149" s="1329"/>
      <c r="AT149" s="1329"/>
      <c r="AU149" s="1329"/>
      <c r="AV149" s="1329"/>
      <c r="AW149" s="1329"/>
      <c r="AX149" s="1329"/>
      <c r="AY149" s="1329"/>
      <c r="AZ149" s="1329"/>
      <c r="BA149" s="1329"/>
      <c r="BB149" s="1329"/>
      <c r="BC149" s="1329"/>
      <c r="BD149" s="1329"/>
      <c r="BE149" s="1329"/>
      <c r="BF149" s="1329"/>
      <c r="BG149" s="1329"/>
      <c r="BH149" s="1329"/>
      <c r="BI149" s="1329"/>
      <c r="BJ149" s="1329"/>
      <c r="BK149" s="1329"/>
      <c r="BL149" s="1330"/>
      <c r="BM149" s="1330"/>
      <c r="BN149" s="1330"/>
      <c r="BO149" s="1330"/>
      <c r="BP149" s="1329"/>
      <c r="BQ149" s="1329"/>
      <c r="BR149" s="1329"/>
      <c r="BS149" s="1329"/>
      <c r="BT149" s="1329"/>
      <c r="BU149" s="1329"/>
      <c r="BV149" s="861"/>
      <c r="BW149" s="861"/>
      <c r="BX149" s="861"/>
      <c r="BY149" s="861"/>
      <c r="BZ149" s="861"/>
      <c r="CA149" s="861"/>
      <c r="CB149" s="861"/>
      <c r="CC149" s="861"/>
      <c r="CD149" s="861"/>
      <c r="CE149" s="861"/>
    </row>
    <row r="150" spans="1:83" s="859" customFormat="1" ht="10.5" customHeight="1" x14ac:dyDescent="0.2">
      <c r="A150" s="532" t="s">
        <v>579</v>
      </c>
      <c r="B150" s="30"/>
      <c r="C150" s="30"/>
      <c r="D150" s="30"/>
      <c r="E150" s="30"/>
      <c r="F150" s="861">
        <f>F11</f>
        <v>0</v>
      </c>
      <c r="G150" s="1180" t="s">
        <v>578</v>
      </c>
      <c r="H150" s="30"/>
      <c r="I150" s="30"/>
      <c r="J150" s="13"/>
      <c r="K150" s="47"/>
      <c r="L150" s="861"/>
      <c r="M150" s="1329"/>
      <c r="N150" s="1329"/>
      <c r="O150" s="1329"/>
      <c r="P150" s="1329"/>
      <c r="Q150" s="1329"/>
      <c r="R150" s="1329"/>
      <c r="S150" s="1329"/>
      <c r="T150" s="1329"/>
      <c r="U150" s="1329"/>
      <c r="V150" s="1329"/>
      <c r="W150" s="1329"/>
      <c r="X150" s="1329"/>
      <c r="Y150" s="1329"/>
      <c r="Z150" s="1329"/>
      <c r="AA150" s="1329"/>
      <c r="AB150" s="1329"/>
      <c r="AC150" s="1329"/>
      <c r="AD150" s="1329"/>
      <c r="AE150" s="1329"/>
      <c r="AF150" s="1329"/>
      <c r="AG150" s="1329"/>
      <c r="AH150" s="1329"/>
      <c r="AI150" s="1329"/>
      <c r="AJ150" s="1329"/>
      <c r="AK150" s="1329"/>
      <c r="AL150" s="1329"/>
      <c r="AM150" s="1329"/>
      <c r="AN150" s="1329"/>
      <c r="AO150" s="1329"/>
      <c r="AP150" s="1329"/>
      <c r="AQ150" s="1329"/>
      <c r="AR150" s="1329"/>
      <c r="AS150" s="1329"/>
      <c r="AT150" s="1329"/>
      <c r="AU150" s="1329"/>
      <c r="AV150" s="1329"/>
      <c r="AW150" s="1329"/>
      <c r="AX150" s="1329"/>
      <c r="AY150" s="1329"/>
      <c r="AZ150" s="1329"/>
      <c r="BA150" s="1329"/>
      <c r="BB150" s="1329"/>
      <c r="BC150" s="1329"/>
      <c r="BD150" s="1329"/>
      <c r="BE150" s="1329"/>
      <c r="BF150" s="1329"/>
      <c r="BG150" s="1329"/>
      <c r="BH150" s="1329"/>
      <c r="BI150" s="1329"/>
      <c r="BJ150" s="1329"/>
      <c r="BK150" s="1329"/>
      <c r="BL150" s="1330"/>
      <c r="BM150" s="1330"/>
      <c r="BN150" s="1330"/>
      <c r="BO150" s="1330"/>
      <c r="BP150" s="1329"/>
      <c r="BQ150" s="1329"/>
      <c r="BR150" s="1329"/>
      <c r="BS150" s="1329"/>
      <c r="BT150" s="1329"/>
      <c r="BU150" s="1329"/>
      <c r="BV150" s="861"/>
      <c r="BW150" s="861"/>
      <c r="BX150" s="861"/>
      <c r="BY150" s="861"/>
      <c r="BZ150" s="861"/>
      <c r="CA150" s="861"/>
      <c r="CB150" s="861"/>
      <c r="CC150" s="861"/>
      <c r="CD150" s="861"/>
      <c r="CE150" s="861"/>
    </row>
    <row r="151" spans="1:83" ht="5.25" customHeight="1" x14ac:dyDescent="0.2">
      <c r="K151" s="46"/>
      <c r="L151" s="862"/>
      <c r="M151" s="1231"/>
      <c r="N151" s="1231"/>
      <c r="O151" s="1231"/>
      <c r="P151" s="1231"/>
      <c r="Q151" s="1231"/>
      <c r="R151" s="1231"/>
      <c r="S151" s="1231"/>
      <c r="T151" s="1231"/>
      <c r="U151" s="1231"/>
      <c r="V151" s="1231"/>
      <c r="W151" s="1231"/>
      <c r="X151" s="1231"/>
      <c r="Y151" s="1231"/>
      <c r="Z151" s="1231"/>
      <c r="AA151" s="1231"/>
      <c r="AB151" s="1231"/>
      <c r="AC151" s="1231"/>
      <c r="AD151" s="1231"/>
      <c r="AE151" s="1231"/>
      <c r="AF151" s="1231"/>
      <c r="AG151" s="1231"/>
      <c r="AH151" s="1231"/>
      <c r="AI151" s="1231"/>
      <c r="AJ151" s="1231"/>
      <c r="AK151" s="1231"/>
      <c r="AL151" s="1231"/>
      <c r="AM151" s="1231"/>
      <c r="AN151" s="1231"/>
      <c r="AO151" s="1231"/>
      <c r="AP151" s="1231"/>
      <c r="AQ151" s="1231"/>
      <c r="AR151" s="1231"/>
      <c r="AS151" s="1231"/>
      <c r="AT151" s="1231"/>
      <c r="AU151" s="1231"/>
      <c r="AV151" s="1231"/>
      <c r="AW151" s="1231"/>
      <c r="AX151" s="1231"/>
      <c r="AY151" s="1231"/>
      <c r="AZ151" s="1231"/>
      <c r="BA151" s="1231"/>
      <c r="BB151" s="1231"/>
      <c r="BC151" s="1231"/>
      <c r="BD151" s="1231"/>
      <c r="BE151" s="1231"/>
      <c r="BF151" s="1231"/>
      <c r="BG151" s="1231"/>
      <c r="BH151" s="1231"/>
      <c r="BI151" s="1231"/>
      <c r="BJ151" s="1231"/>
      <c r="BK151" s="1231"/>
      <c r="BL151" s="1207"/>
      <c r="BM151" s="1207"/>
      <c r="BN151" s="1207"/>
      <c r="BO151" s="1207"/>
      <c r="BP151" s="1231"/>
      <c r="BQ151" s="1231"/>
      <c r="BR151" s="1231"/>
      <c r="BS151" s="1231"/>
      <c r="BT151" s="1231"/>
      <c r="BU151" s="1231"/>
      <c r="BV151" s="862"/>
      <c r="BW151" s="862"/>
      <c r="BX151" s="862"/>
      <c r="BY151" s="862"/>
      <c r="BZ151" s="862"/>
      <c r="CA151" s="862"/>
      <c r="CB151" s="862"/>
      <c r="CC151" s="862"/>
      <c r="CD151" s="862"/>
      <c r="CE151" s="862"/>
    </row>
    <row r="152" spans="1:83" ht="14.25" customHeight="1" x14ac:dyDescent="0.2">
      <c r="A152" s="1383" t="s">
        <v>590</v>
      </c>
      <c r="B152" s="1383"/>
      <c r="C152" s="1383"/>
      <c r="D152" s="1383"/>
      <c r="E152" s="1383"/>
      <c r="F152" s="1383"/>
      <c r="G152" s="1383"/>
      <c r="H152" s="1383"/>
      <c r="I152" s="1383"/>
      <c r="J152" s="1383"/>
      <c r="K152" s="46"/>
      <c r="L152" s="862"/>
      <c r="M152" s="1231"/>
      <c r="N152" s="1231"/>
      <c r="O152" s="1231"/>
      <c r="P152" s="1231"/>
      <c r="Q152" s="1231"/>
      <c r="R152" s="1231"/>
      <c r="S152" s="1231"/>
      <c r="T152" s="1231"/>
      <c r="U152" s="1231"/>
      <c r="V152" s="1231"/>
      <c r="W152" s="1231"/>
      <c r="X152" s="1231"/>
      <c r="Y152" s="1231"/>
      <c r="Z152" s="1231"/>
      <c r="AA152" s="1231"/>
      <c r="AB152" s="1231"/>
      <c r="AC152" s="1231"/>
      <c r="AD152" s="1231"/>
      <c r="AE152" s="1231"/>
      <c r="AF152" s="1231"/>
      <c r="AG152" s="1231"/>
      <c r="AH152" s="1231"/>
      <c r="AI152" s="1231"/>
      <c r="AJ152" s="1231"/>
      <c r="AK152" s="1231"/>
      <c r="AL152" s="1231"/>
      <c r="AM152" s="1231"/>
      <c r="AN152" s="1231"/>
      <c r="AO152" s="1231"/>
      <c r="AP152" s="1231"/>
      <c r="AQ152" s="1231"/>
      <c r="AR152" s="1231"/>
      <c r="AS152" s="1231"/>
      <c r="AT152" s="1231"/>
      <c r="AU152" s="1231"/>
      <c r="AV152" s="1231"/>
      <c r="AW152" s="1231"/>
      <c r="AX152" s="1231"/>
      <c r="AY152" s="1231"/>
      <c r="AZ152" s="1231"/>
      <c r="BA152" s="1231"/>
      <c r="BB152" s="1231"/>
      <c r="BC152" s="1231"/>
      <c r="BD152" s="1231"/>
      <c r="BE152" s="1231"/>
      <c r="BF152" s="1231"/>
      <c r="BG152" s="1231"/>
      <c r="BH152" s="1231"/>
      <c r="BI152" s="1231"/>
      <c r="BJ152" s="1231"/>
      <c r="BK152" s="1231"/>
      <c r="BL152" s="1207"/>
      <c r="BM152" s="1207"/>
      <c r="BN152" s="1207"/>
      <c r="BO152" s="1207"/>
      <c r="BP152" s="1231"/>
      <c r="BQ152" s="1231"/>
      <c r="BR152" s="1231"/>
      <c r="BS152" s="1231"/>
      <c r="BT152" s="1231"/>
      <c r="BU152" s="1231"/>
      <c r="BV152" s="862"/>
      <c r="BW152" s="862"/>
      <c r="BX152" s="862"/>
      <c r="BY152" s="862"/>
      <c r="BZ152" s="862"/>
      <c r="CA152" s="862"/>
      <c r="CB152" s="862"/>
      <c r="CC152" s="862"/>
      <c r="CD152" s="862"/>
      <c r="CE152" s="862"/>
    </row>
    <row r="153" spans="1:83" x14ac:dyDescent="0.2">
      <c r="A153" s="49"/>
      <c r="B153" s="6"/>
      <c r="C153" s="530"/>
      <c r="D153" s="529" t="s">
        <v>403</v>
      </c>
      <c r="E153" s="12"/>
      <c r="F153" s="12"/>
      <c r="G153" s="12"/>
      <c r="H153" s="12"/>
      <c r="I153" s="50"/>
      <c r="J153" s="35"/>
    </row>
  </sheetData>
  <sheetProtection password="D5BA" sheet="1" objects="1"/>
  <dataConsolidate/>
  <customSheetViews>
    <customSheetView guid="{DDA6E6AA-9473-49A0-A3A2-76E4959B79AF}" printArea="1" hiddenColumns="1">
      <selection activeCell="CB7" sqref="CB7"/>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customSheetView>
  </customSheetViews>
  <mergeCells count="127">
    <mergeCell ref="AN137:AN143"/>
    <mergeCell ref="AE137:AE143"/>
    <mergeCell ref="AF137:AF143"/>
    <mergeCell ref="AG137:AG143"/>
    <mergeCell ref="AH137:AH143"/>
    <mergeCell ref="X137:X143"/>
    <mergeCell ref="Z137:Z143"/>
    <mergeCell ref="AK137:AK143"/>
    <mergeCell ref="AM137:AM143"/>
    <mergeCell ref="AJ137:AJ143"/>
    <mergeCell ref="AI137:AI143"/>
    <mergeCell ref="A111:B111"/>
    <mergeCell ref="C116:D116"/>
    <mergeCell ref="C117:D117"/>
    <mergeCell ref="A118:B118"/>
    <mergeCell ref="A123:B123"/>
    <mergeCell ref="A119:B119"/>
    <mergeCell ref="G117:H117"/>
    <mergeCell ref="G118:H118"/>
    <mergeCell ref="C121:H121"/>
    <mergeCell ref="T137:T143"/>
    <mergeCell ref="B130:H130"/>
    <mergeCell ref="C124:H124"/>
    <mergeCell ref="C122:H122"/>
    <mergeCell ref="C123:H123"/>
    <mergeCell ref="A124:B124"/>
    <mergeCell ref="R137:R143"/>
    <mergeCell ref="B129:H129"/>
    <mergeCell ref="A116:B116"/>
    <mergeCell ref="G111:H111"/>
    <mergeCell ref="C119:D119"/>
    <mergeCell ref="E111:F111"/>
    <mergeCell ref="U137:U143"/>
    <mergeCell ref="A122:B122"/>
    <mergeCell ref="A121:B121"/>
    <mergeCell ref="C136:H136"/>
    <mergeCell ref="B127:H127"/>
    <mergeCell ref="A113:B113"/>
    <mergeCell ref="B128:H128"/>
    <mergeCell ref="A120:H120"/>
    <mergeCell ref="C115:D115"/>
    <mergeCell ref="S137:S143"/>
    <mergeCell ref="CD21:CE21"/>
    <mergeCell ref="AZ22:BB22"/>
    <mergeCell ref="A30:C30"/>
    <mergeCell ref="X21:Z21"/>
    <mergeCell ref="AL22:AN22"/>
    <mergeCell ref="A45:F45"/>
    <mergeCell ref="A43:F43"/>
    <mergeCell ref="R21:U21"/>
    <mergeCell ref="A33:C33"/>
    <mergeCell ref="A26:C26"/>
    <mergeCell ref="BI22:BK22"/>
    <mergeCell ref="BF22:BH22"/>
    <mergeCell ref="AF23:AI23"/>
    <mergeCell ref="BC22:BD22"/>
    <mergeCell ref="BN22:BO22"/>
    <mergeCell ref="BL22:BM22"/>
    <mergeCell ref="A40:C40"/>
    <mergeCell ref="A42:F42"/>
    <mergeCell ref="A152:J152"/>
    <mergeCell ref="G119:H119"/>
    <mergeCell ref="A117:B117"/>
    <mergeCell ref="C114:D114"/>
    <mergeCell ref="G115:H115"/>
    <mergeCell ref="E113:F113"/>
    <mergeCell ref="B6:D6"/>
    <mergeCell ref="B8:D8"/>
    <mergeCell ref="G11:J12"/>
    <mergeCell ref="A29:C29"/>
    <mergeCell ref="A25:C25"/>
    <mergeCell ref="D59:F59"/>
    <mergeCell ref="A31:C31"/>
    <mergeCell ref="A32:C32"/>
    <mergeCell ref="A39:C39"/>
    <mergeCell ref="A27:C27"/>
    <mergeCell ref="G109:H109"/>
    <mergeCell ref="E112:F112"/>
    <mergeCell ref="G110:H110"/>
    <mergeCell ref="A35:C35"/>
    <mergeCell ref="A38:C38"/>
    <mergeCell ref="G41:H41"/>
    <mergeCell ref="A44:F44"/>
    <mergeCell ref="A110:B110"/>
    <mergeCell ref="G112:H112"/>
    <mergeCell ref="C112:D112"/>
    <mergeCell ref="C118:D118"/>
    <mergeCell ref="A1:H1"/>
    <mergeCell ref="B7:D7"/>
    <mergeCell ref="F11:F12"/>
    <mergeCell ref="G21:H21"/>
    <mergeCell ref="B9:D9"/>
    <mergeCell ref="G13:J13"/>
    <mergeCell ref="I20:J20"/>
    <mergeCell ref="E109:F109"/>
    <mergeCell ref="A112:B112"/>
    <mergeCell ref="C110:D110"/>
    <mergeCell ref="A51:B51"/>
    <mergeCell ref="E110:F110"/>
    <mergeCell ref="C109:D109"/>
    <mergeCell ref="G114:H114"/>
    <mergeCell ref="G113:H113"/>
    <mergeCell ref="C113:D113"/>
    <mergeCell ref="C111:D111"/>
    <mergeCell ref="G116:H116"/>
    <mergeCell ref="A3:G3"/>
    <mergeCell ref="D20:H20"/>
    <mergeCell ref="A20:C23"/>
    <mergeCell ref="E108:F108"/>
    <mergeCell ref="A46:F46"/>
    <mergeCell ref="D78:E78"/>
    <mergeCell ref="H78:I78"/>
    <mergeCell ref="A54:J54"/>
    <mergeCell ref="A106:J106"/>
    <mergeCell ref="A105:J105"/>
    <mergeCell ref="AU21:AW21"/>
    <mergeCell ref="I81:J81"/>
    <mergeCell ref="A34:C34"/>
    <mergeCell ref="A37:H37"/>
    <mergeCell ref="A36:C36"/>
    <mergeCell ref="G108:H108"/>
    <mergeCell ref="C108:D108"/>
    <mergeCell ref="I108:J108"/>
    <mergeCell ref="AB21:AD21"/>
    <mergeCell ref="E21:F21"/>
    <mergeCell ref="A28:C28"/>
    <mergeCell ref="P21:Q21"/>
  </mergeCells>
  <phoneticPr fontId="0" type="noConversion"/>
  <dataValidations count="20">
    <dataValidation type="decimal" allowBlank="1" showInputMessage="1" showErrorMessage="1" errorTitle="Ungültige Eingabe" error="Geben Sie eine Dezimalzahl ein." sqref="I121:J124 G42:G44">
      <formula1>0</formula1>
      <formula2>99999</formula2>
    </dataValidation>
    <dataValidation type="whole" allowBlank="1" showInputMessage="1" showErrorMessage="1" errorTitle="Ungültige Eingabe" error="Geben Sie eine ganze Zahl ein." sqref="G45">
      <formula1>0</formula1>
      <formula2>99</formula2>
    </dataValidation>
    <dataValidation type="decimal" allowBlank="1" showInputMessage="1" showErrorMessage="1" errorTitle="Ungültige Dateneingabe" error="Geben Sie eine Zahl ein." sqref="F5:F6 G7 F8 F11 G9:G10">
      <formula1>0</formula1>
      <formula2>9999</formula2>
    </dataValidation>
    <dataValidation type="textLength" allowBlank="1" showInputMessage="1" showErrorMessage="1" errorTitle="Ungültige Dateneingabe" error="Geben Sie eine gültige Betriebsnummer ein." sqref="B5">
      <formula1>10</formula1>
      <formula2>12</formula2>
    </dataValidation>
    <dataValidation type="whole" allowBlank="1" showInputMessage="1" showErrorMessage="1" errorTitle="Ungültige Dateneingabe" error="Geben Sie eine ganze Zahl zwischen 2000 und 15000 ein." sqref="B13">
      <formula1>2000</formula1>
      <formula2>15000</formula2>
    </dataValidation>
    <dataValidation type="whole" allowBlank="1" showInputMessage="1" showErrorMessage="1" errorTitle="Ungültige Dateineingabe" error="Geben Sie eine ganze Zahl zwischen 300 und 2500 ein." sqref="B14">
      <formula1>300</formula1>
      <formula2>2500</formula2>
    </dataValidation>
    <dataValidation allowBlank="1" showInputMessage="1" showErrorMessage="1" errorTitle="Ungültige Eingabe" error="Geben Sie eine Dezimalzahl ein." sqref="E114:F115 G115 I46:I47"/>
    <dataValidation type="decimal" allowBlank="1" showErrorMessage="1" errorTitle="Ungültige Eingabe" error="Geben Sie eine Dezimalzahl &lt; 100 ein." sqref="E116:H119 C116:C119">
      <formula1>0</formula1>
      <formula2>99</formula2>
    </dataValidation>
    <dataValidation type="decimal" allowBlank="1" showInputMessage="1" showErrorMessage="1" errorTitle="Ungültige Eingabe" error="Geben Sie eine Dezimalzahl &lt; 100 ein." sqref="G110:H113 E110:E113">
      <formula1>0</formula1>
      <formula2>99</formula2>
    </dataValidation>
    <dataValidation type="decimal" allowBlank="1" showInputMessage="1" showErrorMessage="1" errorTitle="Ungültige Eingabe" error="Geben Sie eine Dezimalzahl ein." sqref="I127:J130">
      <formula1>-999999</formula1>
      <formula2>999999</formula2>
    </dataValidation>
    <dataValidation type="decimal" allowBlank="1" showInputMessage="1" showErrorMessage="1" sqref="F13">
      <formula1>0</formula1>
      <formula2>100</formula2>
    </dataValidation>
    <dataValidation type="decimal" allowBlank="1" showInputMessage="1" showErrorMessage="1" errorTitle="Ungültige Eingabe" error="Geben Sie in dieses Feld eine ganze Zahl ein." sqref="F25:F36 F38:F40 P25:Q40">
      <formula1>0</formula1>
      <formula2>1000000</formula2>
    </dataValidation>
    <dataValidation type="whole" allowBlank="1" showInputMessage="1" showErrorMessage="1" errorTitle="Ungültige Eingabe" error="Geben Sie in dieses Feld eine ganze Zahl ein." sqref="G25:H36">
      <formula1>0</formula1>
      <formula2>100</formula2>
    </dataValidation>
    <dataValidation type="decimal" operator="greaterThanOrEqual" allowBlank="1" showInputMessage="1" showErrorMessage="1" errorTitle="Falsche Eingabe" error="Geben sie eine positve Zahl ein." sqref="D25:E36 D38:E40">
      <formula1>0</formula1>
    </dataValidation>
    <dataValidation type="decimal" allowBlank="1" showInputMessage="1" showErrorMessage="1" errorTitle="Ungültige Eingabe" error="Geben Sie in dieses Feld eine ganze Zahl ein." sqref="G38:H40">
      <formula1>0</formula1>
      <formula2>100</formula2>
    </dataValidation>
    <dataValidation type="decimal" allowBlank="1" showInputMessage="1" showErrorMessage="1" error="Geben sie eine Dezimalzahl ein." sqref="D64">
      <formula1>0</formula1>
      <formula2>100</formula2>
    </dataValidation>
    <dataValidation type="decimal" allowBlank="1" showInputMessage="1" showErrorMessage="1" error="Geben sie eine Dezimalzahl ein._x000a_Der Wert muss kleiner als der TS-Gehalt, des zur Separierung vorgesehenen flüssigen Wirtschaftdüngers sein." sqref="F78">
      <formula1>0</formula1>
      <formula2>N51</formula2>
    </dataValidation>
    <dataValidation type="decimal" operator="greaterThanOrEqual" allowBlank="1" showInputMessage="1" showErrorMessage="1" error="Geben sie eine Dezimalzahl ein._x000a_Der Wert muss größer als der TS-Gehalt, des zur Separierung vorgesehenen flüssigen Wirtschaftdüngers sein." sqref="J78">
      <formula1>C60</formula1>
    </dataValidation>
    <dataValidation type="decimal" allowBlank="1" showInputMessage="1" showErrorMessage="1" errorTitle="ungültige Eingabe" error="Geben Sie eine Dezimalzahl ein." sqref="G47">
      <formula1>0</formula1>
      <formula2>99999</formula2>
    </dataValidation>
    <dataValidation type="decimal" allowBlank="1" showInputMessage="1" showErrorMessage="1" errorTitle="ungültige Eingabe" error="Geben Sie eine Dezimalzahl ein." sqref="G46">
      <formula1>0</formula1>
      <formula2>99999</formula2>
    </dataValidation>
  </dataValidations>
  <pageMargins left="0.39370078740157483" right="0.39370078740157483" top="0.39370078740157483" bottom="0.39370078740157483" header="0.31496062992125984" footer="0.31496062992125984"/>
  <pageSetup paperSize="9" orientation="portrait" r:id="rId2"/>
  <headerFooter alignWithMargins="0">
    <oddFooter>&amp;C&amp;P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5" r:id="rId5" name="Drop Down 7">
              <controlPr defaultSize="0" autoLine="0" autoPict="0">
                <anchor moveWithCells="1">
                  <from>
                    <xdr:col>0</xdr:col>
                    <xdr:colOff>19050</xdr:colOff>
                    <xdr:row>24</xdr:row>
                    <xdr:rowOff>190500</xdr:rowOff>
                  </from>
                  <to>
                    <xdr:col>2</xdr:col>
                    <xdr:colOff>847725</xdr:colOff>
                    <xdr:row>25</xdr:row>
                    <xdr:rowOff>190500</xdr:rowOff>
                  </to>
                </anchor>
              </controlPr>
            </control>
          </mc:Choice>
        </mc:AlternateContent>
        <mc:AlternateContent xmlns:mc="http://schemas.openxmlformats.org/markup-compatibility/2006">
          <mc:Choice Requires="x14">
            <control shapeId="2058" r:id="rId6" name="Drop Down 10">
              <controlPr defaultSize="0" autoLine="0" autoPict="0">
                <anchor moveWithCells="1">
                  <from>
                    <xdr:col>0</xdr:col>
                    <xdr:colOff>19050</xdr:colOff>
                    <xdr:row>25</xdr:row>
                    <xdr:rowOff>180975</xdr:rowOff>
                  </from>
                  <to>
                    <xdr:col>2</xdr:col>
                    <xdr:colOff>847725</xdr:colOff>
                    <xdr:row>26</xdr:row>
                    <xdr:rowOff>180975</xdr:rowOff>
                  </to>
                </anchor>
              </controlPr>
            </control>
          </mc:Choice>
        </mc:AlternateContent>
        <mc:AlternateContent xmlns:mc="http://schemas.openxmlformats.org/markup-compatibility/2006">
          <mc:Choice Requires="x14">
            <control shapeId="2059" r:id="rId7" name="Drop Down 11">
              <controlPr defaultSize="0" autoLine="0" autoPict="0">
                <anchor moveWithCells="1">
                  <from>
                    <xdr:col>0</xdr:col>
                    <xdr:colOff>19050</xdr:colOff>
                    <xdr:row>26</xdr:row>
                    <xdr:rowOff>180975</xdr:rowOff>
                  </from>
                  <to>
                    <xdr:col>2</xdr:col>
                    <xdr:colOff>847725</xdr:colOff>
                    <xdr:row>27</xdr:row>
                    <xdr:rowOff>180975</xdr:rowOff>
                  </to>
                </anchor>
              </controlPr>
            </control>
          </mc:Choice>
        </mc:AlternateContent>
        <mc:AlternateContent xmlns:mc="http://schemas.openxmlformats.org/markup-compatibility/2006">
          <mc:Choice Requires="x14">
            <control shapeId="2060" r:id="rId8" name="Drop Down 12">
              <controlPr defaultSize="0" autoLine="0" autoPict="0">
                <anchor moveWithCells="1">
                  <from>
                    <xdr:col>0</xdr:col>
                    <xdr:colOff>19050</xdr:colOff>
                    <xdr:row>27</xdr:row>
                    <xdr:rowOff>180975</xdr:rowOff>
                  </from>
                  <to>
                    <xdr:col>2</xdr:col>
                    <xdr:colOff>847725</xdr:colOff>
                    <xdr:row>28</xdr:row>
                    <xdr:rowOff>180975</xdr:rowOff>
                  </to>
                </anchor>
              </controlPr>
            </control>
          </mc:Choice>
        </mc:AlternateContent>
        <mc:AlternateContent xmlns:mc="http://schemas.openxmlformats.org/markup-compatibility/2006">
          <mc:Choice Requires="x14">
            <control shapeId="2061" r:id="rId9" name="Drop Down 13">
              <controlPr defaultSize="0" autoLine="0" autoPict="0">
                <anchor moveWithCells="1">
                  <from>
                    <xdr:col>0</xdr:col>
                    <xdr:colOff>19050</xdr:colOff>
                    <xdr:row>28</xdr:row>
                    <xdr:rowOff>180975</xdr:rowOff>
                  </from>
                  <to>
                    <xdr:col>2</xdr:col>
                    <xdr:colOff>847725</xdr:colOff>
                    <xdr:row>29</xdr:row>
                    <xdr:rowOff>180975</xdr:rowOff>
                  </to>
                </anchor>
              </controlPr>
            </control>
          </mc:Choice>
        </mc:AlternateContent>
        <mc:AlternateContent xmlns:mc="http://schemas.openxmlformats.org/markup-compatibility/2006">
          <mc:Choice Requires="x14">
            <control shapeId="2062" r:id="rId10" name="Drop Down 14">
              <controlPr defaultSize="0" autoLine="0" autoPict="0">
                <anchor moveWithCells="1">
                  <from>
                    <xdr:col>0</xdr:col>
                    <xdr:colOff>19050</xdr:colOff>
                    <xdr:row>29</xdr:row>
                    <xdr:rowOff>180975</xdr:rowOff>
                  </from>
                  <to>
                    <xdr:col>2</xdr:col>
                    <xdr:colOff>847725</xdr:colOff>
                    <xdr:row>30</xdr:row>
                    <xdr:rowOff>180975</xdr:rowOff>
                  </to>
                </anchor>
              </controlPr>
            </control>
          </mc:Choice>
        </mc:AlternateContent>
        <mc:AlternateContent xmlns:mc="http://schemas.openxmlformats.org/markup-compatibility/2006">
          <mc:Choice Requires="x14">
            <control shapeId="2063" r:id="rId11" name="Drop Down 15">
              <controlPr defaultSize="0" autoLine="0" autoPict="0">
                <anchor moveWithCells="1">
                  <from>
                    <xdr:col>0</xdr:col>
                    <xdr:colOff>19050</xdr:colOff>
                    <xdr:row>30</xdr:row>
                    <xdr:rowOff>180975</xdr:rowOff>
                  </from>
                  <to>
                    <xdr:col>2</xdr:col>
                    <xdr:colOff>847725</xdr:colOff>
                    <xdr:row>31</xdr:row>
                    <xdr:rowOff>180975</xdr:rowOff>
                  </to>
                </anchor>
              </controlPr>
            </control>
          </mc:Choice>
        </mc:AlternateContent>
        <mc:AlternateContent xmlns:mc="http://schemas.openxmlformats.org/markup-compatibility/2006">
          <mc:Choice Requires="x14">
            <control shapeId="2064" r:id="rId12" name="Drop Down 16">
              <controlPr defaultSize="0" autoLine="0" autoPict="0">
                <anchor moveWithCells="1">
                  <from>
                    <xdr:col>0</xdr:col>
                    <xdr:colOff>19050</xdr:colOff>
                    <xdr:row>31</xdr:row>
                    <xdr:rowOff>180975</xdr:rowOff>
                  </from>
                  <to>
                    <xdr:col>2</xdr:col>
                    <xdr:colOff>847725</xdr:colOff>
                    <xdr:row>32</xdr:row>
                    <xdr:rowOff>180975</xdr:rowOff>
                  </to>
                </anchor>
              </controlPr>
            </control>
          </mc:Choice>
        </mc:AlternateContent>
        <mc:AlternateContent xmlns:mc="http://schemas.openxmlformats.org/markup-compatibility/2006">
          <mc:Choice Requires="x14">
            <control shapeId="2065" r:id="rId13" name="Drop Down 17">
              <controlPr defaultSize="0" autoLine="0" autoPict="0">
                <anchor moveWithCells="1">
                  <from>
                    <xdr:col>0</xdr:col>
                    <xdr:colOff>19050</xdr:colOff>
                    <xdr:row>32</xdr:row>
                    <xdr:rowOff>190500</xdr:rowOff>
                  </from>
                  <to>
                    <xdr:col>2</xdr:col>
                    <xdr:colOff>847725</xdr:colOff>
                    <xdr:row>33</xdr:row>
                    <xdr:rowOff>190500</xdr:rowOff>
                  </to>
                </anchor>
              </controlPr>
            </control>
          </mc:Choice>
        </mc:AlternateContent>
        <mc:AlternateContent xmlns:mc="http://schemas.openxmlformats.org/markup-compatibility/2006">
          <mc:Choice Requires="x14">
            <control shapeId="2081" r:id="rId14" name="Drop Down 33">
              <controlPr defaultSize="0" autoLine="0" autoPict="0">
                <anchor moveWithCells="1">
                  <from>
                    <xdr:col>0</xdr:col>
                    <xdr:colOff>19050</xdr:colOff>
                    <xdr:row>33</xdr:row>
                    <xdr:rowOff>190500</xdr:rowOff>
                  </from>
                  <to>
                    <xdr:col>2</xdr:col>
                    <xdr:colOff>847725</xdr:colOff>
                    <xdr:row>34</xdr:row>
                    <xdr:rowOff>190500</xdr:rowOff>
                  </to>
                </anchor>
              </controlPr>
            </control>
          </mc:Choice>
        </mc:AlternateContent>
        <mc:AlternateContent xmlns:mc="http://schemas.openxmlformats.org/markup-compatibility/2006">
          <mc:Choice Requires="x14">
            <control shapeId="2082" r:id="rId15" name="Drop Down 34">
              <controlPr defaultSize="0" autoLine="0" autoPict="0">
                <anchor moveWithCells="1">
                  <from>
                    <xdr:col>0</xdr:col>
                    <xdr:colOff>19050</xdr:colOff>
                    <xdr:row>34</xdr:row>
                    <xdr:rowOff>190500</xdr:rowOff>
                  </from>
                  <to>
                    <xdr:col>2</xdr:col>
                    <xdr:colOff>847725</xdr:colOff>
                    <xdr:row>35</xdr:row>
                    <xdr:rowOff>190500</xdr:rowOff>
                  </to>
                </anchor>
              </controlPr>
            </control>
          </mc:Choice>
        </mc:AlternateContent>
        <mc:AlternateContent xmlns:mc="http://schemas.openxmlformats.org/markup-compatibility/2006">
          <mc:Choice Requires="x14">
            <control shapeId="2208" r:id="rId16" name="Drop Down 160">
              <controlPr defaultSize="0" autoLine="0" autoPict="0">
                <anchor moveWithCells="1">
                  <from>
                    <xdr:col>5</xdr:col>
                    <xdr:colOff>19050</xdr:colOff>
                    <xdr:row>23</xdr:row>
                    <xdr:rowOff>9525</xdr:rowOff>
                  </from>
                  <to>
                    <xdr:col>5</xdr:col>
                    <xdr:colOff>495300</xdr:colOff>
                    <xdr:row>24</xdr:row>
                    <xdr:rowOff>161925</xdr:rowOff>
                  </to>
                </anchor>
              </controlPr>
            </control>
          </mc:Choice>
        </mc:AlternateContent>
        <mc:AlternateContent xmlns:mc="http://schemas.openxmlformats.org/markup-compatibility/2006">
          <mc:Choice Requires="x14">
            <control shapeId="2250" r:id="rId17" name="Drop Down 202">
              <controlPr defaultSize="0" autoLine="0" autoPict="0">
                <anchor moveWithCells="1">
                  <from>
                    <xdr:col>0</xdr:col>
                    <xdr:colOff>19050</xdr:colOff>
                    <xdr:row>23</xdr:row>
                    <xdr:rowOff>19050</xdr:rowOff>
                  </from>
                  <to>
                    <xdr:col>2</xdr:col>
                    <xdr:colOff>847725</xdr:colOff>
                    <xdr:row>24</xdr:row>
                    <xdr:rowOff>190500</xdr:rowOff>
                  </to>
                </anchor>
              </controlPr>
            </control>
          </mc:Choice>
        </mc:AlternateContent>
        <mc:AlternateContent xmlns:mc="http://schemas.openxmlformats.org/markup-compatibility/2006">
          <mc:Choice Requires="x14">
            <control shapeId="2261" r:id="rId18" name="Drop Down 213">
              <controlPr defaultSize="0" autoLine="0" autoPict="0">
                <anchor moveWithCells="1">
                  <from>
                    <xdr:col>5</xdr:col>
                    <xdr:colOff>19050</xdr:colOff>
                    <xdr:row>24</xdr:row>
                    <xdr:rowOff>180975</xdr:rowOff>
                  </from>
                  <to>
                    <xdr:col>5</xdr:col>
                    <xdr:colOff>495300</xdr:colOff>
                    <xdr:row>25</xdr:row>
                    <xdr:rowOff>161925</xdr:rowOff>
                  </to>
                </anchor>
              </controlPr>
            </control>
          </mc:Choice>
        </mc:AlternateContent>
        <mc:AlternateContent xmlns:mc="http://schemas.openxmlformats.org/markup-compatibility/2006">
          <mc:Choice Requires="x14">
            <control shapeId="2262" r:id="rId19" name="Drop Down 214">
              <controlPr defaultSize="0" autoLine="0" autoPict="0">
                <anchor moveWithCells="1">
                  <from>
                    <xdr:col>5</xdr:col>
                    <xdr:colOff>19050</xdr:colOff>
                    <xdr:row>25</xdr:row>
                    <xdr:rowOff>180975</xdr:rowOff>
                  </from>
                  <to>
                    <xdr:col>5</xdr:col>
                    <xdr:colOff>495300</xdr:colOff>
                    <xdr:row>26</xdr:row>
                    <xdr:rowOff>161925</xdr:rowOff>
                  </to>
                </anchor>
              </controlPr>
            </control>
          </mc:Choice>
        </mc:AlternateContent>
        <mc:AlternateContent xmlns:mc="http://schemas.openxmlformats.org/markup-compatibility/2006">
          <mc:Choice Requires="x14">
            <control shapeId="2263" r:id="rId20" name="Drop Down 215">
              <controlPr defaultSize="0" autoLine="0" autoPict="0">
                <anchor moveWithCells="1">
                  <from>
                    <xdr:col>5</xdr:col>
                    <xdr:colOff>19050</xdr:colOff>
                    <xdr:row>26</xdr:row>
                    <xdr:rowOff>180975</xdr:rowOff>
                  </from>
                  <to>
                    <xdr:col>5</xdr:col>
                    <xdr:colOff>495300</xdr:colOff>
                    <xdr:row>27</xdr:row>
                    <xdr:rowOff>161925</xdr:rowOff>
                  </to>
                </anchor>
              </controlPr>
            </control>
          </mc:Choice>
        </mc:AlternateContent>
        <mc:AlternateContent xmlns:mc="http://schemas.openxmlformats.org/markup-compatibility/2006">
          <mc:Choice Requires="x14">
            <control shapeId="2264" r:id="rId21" name="Drop Down 216">
              <controlPr defaultSize="0" autoLine="0" autoPict="0">
                <anchor moveWithCells="1">
                  <from>
                    <xdr:col>5</xdr:col>
                    <xdr:colOff>19050</xdr:colOff>
                    <xdr:row>27</xdr:row>
                    <xdr:rowOff>180975</xdr:rowOff>
                  </from>
                  <to>
                    <xdr:col>5</xdr:col>
                    <xdr:colOff>495300</xdr:colOff>
                    <xdr:row>28</xdr:row>
                    <xdr:rowOff>161925</xdr:rowOff>
                  </to>
                </anchor>
              </controlPr>
            </control>
          </mc:Choice>
        </mc:AlternateContent>
        <mc:AlternateContent xmlns:mc="http://schemas.openxmlformats.org/markup-compatibility/2006">
          <mc:Choice Requires="x14">
            <control shapeId="2265" r:id="rId22" name="Drop Down 217">
              <controlPr defaultSize="0" autoLine="0" autoPict="0">
                <anchor moveWithCells="1">
                  <from>
                    <xdr:col>5</xdr:col>
                    <xdr:colOff>19050</xdr:colOff>
                    <xdr:row>28</xdr:row>
                    <xdr:rowOff>180975</xdr:rowOff>
                  </from>
                  <to>
                    <xdr:col>5</xdr:col>
                    <xdr:colOff>495300</xdr:colOff>
                    <xdr:row>29</xdr:row>
                    <xdr:rowOff>161925</xdr:rowOff>
                  </to>
                </anchor>
              </controlPr>
            </control>
          </mc:Choice>
        </mc:AlternateContent>
        <mc:AlternateContent xmlns:mc="http://schemas.openxmlformats.org/markup-compatibility/2006">
          <mc:Choice Requires="x14">
            <control shapeId="2266" r:id="rId23" name="Drop Down 218">
              <controlPr defaultSize="0" autoLine="0" autoPict="0">
                <anchor moveWithCells="1">
                  <from>
                    <xdr:col>5</xdr:col>
                    <xdr:colOff>19050</xdr:colOff>
                    <xdr:row>29</xdr:row>
                    <xdr:rowOff>180975</xdr:rowOff>
                  </from>
                  <to>
                    <xdr:col>5</xdr:col>
                    <xdr:colOff>495300</xdr:colOff>
                    <xdr:row>30</xdr:row>
                    <xdr:rowOff>161925</xdr:rowOff>
                  </to>
                </anchor>
              </controlPr>
            </control>
          </mc:Choice>
        </mc:AlternateContent>
        <mc:AlternateContent xmlns:mc="http://schemas.openxmlformats.org/markup-compatibility/2006">
          <mc:Choice Requires="x14">
            <control shapeId="2267" r:id="rId24" name="Drop Down 219">
              <controlPr defaultSize="0" autoLine="0" autoPict="0">
                <anchor moveWithCells="1">
                  <from>
                    <xdr:col>5</xdr:col>
                    <xdr:colOff>19050</xdr:colOff>
                    <xdr:row>30</xdr:row>
                    <xdr:rowOff>180975</xdr:rowOff>
                  </from>
                  <to>
                    <xdr:col>5</xdr:col>
                    <xdr:colOff>495300</xdr:colOff>
                    <xdr:row>31</xdr:row>
                    <xdr:rowOff>161925</xdr:rowOff>
                  </to>
                </anchor>
              </controlPr>
            </control>
          </mc:Choice>
        </mc:AlternateContent>
        <mc:AlternateContent xmlns:mc="http://schemas.openxmlformats.org/markup-compatibility/2006">
          <mc:Choice Requires="x14">
            <control shapeId="2268" r:id="rId25" name="Drop Down 220">
              <controlPr defaultSize="0" autoLine="0" autoPict="0">
                <anchor moveWithCells="1">
                  <from>
                    <xdr:col>5</xdr:col>
                    <xdr:colOff>19050</xdr:colOff>
                    <xdr:row>31</xdr:row>
                    <xdr:rowOff>180975</xdr:rowOff>
                  </from>
                  <to>
                    <xdr:col>5</xdr:col>
                    <xdr:colOff>495300</xdr:colOff>
                    <xdr:row>32</xdr:row>
                    <xdr:rowOff>161925</xdr:rowOff>
                  </to>
                </anchor>
              </controlPr>
            </control>
          </mc:Choice>
        </mc:AlternateContent>
        <mc:AlternateContent xmlns:mc="http://schemas.openxmlformats.org/markup-compatibility/2006">
          <mc:Choice Requires="x14">
            <control shapeId="2269" r:id="rId26" name="Drop Down 221">
              <controlPr defaultSize="0" autoLine="0" autoPict="0">
                <anchor moveWithCells="1">
                  <from>
                    <xdr:col>5</xdr:col>
                    <xdr:colOff>19050</xdr:colOff>
                    <xdr:row>32</xdr:row>
                    <xdr:rowOff>190500</xdr:rowOff>
                  </from>
                  <to>
                    <xdr:col>5</xdr:col>
                    <xdr:colOff>495300</xdr:colOff>
                    <xdr:row>33</xdr:row>
                    <xdr:rowOff>171450</xdr:rowOff>
                  </to>
                </anchor>
              </controlPr>
            </control>
          </mc:Choice>
        </mc:AlternateContent>
        <mc:AlternateContent xmlns:mc="http://schemas.openxmlformats.org/markup-compatibility/2006">
          <mc:Choice Requires="x14">
            <control shapeId="2270" r:id="rId27" name="Drop Down 222">
              <controlPr defaultSize="0" autoLine="0" autoPict="0">
                <anchor moveWithCells="1">
                  <from>
                    <xdr:col>5</xdr:col>
                    <xdr:colOff>19050</xdr:colOff>
                    <xdr:row>33</xdr:row>
                    <xdr:rowOff>190500</xdr:rowOff>
                  </from>
                  <to>
                    <xdr:col>5</xdr:col>
                    <xdr:colOff>495300</xdr:colOff>
                    <xdr:row>34</xdr:row>
                    <xdr:rowOff>171450</xdr:rowOff>
                  </to>
                </anchor>
              </controlPr>
            </control>
          </mc:Choice>
        </mc:AlternateContent>
        <mc:AlternateContent xmlns:mc="http://schemas.openxmlformats.org/markup-compatibility/2006">
          <mc:Choice Requires="x14">
            <control shapeId="2271" r:id="rId28" name="Drop Down 223">
              <controlPr defaultSize="0" autoLine="0" autoPict="0">
                <anchor moveWithCells="1">
                  <from>
                    <xdr:col>5</xdr:col>
                    <xdr:colOff>19050</xdr:colOff>
                    <xdr:row>34</xdr:row>
                    <xdr:rowOff>190500</xdr:rowOff>
                  </from>
                  <to>
                    <xdr:col>5</xdr:col>
                    <xdr:colOff>495300</xdr:colOff>
                    <xdr:row>35</xdr:row>
                    <xdr:rowOff>171450</xdr:rowOff>
                  </to>
                </anchor>
              </controlPr>
            </control>
          </mc:Choice>
        </mc:AlternateContent>
        <mc:AlternateContent xmlns:mc="http://schemas.openxmlformats.org/markup-compatibility/2006">
          <mc:Choice Requires="x14">
            <control shapeId="2304" r:id="rId29" name="Drop Down 256">
              <controlPr defaultSize="0" autoLine="0" autoPict="0">
                <anchor moveWithCells="1">
                  <from>
                    <xdr:col>5</xdr:col>
                    <xdr:colOff>19050</xdr:colOff>
                    <xdr:row>36</xdr:row>
                    <xdr:rowOff>190500</xdr:rowOff>
                  </from>
                  <to>
                    <xdr:col>5</xdr:col>
                    <xdr:colOff>495300</xdr:colOff>
                    <xdr:row>37</xdr:row>
                    <xdr:rowOff>171450</xdr:rowOff>
                  </to>
                </anchor>
              </controlPr>
            </control>
          </mc:Choice>
        </mc:AlternateContent>
        <mc:AlternateContent xmlns:mc="http://schemas.openxmlformats.org/markup-compatibility/2006">
          <mc:Choice Requires="x14">
            <control shapeId="2305" r:id="rId30" name="Drop Down 257">
              <controlPr defaultSize="0" print="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2307" r:id="rId31" name="Drop Down 259">
              <controlPr defaultSize="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2308" r:id="rId32" name="Drop Down 260">
              <controlPr defaultSize="0" autoLine="0" autoPict="0">
                <anchor moveWithCells="1">
                  <from>
                    <xdr:col>5</xdr:col>
                    <xdr:colOff>19050</xdr:colOff>
                    <xdr:row>38</xdr:row>
                    <xdr:rowOff>190500</xdr:rowOff>
                  </from>
                  <to>
                    <xdr:col>5</xdr:col>
                    <xdr:colOff>495300</xdr:colOff>
                    <xdr:row>39</xdr:row>
                    <xdr:rowOff>171450</xdr:rowOff>
                  </to>
                </anchor>
              </controlPr>
            </control>
          </mc:Choice>
        </mc:AlternateContent>
        <mc:AlternateContent xmlns:mc="http://schemas.openxmlformats.org/markup-compatibility/2006">
          <mc:Choice Requires="x14">
            <control shapeId="2368" r:id="rId33" name="Drop Down 320">
              <controlPr defaultSize="0" autoLine="0" autoPict="0">
                <anchor moveWithCells="1">
                  <from>
                    <xdr:col>2</xdr:col>
                    <xdr:colOff>19050</xdr:colOff>
                    <xdr:row>115</xdr:row>
                    <xdr:rowOff>9525</xdr:rowOff>
                  </from>
                  <to>
                    <xdr:col>3</xdr:col>
                    <xdr:colOff>485775</xdr:colOff>
                    <xdr:row>115</xdr:row>
                    <xdr:rowOff>209550</xdr:rowOff>
                  </to>
                </anchor>
              </controlPr>
            </control>
          </mc:Choice>
        </mc:AlternateContent>
        <mc:AlternateContent xmlns:mc="http://schemas.openxmlformats.org/markup-compatibility/2006">
          <mc:Choice Requires="x14">
            <control shapeId="2370" r:id="rId34" name="Drop Down 322">
              <controlPr defaultSize="0" autoLine="0" autoPict="0">
                <anchor moveWithCells="1">
                  <from>
                    <xdr:col>2</xdr:col>
                    <xdr:colOff>19050</xdr:colOff>
                    <xdr:row>116</xdr:row>
                    <xdr:rowOff>9525</xdr:rowOff>
                  </from>
                  <to>
                    <xdr:col>3</xdr:col>
                    <xdr:colOff>485775</xdr:colOff>
                    <xdr:row>116</xdr:row>
                    <xdr:rowOff>209550</xdr:rowOff>
                  </to>
                </anchor>
              </controlPr>
            </control>
          </mc:Choice>
        </mc:AlternateContent>
        <mc:AlternateContent xmlns:mc="http://schemas.openxmlformats.org/markup-compatibility/2006">
          <mc:Choice Requires="x14">
            <control shapeId="2371" r:id="rId35" name="Drop Down 323">
              <controlPr defaultSize="0" autoLine="0" autoPict="0">
                <anchor moveWithCells="1">
                  <from>
                    <xdr:col>2</xdr:col>
                    <xdr:colOff>19050</xdr:colOff>
                    <xdr:row>117</xdr:row>
                    <xdr:rowOff>9525</xdr:rowOff>
                  </from>
                  <to>
                    <xdr:col>3</xdr:col>
                    <xdr:colOff>485775</xdr:colOff>
                    <xdr:row>117</xdr:row>
                    <xdr:rowOff>219075</xdr:rowOff>
                  </to>
                </anchor>
              </controlPr>
            </control>
          </mc:Choice>
        </mc:AlternateContent>
        <mc:AlternateContent xmlns:mc="http://schemas.openxmlformats.org/markup-compatibility/2006">
          <mc:Choice Requires="x14">
            <control shapeId="2372" r:id="rId36" name="Drop Down 324">
              <controlPr defaultSize="0" autoLine="0" autoPict="0">
                <anchor moveWithCells="1">
                  <from>
                    <xdr:col>2</xdr:col>
                    <xdr:colOff>19050</xdr:colOff>
                    <xdr:row>118</xdr:row>
                    <xdr:rowOff>9525</xdr:rowOff>
                  </from>
                  <to>
                    <xdr:col>3</xdr:col>
                    <xdr:colOff>485775</xdr:colOff>
                    <xdr:row>118</xdr:row>
                    <xdr:rowOff>209550</xdr:rowOff>
                  </to>
                </anchor>
              </controlPr>
            </control>
          </mc:Choice>
        </mc:AlternateContent>
        <mc:AlternateContent xmlns:mc="http://schemas.openxmlformats.org/markup-compatibility/2006">
          <mc:Choice Requires="x14">
            <control shapeId="2401" r:id="rId37" name="Drop Down 353">
              <controlPr defaultSize="0" autoLine="0" autoPict="0">
                <anchor moveWithCells="1">
                  <from>
                    <xdr:col>0</xdr:col>
                    <xdr:colOff>0</xdr:colOff>
                    <xdr:row>126</xdr:row>
                    <xdr:rowOff>0</xdr:rowOff>
                  </from>
                  <to>
                    <xdr:col>0</xdr:col>
                    <xdr:colOff>962025</xdr:colOff>
                    <xdr:row>127</xdr:row>
                    <xdr:rowOff>0</xdr:rowOff>
                  </to>
                </anchor>
              </controlPr>
            </control>
          </mc:Choice>
        </mc:AlternateContent>
        <mc:AlternateContent xmlns:mc="http://schemas.openxmlformats.org/markup-compatibility/2006">
          <mc:Choice Requires="x14">
            <control shapeId="2402" r:id="rId38" name="Drop Down 354">
              <controlPr defaultSize="0" autoLine="0" autoPict="0">
                <anchor moveWithCells="1">
                  <from>
                    <xdr:col>0</xdr:col>
                    <xdr:colOff>0</xdr:colOff>
                    <xdr:row>127</xdr:row>
                    <xdr:rowOff>0</xdr:rowOff>
                  </from>
                  <to>
                    <xdr:col>0</xdr:col>
                    <xdr:colOff>962025</xdr:colOff>
                    <xdr:row>128</xdr:row>
                    <xdr:rowOff>0</xdr:rowOff>
                  </to>
                </anchor>
              </controlPr>
            </control>
          </mc:Choice>
        </mc:AlternateContent>
        <mc:AlternateContent xmlns:mc="http://schemas.openxmlformats.org/markup-compatibility/2006">
          <mc:Choice Requires="x14">
            <control shapeId="2403" r:id="rId39" name="Drop Down 355">
              <controlPr defaultSize="0" autoLine="0" autoPict="0">
                <anchor moveWithCells="1">
                  <from>
                    <xdr:col>0</xdr:col>
                    <xdr:colOff>0</xdr:colOff>
                    <xdr:row>128</xdr:row>
                    <xdr:rowOff>0</xdr:rowOff>
                  </from>
                  <to>
                    <xdr:col>0</xdr:col>
                    <xdr:colOff>962025</xdr:colOff>
                    <xdr:row>129</xdr:row>
                    <xdr:rowOff>0</xdr:rowOff>
                  </to>
                </anchor>
              </controlPr>
            </control>
          </mc:Choice>
        </mc:AlternateContent>
        <mc:AlternateContent xmlns:mc="http://schemas.openxmlformats.org/markup-compatibility/2006">
          <mc:Choice Requires="x14">
            <control shapeId="2404" r:id="rId40" name="Drop Down 356">
              <controlPr defaultSize="0" autoLine="0" autoPict="0">
                <anchor moveWithCells="1">
                  <from>
                    <xdr:col>0</xdr:col>
                    <xdr:colOff>0</xdr:colOff>
                    <xdr:row>129</xdr:row>
                    <xdr:rowOff>0</xdr:rowOff>
                  </from>
                  <to>
                    <xdr:col>0</xdr:col>
                    <xdr:colOff>962025</xdr:colOff>
                    <xdr:row>130</xdr:row>
                    <xdr:rowOff>0</xdr:rowOff>
                  </to>
                </anchor>
              </controlPr>
            </control>
          </mc:Choice>
        </mc:AlternateContent>
        <mc:AlternateContent xmlns:mc="http://schemas.openxmlformats.org/markup-compatibility/2006">
          <mc:Choice Requires="x14">
            <control shapeId="57789" r:id="rId41" name="Drop Down 2493">
              <controlPr defaultSize="0" autoLine="0" autoPict="0">
                <anchor moveWithCells="1">
                  <from>
                    <xdr:col>5</xdr:col>
                    <xdr:colOff>0</xdr:colOff>
                    <xdr:row>12</xdr:row>
                    <xdr:rowOff>9525</xdr:rowOff>
                  </from>
                  <to>
                    <xdr:col>5</xdr:col>
                    <xdr:colOff>495300</xdr:colOff>
                    <xdr:row>13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F78"/>
  <sheetViews>
    <sheetView zoomScale="110" zoomScaleNormal="110" zoomScaleSheetLayoutView="80" workbookViewId="0">
      <selection activeCell="G25" sqref="G25"/>
    </sheetView>
  </sheetViews>
  <sheetFormatPr baseColWidth="10" defaultRowHeight="12.75" x14ac:dyDescent="0.2"/>
  <cols>
    <col min="1" max="1" width="4.28515625" style="72" customWidth="1"/>
    <col min="2" max="2" width="41.5703125" style="72" customWidth="1"/>
    <col min="3" max="3" width="2.28515625" style="72" customWidth="1"/>
    <col min="4" max="4" width="6.85546875" style="72" customWidth="1"/>
    <col min="5" max="5" width="44.85546875" style="72" customWidth="1"/>
    <col min="6" max="16384" width="11.42578125" style="72"/>
  </cols>
  <sheetData>
    <row r="1" spans="1:6" ht="15.95" customHeight="1" x14ac:dyDescent="0.3">
      <c r="A1" s="190" t="s">
        <v>157</v>
      </c>
      <c r="B1" s="191"/>
      <c r="C1" s="191"/>
      <c r="D1" s="192"/>
      <c r="E1" s="191"/>
      <c r="F1" s="191"/>
    </row>
    <row r="2" spans="1:6" ht="6" customHeight="1" x14ac:dyDescent="0.25">
      <c r="A2" s="193"/>
      <c r="B2" s="194"/>
      <c r="C2" s="194"/>
      <c r="D2" s="193"/>
      <c r="E2" s="194"/>
      <c r="F2" s="194"/>
    </row>
    <row r="3" spans="1:6" ht="15.95" customHeight="1" x14ac:dyDescent="0.25">
      <c r="A3" s="1568" t="s">
        <v>158</v>
      </c>
      <c r="B3" s="1569"/>
      <c r="C3" s="195"/>
      <c r="D3" s="196"/>
      <c r="E3" s="197" t="s">
        <v>159</v>
      </c>
      <c r="F3" s="198"/>
    </row>
    <row r="4" spans="1:6" ht="14.1" customHeight="1" x14ac:dyDescent="0.2">
      <c r="A4" s="199" t="s">
        <v>160</v>
      </c>
      <c r="B4" s="200" t="s">
        <v>161</v>
      </c>
      <c r="C4" s="201"/>
      <c r="D4" s="202"/>
      <c r="E4" s="203" t="s">
        <v>162</v>
      </c>
      <c r="F4" s="204"/>
    </row>
    <row r="5" spans="1:6" ht="5.0999999999999996" customHeight="1" x14ac:dyDescent="0.2">
      <c r="A5" s="201"/>
      <c r="B5" s="204"/>
      <c r="C5" s="204"/>
      <c r="D5" s="205"/>
      <c r="E5" s="206"/>
      <c r="F5" s="204"/>
    </row>
    <row r="6" spans="1:6" ht="12.95" customHeight="1" x14ac:dyDescent="0.2">
      <c r="A6" s="207" t="s">
        <v>163</v>
      </c>
      <c r="B6" s="208" t="s">
        <v>164</v>
      </c>
      <c r="C6" s="209"/>
      <c r="D6" s="210"/>
      <c r="E6" s="211" t="s">
        <v>165</v>
      </c>
      <c r="F6" s="204"/>
    </row>
    <row r="7" spans="1:6" ht="5.0999999999999996" customHeight="1" x14ac:dyDescent="0.2">
      <c r="A7" s="212"/>
      <c r="B7" s="213"/>
      <c r="C7" s="209"/>
      <c r="D7" s="210"/>
      <c r="E7" s="214"/>
      <c r="F7" s="204"/>
    </row>
    <row r="8" spans="1:6" ht="12.95" customHeight="1" x14ac:dyDescent="0.2">
      <c r="A8" s="215" t="s">
        <v>166</v>
      </c>
      <c r="B8" s="216" t="s">
        <v>167</v>
      </c>
      <c r="C8" s="204"/>
      <c r="D8" s="210"/>
      <c r="E8" s="217" t="s">
        <v>167</v>
      </c>
      <c r="F8" s="204"/>
    </row>
    <row r="9" spans="1:6" ht="12.95" customHeight="1" x14ac:dyDescent="0.2">
      <c r="A9" s="218" t="s">
        <v>168</v>
      </c>
      <c r="B9" s="219" t="s">
        <v>169</v>
      </c>
      <c r="C9" s="204"/>
      <c r="D9" s="210"/>
      <c r="E9" s="220" t="s">
        <v>170</v>
      </c>
      <c r="F9" s="204"/>
    </row>
    <row r="10" spans="1:6" ht="12.95" customHeight="1" x14ac:dyDescent="0.2">
      <c r="A10" s="221" t="s">
        <v>171</v>
      </c>
      <c r="B10" s="222" t="s">
        <v>172</v>
      </c>
      <c r="C10" s="204"/>
      <c r="D10" s="210"/>
      <c r="E10" s="223" t="s">
        <v>173</v>
      </c>
      <c r="F10" s="204"/>
    </row>
    <row r="11" spans="1:6" ht="5.0999999999999996" customHeight="1" x14ac:dyDescent="0.2">
      <c r="A11" s="212"/>
      <c r="B11" s="206"/>
      <c r="C11" s="204"/>
      <c r="D11" s="210"/>
      <c r="E11" s="214"/>
      <c r="F11" s="204"/>
    </row>
    <row r="12" spans="1:6" ht="12.95" customHeight="1" x14ac:dyDescent="0.2">
      <c r="A12" s="215" t="s">
        <v>174</v>
      </c>
      <c r="B12" s="216" t="s">
        <v>175</v>
      </c>
      <c r="C12" s="204"/>
      <c r="D12" s="210"/>
      <c r="E12" s="217" t="s">
        <v>176</v>
      </c>
      <c r="F12" s="204"/>
    </row>
    <row r="13" spans="1:6" ht="12.95" customHeight="1" x14ac:dyDescent="0.2">
      <c r="A13" s="218" t="s">
        <v>177</v>
      </c>
      <c r="B13" s="219" t="s">
        <v>178</v>
      </c>
      <c r="C13" s="204"/>
      <c r="D13" s="210"/>
      <c r="E13" s="220" t="s">
        <v>178</v>
      </c>
      <c r="F13" s="204"/>
    </row>
    <row r="14" spans="1:6" ht="12.95" customHeight="1" x14ac:dyDescent="0.2">
      <c r="A14" s="221" t="s">
        <v>179</v>
      </c>
      <c r="B14" s="222" t="s">
        <v>180</v>
      </c>
      <c r="C14" s="204"/>
      <c r="D14" s="210"/>
      <c r="E14" s="223" t="s">
        <v>180</v>
      </c>
      <c r="F14" s="204"/>
    </row>
    <row r="15" spans="1:6" ht="5.0999999999999996" customHeight="1" x14ac:dyDescent="0.2">
      <c r="A15" s="212"/>
      <c r="B15" s="206"/>
      <c r="C15" s="204"/>
      <c r="D15" s="210"/>
      <c r="E15" s="214"/>
      <c r="F15" s="204"/>
    </row>
    <row r="16" spans="1:6" ht="12.95" customHeight="1" x14ac:dyDescent="0.2">
      <c r="A16" s="1558">
        <v>18</v>
      </c>
      <c r="B16" s="1565" t="s">
        <v>181</v>
      </c>
      <c r="C16" s="204"/>
      <c r="D16" s="210"/>
      <c r="E16" s="217" t="s">
        <v>182</v>
      </c>
      <c r="F16" s="204"/>
    </row>
    <row r="17" spans="1:6" ht="12.95" customHeight="1" x14ac:dyDescent="0.2">
      <c r="A17" s="1562"/>
      <c r="B17" s="1567"/>
      <c r="C17" s="204"/>
      <c r="D17" s="210"/>
      <c r="E17" s="223" t="s">
        <v>183</v>
      </c>
      <c r="F17" s="204"/>
    </row>
    <row r="18" spans="1:6" ht="5.0999999999999996" customHeight="1" x14ac:dyDescent="0.2">
      <c r="A18" s="212"/>
      <c r="B18" s="206"/>
      <c r="C18" s="204"/>
      <c r="D18" s="210"/>
      <c r="E18" s="214"/>
      <c r="F18" s="204"/>
    </row>
    <row r="19" spans="1:6" ht="12.95" customHeight="1" x14ac:dyDescent="0.2">
      <c r="A19" s="224" t="s">
        <v>184</v>
      </c>
      <c r="B19" s="225" t="s">
        <v>185</v>
      </c>
      <c r="C19" s="204"/>
      <c r="D19" s="210"/>
      <c r="E19" s="1570" t="s">
        <v>186</v>
      </c>
      <c r="F19" s="204"/>
    </row>
    <row r="20" spans="1:6" ht="12.95" customHeight="1" x14ac:dyDescent="0.2">
      <c r="A20" s="218" t="s">
        <v>187</v>
      </c>
      <c r="B20" s="219" t="s">
        <v>188</v>
      </c>
      <c r="C20" s="204"/>
      <c r="D20" s="210"/>
      <c r="E20" s="1571"/>
      <c r="F20" s="204"/>
    </row>
    <row r="21" spans="1:6" ht="12.95" customHeight="1" x14ac:dyDescent="0.2">
      <c r="A21" s="218" t="s">
        <v>189</v>
      </c>
      <c r="B21" s="219" t="s">
        <v>190</v>
      </c>
      <c r="C21" s="204"/>
      <c r="D21" s="210"/>
      <c r="E21" s="226" t="s">
        <v>191</v>
      </c>
      <c r="F21" s="204"/>
    </row>
    <row r="22" spans="1:6" ht="12" customHeight="1" x14ac:dyDescent="0.2">
      <c r="A22" s="221" t="s">
        <v>192</v>
      </c>
      <c r="B22" s="222" t="s">
        <v>193</v>
      </c>
      <c r="C22" s="204"/>
      <c r="D22" s="210"/>
      <c r="E22" s="227"/>
      <c r="F22" s="204"/>
    </row>
    <row r="23" spans="1:6" ht="5.0999999999999996" customHeight="1" x14ac:dyDescent="0.2">
      <c r="A23" s="212"/>
      <c r="B23" s="206"/>
      <c r="C23" s="204"/>
      <c r="D23" s="210"/>
      <c r="E23" s="206"/>
      <c r="F23" s="204"/>
    </row>
    <row r="24" spans="1:6" ht="12.95" customHeight="1" x14ac:dyDescent="0.2">
      <c r="A24" s="215" t="s">
        <v>194</v>
      </c>
      <c r="B24" s="216" t="s">
        <v>195</v>
      </c>
      <c r="C24" s="204"/>
      <c r="D24" s="210"/>
      <c r="E24" s="1572" t="s">
        <v>196</v>
      </c>
      <c r="F24" s="204"/>
    </row>
    <row r="25" spans="1:6" ht="12.95" customHeight="1" x14ac:dyDescent="0.2">
      <c r="A25" s="221" t="s">
        <v>197</v>
      </c>
      <c r="B25" s="222" t="s">
        <v>198</v>
      </c>
      <c r="C25" s="204"/>
      <c r="D25" s="210"/>
      <c r="E25" s="1573"/>
      <c r="F25" s="204"/>
    </row>
    <row r="26" spans="1:6" ht="5.0999999999999996" customHeight="1" x14ac:dyDescent="0.2">
      <c r="A26" s="212"/>
      <c r="B26" s="206"/>
      <c r="C26" s="204"/>
      <c r="D26" s="210"/>
      <c r="E26" s="206"/>
      <c r="F26" s="204"/>
    </row>
    <row r="27" spans="1:6" ht="12.95" customHeight="1" x14ac:dyDescent="0.2">
      <c r="A27" s="215" t="s">
        <v>199</v>
      </c>
      <c r="B27" s="216" t="s">
        <v>200</v>
      </c>
      <c r="C27" s="204"/>
      <c r="D27" s="210"/>
      <c r="E27" s="228" t="s">
        <v>201</v>
      </c>
      <c r="F27" s="204"/>
    </row>
    <row r="28" spans="1:6" ht="12.95" customHeight="1" x14ac:dyDescent="0.2">
      <c r="A28" s="221" t="s">
        <v>202</v>
      </c>
      <c r="B28" s="222" t="s">
        <v>203</v>
      </c>
      <c r="C28" s="204"/>
      <c r="D28" s="210"/>
      <c r="E28" s="227" t="s">
        <v>204</v>
      </c>
      <c r="F28" s="204"/>
    </row>
    <row r="29" spans="1:6" ht="8.1" customHeight="1" x14ac:dyDescent="0.2">
      <c r="A29" s="212"/>
      <c r="B29" s="206"/>
      <c r="C29" s="204"/>
      <c r="D29" s="210"/>
      <c r="E29" s="206"/>
      <c r="F29" s="204"/>
    </row>
    <row r="30" spans="1:6" ht="12.95" customHeight="1" x14ac:dyDescent="0.2">
      <c r="A30" s="1558" t="s">
        <v>205</v>
      </c>
      <c r="B30" s="1563" t="s">
        <v>206</v>
      </c>
      <c r="C30" s="204"/>
      <c r="D30" s="210"/>
      <c r="E30" s="229" t="s">
        <v>207</v>
      </c>
      <c r="F30" s="204"/>
    </row>
    <row r="31" spans="1:6" ht="12.95" customHeight="1" x14ac:dyDescent="0.2">
      <c r="A31" s="1562"/>
      <c r="B31" s="1564"/>
      <c r="C31" s="204"/>
      <c r="D31" s="205"/>
      <c r="E31" s="230" t="s">
        <v>208</v>
      </c>
      <c r="F31" s="204"/>
    </row>
    <row r="32" spans="1:6" ht="9.9499999999999993" customHeight="1" x14ac:dyDescent="0.2">
      <c r="A32" s="212"/>
      <c r="B32" s="206"/>
      <c r="C32" s="204"/>
      <c r="D32" s="205"/>
      <c r="E32" s="206"/>
      <c r="F32" s="204"/>
    </row>
    <row r="33" spans="1:6" ht="12.95" customHeight="1" x14ac:dyDescent="0.2">
      <c r="A33" s="212"/>
      <c r="B33" s="206"/>
      <c r="C33" s="204"/>
      <c r="D33" s="210"/>
      <c r="E33" s="217" t="s">
        <v>209</v>
      </c>
      <c r="F33" s="204"/>
    </row>
    <row r="34" spans="1:6" ht="12.95" customHeight="1" x14ac:dyDescent="0.2">
      <c r="A34" s="212"/>
      <c r="B34" s="206"/>
      <c r="C34" s="204"/>
      <c r="D34" s="205"/>
      <c r="E34" s="220" t="s">
        <v>210</v>
      </c>
      <c r="F34" s="204"/>
    </row>
    <row r="35" spans="1:6" ht="12.95" customHeight="1" x14ac:dyDescent="0.2">
      <c r="A35" s="212"/>
      <c r="B35" s="206"/>
      <c r="C35" s="204"/>
      <c r="D35" s="205"/>
      <c r="E35" s="231" t="s">
        <v>211</v>
      </c>
      <c r="F35" s="204"/>
    </row>
    <row r="36" spans="1:6" ht="12.95" customHeight="1" x14ac:dyDescent="0.2">
      <c r="A36" s="1558" t="s">
        <v>212</v>
      </c>
      <c r="B36" s="1565" t="s">
        <v>213</v>
      </c>
      <c r="C36" s="204"/>
      <c r="D36" s="205"/>
      <c r="E36" s="232" t="s">
        <v>214</v>
      </c>
      <c r="F36" s="204"/>
    </row>
    <row r="37" spans="1:6" ht="12.95" customHeight="1" x14ac:dyDescent="0.2">
      <c r="A37" s="1559"/>
      <c r="B37" s="1566"/>
      <c r="C37" s="204"/>
      <c r="D37" s="210"/>
      <c r="E37" s="233" t="s">
        <v>215</v>
      </c>
      <c r="F37" s="204"/>
    </row>
    <row r="38" spans="1:6" ht="12.95" customHeight="1" x14ac:dyDescent="0.2">
      <c r="A38" s="212"/>
      <c r="B38" s="206"/>
      <c r="C38" s="204"/>
      <c r="D38" s="205"/>
      <c r="E38" s="233" t="s">
        <v>216</v>
      </c>
      <c r="F38" s="204"/>
    </row>
    <row r="39" spans="1:6" ht="12.95" customHeight="1" x14ac:dyDescent="0.2">
      <c r="A39" s="212"/>
      <c r="B39" s="206"/>
      <c r="C39" s="204"/>
      <c r="D39" s="205"/>
      <c r="E39" s="234" t="s">
        <v>217</v>
      </c>
      <c r="F39" s="204"/>
    </row>
    <row r="40" spans="1:6" ht="12.95" customHeight="1" x14ac:dyDescent="0.2">
      <c r="A40" s="212"/>
      <c r="B40" s="206"/>
      <c r="C40" s="204"/>
      <c r="D40" s="205"/>
      <c r="E40" s="235" t="s">
        <v>218</v>
      </c>
      <c r="F40" s="204"/>
    </row>
    <row r="41" spans="1:6" ht="5.0999999999999996" customHeight="1" x14ac:dyDescent="0.2">
      <c r="A41" s="212"/>
      <c r="B41" s="206"/>
      <c r="C41" s="204"/>
      <c r="D41" s="205"/>
      <c r="E41" s="206"/>
      <c r="F41" s="204"/>
    </row>
    <row r="42" spans="1:6" ht="12.95" customHeight="1" x14ac:dyDescent="0.2">
      <c r="A42" s="212"/>
      <c r="B42" s="206"/>
      <c r="C42" s="204"/>
      <c r="D42" s="210"/>
      <c r="E42" s="228" t="s">
        <v>219</v>
      </c>
      <c r="F42" s="204"/>
    </row>
    <row r="43" spans="1:6" ht="12.95" customHeight="1" x14ac:dyDescent="0.2">
      <c r="A43" s="215" t="s">
        <v>220</v>
      </c>
      <c r="B43" s="216" t="s">
        <v>221</v>
      </c>
      <c r="C43" s="204"/>
      <c r="D43" s="205"/>
      <c r="E43" s="226" t="s">
        <v>222</v>
      </c>
      <c r="F43" s="204"/>
    </row>
    <row r="44" spans="1:6" ht="12.95" customHeight="1" x14ac:dyDescent="0.2">
      <c r="A44" s="218" t="s">
        <v>223</v>
      </c>
      <c r="B44" s="219" t="s">
        <v>224</v>
      </c>
      <c r="C44" s="204"/>
      <c r="D44" s="205"/>
      <c r="E44" s="226" t="s">
        <v>225</v>
      </c>
      <c r="F44" s="204"/>
    </row>
    <row r="45" spans="1:6" ht="12.95" customHeight="1" x14ac:dyDescent="0.2">
      <c r="A45" s="221" t="s">
        <v>226</v>
      </c>
      <c r="B45" s="222" t="s">
        <v>227</v>
      </c>
      <c r="C45" s="204"/>
      <c r="D45" s="205"/>
      <c r="E45" s="226" t="s">
        <v>228</v>
      </c>
      <c r="F45" s="204"/>
    </row>
    <row r="46" spans="1:6" ht="12.95" customHeight="1" x14ac:dyDescent="0.2">
      <c r="A46" s="212"/>
      <c r="B46" s="206"/>
      <c r="C46" s="204"/>
      <c r="D46" s="205"/>
      <c r="E46" s="227" t="s">
        <v>229</v>
      </c>
      <c r="F46" s="204"/>
    </row>
    <row r="47" spans="1:6" ht="8.1" customHeight="1" x14ac:dyDescent="0.2">
      <c r="A47" s="212"/>
      <c r="B47" s="206"/>
      <c r="C47" s="204"/>
      <c r="D47" s="205"/>
      <c r="E47" s="206"/>
      <c r="F47" s="204"/>
    </row>
    <row r="48" spans="1:6" ht="12.95" customHeight="1" x14ac:dyDescent="0.2">
      <c r="A48" s="1558" t="s">
        <v>230</v>
      </c>
      <c r="B48" s="1565" t="s">
        <v>231</v>
      </c>
      <c r="C48" s="204"/>
      <c r="D48" s="210"/>
      <c r="E48" s="228" t="s">
        <v>232</v>
      </c>
      <c r="F48" s="204"/>
    </row>
    <row r="49" spans="1:6" ht="12.95" customHeight="1" x14ac:dyDescent="0.2">
      <c r="A49" s="1562"/>
      <c r="B49" s="1567"/>
      <c r="C49" s="204"/>
      <c r="D49" s="205"/>
      <c r="E49" s="227" t="s">
        <v>233</v>
      </c>
      <c r="F49" s="204"/>
    </row>
    <row r="50" spans="1:6" ht="5.0999999999999996" customHeight="1" x14ac:dyDescent="0.2">
      <c r="A50" s="212"/>
      <c r="B50" s="206"/>
      <c r="C50" s="204"/>
      <c r="D50" s="205"/>
      <c r="E50" s="236"/>
      <c r="F50" s="204"/>
    </row>
    <row r="51" spans="1:6" ht="12.95" customHeight="1" x14ac:dyDescent="0.2">
      <c r="A51" s="1558" t="s">
        <v>234</v>
      </c>
      <c r="B51" s="1563" t="s">
        <v>235</v>
      </c>
      <c r="C51" s="204"/>
      <c r="D51" s="210"/>
      <c r="E51" s="228" t="s">
        <v>236</v>
      </c>
      <c r="F51" s="204"/>
    </row>
    <row r="52" spans="1:6" ht="12.95" customHeight="1" x14ac:dyDescent="0.2">
      <c r="A52" s="1562"/>
      <c r="B52" s="1564"/>
      <c r="C52" s="204"/>
      <c r="D52" s="205"/>
      <c r="E52" s="227" t="s">
        <v>237</v>
      </c>
      <c r="F52" s="204"/>
    </row>
    <row r="53" spans="1:6" ht="5.0999999999999996" customHeight="1" x14ac:dyDescent="0.2">
      <c r="A53" s="212"/>
      <c r="B53" s="206"/>
      <c r="C53" s="204"/>
      <c r="D53" s="205"/>
      <c r="E53" s="236"/>
      <c r="F53" s="204"/>
    </row>
    <row r="54" spans="1:6" ht="12.95" customHeight="1" x14ac:dyDescent="0.2">
      <c r="A54" s="1558" t="s">
        <v>238</v>
      </c>
      <c r="B54" s="1563" t="s">
        <v>239</v>
      </c>
      <c r="C54" s="204"/>
      <c r="D54" s="210"/>
      <c r="E54" s="228" t="s">
        <v>240</v>
      </c>
      <c r="F54" s="204"/>
    </row>
    <row r="55" spans="1:6" ht="12.95" customHeight="1" x14ac:dyDescent="0.2">
      <c r="A55" s="1562"/>
      <c r="B55" s="1564"/>
      <c r="C55" s="204"/>
      <c r="D55" s="205"/>
      <c r="E55" s="227" t="s">
        <v>241</v>
      </c>
      <c r="F55" s="204"/>
    </row>
    <row r="56" spans="1:6" ht="5.0999999999999996" customHeight="1" x14ac:dyDescent="0.2">
      <c r="A56" s="212"/>
      <c r="B56" s="206"/>
      <c r="C56" s="204"/>
      <c r="D56" s="205"/>
      <c r="E56" s="236"/>
      <c r="F56" s="204"/>
    </row>
    <row r="57" spans="1:6" ht="12.95" customHeight="1" x14ac:dyDescent="0.2">
      <c r="A57" s="1558" t="s">
        <v>242</v>
      </c>
      <c r="B57" s="1565" t="s">
        <v>243</v>
      </c>
      <c r="C57" s="204"/>
      <c r="D57" s="210"/>
      <c r="E57" s="228" t="s">
        <v>244</v>
      </c>
      <c r="F57" s="204"/>
    </row>
    <row r="58" spans="1:6" ht="12.95" customHeight="1" x14ac:dyDescent="0.2">
      <c r="A58" s="1559"/>
      <c r="B58" s="1566"/>
      <c r="C58" s="204"/>
      <c r="D58" s="205"/>
      <c r="E58" s="227" t="s">
        <v>245</v>
      </c>
      <c r="F58" s="204"/>
    </row>
    <row r="59" spans="1:6" ht="5.0999999999999996" customHeight="1" x14ac:dyDescent="0.2">
      <c r="A59" s="212"/>
      <c r="B59" s="206"/>
      <c r="C59" s="204"/>
      <c r="D59" s="205"/>
      <c r="E59" s="236"/>
      <c r="F59" s="204"/>
    </row>
    <row r="60" spans="1:6" ht="12.95" customHeight="1" x14ac:dyDescent="0.2">
      <c r="A60" s="207" t="s">
        <v>246</v>
      </c>
      <c r="B60" s="237" t="s">
        <v>247</v>
      </c>
      <c r="C60" s="204"/>
      <c r="D60" s="205"/>
      <c r="E60" s="238" t="s">
        <v>248</v>
      </c>
      <c r="F60" s="204"/>
    </row>
    <row r="61" spans="1:6" ht="5.0999999999999996" customHeight="1" x14ac:dyDescent="0.2">
      <c r="A61" s="212"/>
      <c r="B61" s="206"/>
      <c r="C61" s="204"/>
      <c r="D61" s="205"/>
      <c r="E61" s="236"/>
      <c r="F61" s="204"/>
    </row>
    <row r="62" spans="1:6" ht="12.95" customHeight="1" x14ac:dyDescent="0.2">
      <c r="A62" s="212"/>
      <c r="B62" s="206"/>
      <c r="C62" s="204"/>
      <c r="D62" s="205"/>
      <c r="E62" s="228" t="s">
        <v>249</v>
      </c>
      <c r="F62" s="204"/>
    </row>
    <row r="63" spans="1:6" ht="12.95" customHeight="1" x14ac:dyDescent="0.2">
      <c r="A63" s="1558" t="s">
        <v>250</v>
      </c>
      <c r="B63" s="1563" t="s">
        <v>251</v>
      </c>
      <c r="C63" s="204"/>
      <c r="D63" s="205"/>
      <c r="E63" s="226" t="s">
        <v>252</v>
      </c>
      <c r="F63" s="204"/>
    </row>
    <row r="64" spans="1:6" ht="12.95" customHeight="1" x14ac:dyDescent="0.2">
      <c r="A64" s="1562"/>
      <c r="B64" s="1564"/>
      <c r="C64" s="204"/>
      <c r="D64" s="205"/>
      <c r="E64" s="226" t="s">
        <v>253</v>
      </c>
      <c r="F64" s="204"/>
    </row>
    <row r="65" spans="1:6" ht="12.95" customHeight="1" x14ac:dyDescent="0.2">
      <c r="A65" s="212"/>
      <c r="B65" s="206"/>
      <c r="C65" s="204"/>
      <c r="D65" s="205"/>
      <c r="E65" s="227" t="s">
        <v>254</v>
      </c>
      <c r="F65" s="204"/>
    </row>
    <row r="66" spans="1:6" ht="5.0999999999999996" customHeight="1" x14ac:dyDescent="0.2">
      <c r="A66" s="212"/>
      <c r="B66" s="206"/>
      <c r="C66" s="204"/>
      <c r="D66" s="205"/>
      <c r="E66" s="236"/>
      <c r="F66" s="204"/>
    </row>
    <row r="67" spans="1:6" ht="12.95" customHeight="1" x14ac:dyDescent="0.2">
      <c r="A67" s="207" t="s">
        <v>255</v>
      </c>
      <c r="B67" s="239" t="s">
        <v>256</v>
      </c>
      <c r="C67" s="240"/>
      <c r="D67" s="205"/>
      <c r="E67" s="238" t="s">
        <v>257</v>
      </c>
      <c r="F67" s="204"/>
    </row>
    <row r="68" spans="1:6" ht="5.0999999999999996" customHeight="1" x14ac:dyDescent="0.2">
      <c r="A68" s="212"/>
      <c r="B68" s="206"/>
      <c r="C68" s="204"/>
      <c r="D68" s="205"/>
      <c r="E68" s="236"/>
      <c r="F68" s="204"/>
    </row>
    <row r="69" spans="1:6" ht="12.95" customHeight="1" x14ac:dyDescent="0.2">
      <c r="A69" s="1558" t="s">
        <v>258</v>
      </c>
      <c r="B69" s="1560" t="s">
        <v>259</v>
      </c>
      <c r="C69" s="240"/>
      <c r="D69" s="205"/>
      <c r="E69" s="228" t="s">
        <v>260</v>
      </c>
      <c r="F69" s="204"/>
    </row>
    <row r="70" spans="1:6" ht="12.95" customHeight="1" x14ac:dyDescent="0.2">
      <c r="A70" s="1559"/>
      <c r="B70" s="1561"/>
      <c r="C70" s="240"/>
      <c r="D70" s="205"/>
      <c r="E70" s="227" t="s">
        <v>261</v>
      </c>
      <c r="F70" s="204"/>
    </row>
    <row r="71" spans="1:6" ht="5.0999999999999996" customHeight="1" x14ac:dyDescent="0.2">
      <c r="A71" s="212"/>
      <c r="B71" s="206"/>
      <c r="C71" s="204"/>
      <c r="D71" s="205"/>
      <c r="E71" s="236"/>
      <c r="F71" s="204"/>
    </row>
    <row r="72" spans="1:6" ht="12.95" customHeight="1" x14ac:dyDescent="0.2">
      <c r="A72" s="1558" t="s">
        <v>262</v>
      </c>
      <c r="B72" s="1560" t="s">
        <v>263</v>
      </c>
      <c r="C72" s="240"/>
      <c r="D72" s="205"/>
      <c r="E72" s="228" t="s">
        <v>264</v>
      </c>
      <c r="F72" s="204"/>
    </row>
    <row r="73" spans="1:6" ht="12.95" customHeight="1" x14ac:dyDescent="0.2">
      <c r="A73" s="1559"/>
      <c r="B73" s="1561"/>
      <c r="C73" s="240"/>
      <c r="D73" s="205"/>
      <c r="E73" s="227" t="s">
        <v>265</v>
      </c>
      <c r="F73" s="204"/>
    </row>
    <row r="74" spans="1:6" ht="5.0999999999999996" customHeight="1" x14ac:dyDescent="0.2">
      <c r="A74" s="212"/>
      <c r="B74" s="206"/>
      <c r="C74" s="204"/>
      <c r="D74" s="205"/>
      <c r="E74" s="236"/>
      <c r="F74" s="204"/>
    </row>
    <row r="75" spans="1:6" ht="12.95" customHeight="1" x14ac:dyDescent="0.2">
      <c r="A75" s="207" t="s">
        <v>266</v>
      </c>
      <c r="B75" s="239" t="s">
        <v>267</v>
      </c>
      <c r="C75" s="240"/>
      <c r="D75" s="205"/>
      <c r="E75" s="238" t="s">
        <v>268</v>
      </c>
      <c r="F75" s="204"/>
    </row>
    <row r="76" spans="1:6" ht="5.0999999999999996" customHeight="1" x14ac:dyDescent="0.25">
      <c r="A76" s="193"/>
      <c r="B76" s="194"/>
      <c r="C76" s="194"/>
      <c r="D76" s="193"/>
      <c r="E76" s="194"/>
      <c r="F76" s="194"/>
    </row>
    <row r="77" spans="1:6" ht="15" x14ac:dyDescent="0.25">
      <c r="A77" s="207" t="s">
        <v>269</v>
      </c>
      <c r="B77" s="239" t="s">
        <v>270</v>
      </c>
      <c r="C77" s="194"/>
      <c r="D77" s="193"/>
      <c r="E77" s="238" t="s">
        <v>271</v>
      </c>
      <c r="F77" s="194"/>
    </row>
    <row r="78" spans="1:6" ht="15" x14ac:dyDescent="0.25">
      <c r="A78" s="193"/>
      <c r="B78" s="194"/>
      <c r="C78" s="194"/>
      <c r="D78" s="193"/>
      <c r="E78" s="194"/>
      <c r="F78" s="194"/>
    </row>
  </sheetData>
  <customSheetViews>
    <customSheetView guid="{DDA6E6AA-9473-49A0-A3A2-76E4959B79AF}" scale="110" fitToPage="1" state="hidden">
      <selection activeCell="G25" sqref="G25"/>
      <pageMargins left="0" right="0" top="0" bottom="0" header="0.31496062992125984" footer="0.31496062992125984"/>
      <pageSetup paperSize="9" orientation="portrait" r:id="rId1"/>
    </customSheetView>
  </customSheetViews>
  <mergeCells count="23">
    <mergeCell ref="A30:A31"/>
    <mergeCell ref="B30:B31"/>
    <mergeCell ref="A3:B3"/>
    <mergeCell ref="A16:A17"/>
    <mergeCell ref="B16:B17"/>
    <mergeCell ref="E19:E20"/>
    <mergeCell ref="E24:E25"/>
    <mergeCell ref="A36:A37"/>
    <mergeCell ref="B36:B37"/>
    <mergeCell ref="A48:A49"/>
    <mergeCell ref="B48:B49"/>
    <mergeCell ref="A51:A52"/>
    <mergeCell ref="B51:B52"/>
    <mergeCell ref="A69:A70"/>
    <mergeCell ref="B69:B70"/>
    <mergeCell ref="A72:A73"/>
    <mergeCell ref="B72:B73"/>
    <mergeCell ref="A54:A55"/>
    <mergeCell ref="B54:B55"/>
    <mergeCell ref="A57:A58"/>
    <mergeCell ref="B57:B58"/>
    <mergeCell ref="A63:A64"/>
    <mergeCell ref="B63:B64"/>
  </mergeCells>
  <pageMargins left="0" right="0" top="0" bottom="0" header="0.31496062992125984" footer="0.31496062992125984"/>
  <pageSetup paperSize="9" orientation="portrait" r:id="rId2"/>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2:N112"/>
  <sheetViews>
    <sheetView topLeftCell="C7" workbookViewId="0">
      <selection activeCell="D31" sqref="D31"/>
    </sheetView>
  </sheetViews>
  <sheetFormatPr baseColWidth="10" defaultRowHeight="12.75" x14ac:dyDescent="0.2"/>
  <cols>
    <col min="1" max="1" width="0.85546875" style="185" customWidth="1"/>
    <col min="2" max="2" width="57.42578125" style="185" customWidth="1"/>
    <col min="3" max="3" width="50.42578125" style="185" customWidth="1"/>
    <col min="4" max="4" width="5.7109375" style="69" customWidth="1"/>
    <col min="5" max="5" width="5.7109375" style="73" customWidth="1"/>
    <col min="6" max="6" width="5.7109375" style="69" customWidth="1"/>
    <col min="7" max="7" width="6" style="69" customWidth="1"/>
    <col min="8" max="8" width="6.140625" style="71" customWidth="1"/>
    <col min="9" max="9" width="11.42578125" style="72"/>
    <col min="10" max="10" width="11.42578125" style="69"/>
    <col min="11" max="11" width="11.42578125" style="73"/>
    <col min="12" max="13" width="11.42578125" style="69"/>
    <col min="14" max="14" width="11.42578125" style="71"/>
    <col min="15" max="16384" width="11.42578125" style="72"/>
  </cols>
  <sheetData>
    <row r="2" spans="3:13" x14ac:dyDescent="0.2">
      <c r="C2" s="185" t="s">
        <v>283</v>
      </c>
    </row>
    <row r="3" spans="3:13" x14ac:dyDescent="0.2">
      <c r="C3" s="242">
        <v>6555</v>
      </c>
      <c r="E3" s="170" t="s">
        <v>50</v>
      </c>
      <c r="H3" s="96" t="s">
        <v>272</v>
      </c>
      <c r="I3" s="96"/>
      <c r="J3" s="121">
        <v>100</v>
      </c>
      <c r="L3" s="170"/>
      <c r="M3" s="241">
        <f>IF(C3&lt;=6000,J3,IF(AND(C3&gt;6000,C3&lt;=8000),J3+L4*(C3-6000),IF(AND(C3&gt;8000,C3&lt;=10000),J4+L5*(C3-8000),IF(AND(C3&gt;10000,C3&lt;=12000),J5+L6*(C3-10000),J6))))</f>
        <v>104.16249999999999</v>
      </c>
    </row>
    <row r="4" spans="3:13" x14ac:dyDescent="0.2">
      <c r="H4" s="125" t="s">
        <v>274</v>
      </c>
      <c r="I4" s="244"/>
      <c r="J4" s="245">
        <v>115</v>
      </c>
      <c r="K4" s="72"/>
      <c r="L4" s="72">
        <f>+(J4-J3)/2000</f>
        <v>7.4999999999999997E-3</v>
      </c>
    </row>
    <row r="5" spans="3:13" x14ac:dyDescent="0.2">
      <c r="H5" s="96" t="s">
        <v>275</v>
      </c>
      <c r="I5" s="96"/>
      <c r="J5" s="121">
        <v>133</v>
      </c>
      <c r="K5" s="72"/>
      <c r="L5" s="72">
        <f>+(J5-J4)/2000</f>
        <v>8.9999999999999993E-3</v>
      </c>
    </row>
    <row r="6" spans="3:13" x14ac:dyDescent="0.2">
      <c r="C6" s="72" t="s">
        <v>28</v>
      </c>
      <c r="H6" s="96" t="s">
        <v>276</v>
      </c>
      <c r="I6" s="96"/>
      <c r="J6" s="121">
        <v>152</v>
      </c>
      <c r="K6" s="72"/>
      <c r="L6" s="72">
        <f>+(J6-J5)/2000</f>
        <v>9.4999999999999998E-3</v>
      </c>
    </row>
    <row r="7" spans="3:13" x14ac:dyDescent="0.2">
      <c r="C7" s="261">
        <f>+'Berech. Lagerraum flüssig+fest'!AU13</f>
        <v>0</v>
      </c>
      <c r="H7" s="72"/>
      <c r="J7" s="72"/>
      <c r="K7" s="72"/>
      <c r="L7" s="72"/>
    </row>
    <row r="8" spans="3:13" x14ac:dyDescent="0.2">
      <c r="E8" s="170" t="s">
        <v>49</v>
      </c>
      <c r="H8" s="96" t="s">
        <v>277</v>
      </c>
      <c r="I8" s="96"/>
      <c r="J8" s="121">
        <v>109</v>
      </c>
      <c r="L8" s="72"/>
      <c r="M8" s="241">
        <f>IF(C3&lt;=6000,J8,IF(AND(C3&gt;6000,C3&lt;=8000),J8+L9*(C3-6000),IF(AND(C3&gt;8000,C3&lt;=10000),J9+L10*(C3-8000),J10)))</f>
        <v>113.16249999999999</v>
      </c>
    </row>
    <row r="9" spans="3:13" x14ac:dyDescent="0.2">
      <c r="H9" s="96" t="s">
        <v>274</v>
      </c>
      <c r="I9" s="250"/>
      <c r="J9" s="121">
        <v>124</v>
      </c>
      <c r="K9" s="72"/>
      <c r="L9" s="72">
        <f>+(J9-J8)/2000</f>
        <v>7.4999999999999997E-3</v>
      </c>
    </row>
    <row r="10" spans="3:13" x14ac:dyDescent="0.2">
      <c r="H10" s="96" t="s">
        <v>275</v>
      </c>
      <c r="I10" s="96"/>
      <c r="J10" s="121">
        <v>141</v>
      </c>
      <c r="K10" s="72"/>
      <c r="L10" s="72">
        <f>+(J10-J9)/2000</f>
        <v>8.5000000000000006E-3</v>
      </c>
    </row>
    <row r="11" spans="3:13" x14ac:dyDescent="0.2">
      <c r="H11" s="72"/>
    </row>
    <row r="12" spans="3:13" ht="14.25" x14ac:dyDescent="0.2">
      <c r="G12" s="256"/>
      <c r="H12" s="243"/>
      <c r="I12" s="243"/>
      <c r="J12" s="256"/>
      <c r="K12" s="257"/>
      <c r="L12" s="257"/>
      <c r="M12" s="257"/>
    </row>
    <row r="13" spans="3:13" x14ac:dyDescent="0.2">
      <c r="E13" s="170" t="s">
        <v>50</v>
      </c>
      <c r="G13" s="256"/>
      <c r="H13" s="247" t="s">
        <v>279</v>
      </c>
      <c r="I13" s="243"/>
      <c r="J13" s="258"/>
      <c r="K13" s="111">
        <v>37</v>
      </c>
      <c r="L13" s="256"/>
      <c r="M13" s="256"/>
    </row>
    <row r="14" spans="3:13" x14ac:dyDescent="0.2">
      <c r="G14" s="256"/>
      <c r="H14" s="247" t="s">
        <v>280</v>
      </c>
      <c r="I14" s="243"/>
      <c r="J14" s="258"/>
      <c r="K14" s="111">
        <v>56</v>
      </c>
      <c r="L14" s="256"/>
      <c r="M14" s="256"/>
    </row>
    <row r="15" spans="3:13" x14ac:dyDescent="0.2">
      <c r="G15" s="256"/>
      <c r="H15" s="247" t="s">
        <v>11</v>
      </c>
      <c r="I15" s="243"/>
      <c r="J15" s="258"/>
      <c r="K15" s="111">
        <v>64</v>
      </c>
      <c r="L15" s="256"/>
      <c r="M15" s="256"/>
    </row>
    <row r="16" spans="3:13" x14ac:dyDescent="0.2">
      <c r="G16" s="256"/>
      <c r="H16" s="96"/>
      <c r="I16" s="243"/>
      <c r="J16" s="256"/>
      <c r="K16" s="256"/>
      <c r="L16" s="256"/>
      <c r="M16" s="256"/>
    </row>
    <row r="17" spans="1:14" x14ac:dyDescent="0.2">
      <c r="E17" s="170" t="s">
        <v>49</v>
      </c>
      <c r="G17" s="256"/>
      <c r="H17" s="247" t="s">
        <v>279</v>
      </c>
      <c r="I17" s="243"/>
      <c r="J17" s="258"/>
      <c r="K17" s="111">
        <v>47</v>
      </c>
      <c r="L17" s="256"/>
      <c r="M17" s="256"/>
    </row>
    <row r="18" spans="1:14" x14ac:dyDescent="0.2">
      <c r="G18" s="256"/>
      <c r="H18" s="247" t="s">
        <v>280</v>
      </c>
      <c r="I18" s="243"/>
      <c r="J18" s="258"/>
      <c r="K18" s="111">
        <v>72</v>
      </c>
      <c r="L18" s="256"/>
      <c r="M18" s="256"/>
    </row>
    <row r="19" spans="1:14" x14ac:dyDescent="0.2">
      <c r="G19" s="256"/>
      <c r="H19" s="247" t="s">
        <v>11</v>
      </c>
      <c r="I19" s="243"/>
      <c r="J19" s="258"/>
      <c r="K19" s="111">
        <v>84</v>
      </c>
      <c r="L19" s="256"/>
      <c r="M19" s="256"/>
    </row>
    <row r="20" spans="1:14" x14ac:dyDescent="0.2">
      <c r="L20" s="256"/>
      <c r="M20" s="256"/>
    </row>
    <row r="21" spans="1:14" s="73" customFormat="1" x14ac:dyDescent="0.2">
      <c r="A21" s="66" t="s">
        <v>69</v>
      </c>
      <c r="B21" s="67"/>
      <c r="C21" s="68"/>
      <c r="D21" s="69"/>
      <c r="E21" s="67"/>
      <c r="F21" s="70"/>
      <c r="G21" s="260"/>
      <c r="H21" s="96"/>
      <c r="I21" s="243"/>
      <c r="J21" s="256"/>
      <c r="K21" s="256"/>
      <c r="L21" s="256"/>
      <c r="M21" s="256"/>
      <c r="N21" s="71"/>
    </row>
    <row r="22" spans="1:14" s="73" customFormat="1" x14ac:dyDescent="0.2">
      <c r="A22" s="66" t="s">
        <v>70</v>
      </c>
      <c r="B22" s="67"/>
      <c r="C22" s="66"/>
      <c r="D22" s="69"/>
      <c r="E22" s="67"/>
      <c r="F22" s="74"/>
      <c r="G22" s="74"/>
      <c r="L22" s="259"/>
      <c r="M22" s="259"/>
      <c r="N22" s="71"/>
    </row>
    <row r="23" spans="1:14" s="73" customFormat="1" ht="13.5" thickBot="1" x14ac:dyDescent="0.25">
      <c r="A23" s="75" t="s">
        <v>71</v>
      </c>
      <c r="B23" s="67"/>
      <c r="C23" s="66"/>
      <c r="D23" s="69"/>
      <c r="E23" s="67"/>
      <c r="F23" s="74"/>
      <c r="G23" s="74"/>
      <c r="H23" s="71"/>
      <c r="I23" s="72"/>
      <c r="J23" s="69"/>
      <c r="L23" s="69"/>
      <c r="M23" s="69"/>
      <c r="N23" s="71"/>
    </row>
    <row r="24" spans="1:14" s="73" customFormat="1" x14ac:dyDescent="0.2">
      <c r="A24" s="76"/>
      <c r="B24" s="77"/>
      <c r="C24" s="77"/>
      <c r="D24" s="1545" t="s">
        <v>72</v>
      </c>
      <c r="E24" s="1546"/>
      <c r="F24" s="1546"/>
      <c r="G24" s="78"/>
      <c r="H24" s="79"/>
      <c r="I24" s="1574" t="s">
        <v>14</v>
      </c>
      <c r="J24" s="1575"/>
      <c r="L24" s="69"/>
      <c r="M24" s="69"/>
      <c r="N24" s="71"/>
    </row>
    <row r="25" spans="1:14" s="73" customFormat="1" x14ac:dyDescent="0.2">
      <c r="A25" s="80"/>
      <c r="B25" s="81" t="s">
        <v>73</v>
      </c>
      <c r="C25" s="81" t="s">
        <v>74</v>
      </c>
      <c r="D25" s="1550" t="s">
        <v>4</v>
      </c>
      <c r="E25" s="1543"/>
      <c r="F25" s="1543"/>
      <c r="G25" s="83"/>
      <c r="H25" s="84"/>
      <c r="I25" s="1576" t="s">
        <v>15</v>
      </c>
      <c r="J25" s="1577"/>
      <c r="L25" s="69"/>
      <c r="M25" s="69"/>
      <c r="N25" s="71"/>
    </row>
    <row r="26" spans="1:14" s="73" customFormat="1" x14ac:dyDescent="0.2">
      <c r="A26" s="87"/>
      <c r="B26" s="68"/>
      <c r="C26" s="68"/>
      <c r="D26" s="1550" t="s">
        <v>75</v>
      </c>
      <c r="E26" s="1543"/>
      <c r="F26" s="1543"/>
      <c r="G26" s="83"/>
      <c r="H26" s="84"/>
      <c r="I26" s="85" t="s">
        <v>0</v>
      </c>
      <c r="J26" s="86" t="s">
        <v>16</v>
      </c>
      <c r="L26" s="69"/>
      <c r="M26" s="69" t="s">
        <v>57</v>
      </c>
      <c r="N26" s="71"/>
    </row>
    <row r="27" spans="1:14" s="73" customFormat="1" ht="13.5" thickBot="1" x14ac:dyDescent="0.25">
      <c r="A27" s="88"/>
      <c r="B27" s="89"/>
      <c r="C27" s="89"/>
      <c r="D27" s="90" t="s">
        <v>5</v>
      </c>
      <c r="E27" s="91" t="s">
        <v>6</v>
      </c>
      <c r="F27" s="91" t="s">
        <v>7</v>
      </c>
      <c r="G27" s="91" t="s">
        <v>76</v>
      </c>
      <c r="H27" s="92" t="s">
        <v>77</v>
      </c>
      <c r="I27" s="93" t="s">
        <v>2</v>
      </c>
      <c r="J27" s="94" t="s">
        <v>2</v>
      </c>
      <c r="K27" s="73" t="s">
        <v>281</v>
      </c>
      <c r="L27" s="69" t="s">
        <v>0</v>
      </c>
      <c r="M27" s="69" t="s">
        <v>273</v>
      </c>
      <c r="N27" s="71" t="s">
        <v>282</v>
      </c>
    </row>
    <row r="28" spans="1:14" s="73" customFormat="1" x14ac:dyDescent="0.2">
      <c r="A28" s="95"/>
      <c r="B28" s="96"/>
      <c r="C28" s="96"/>
      <c r="D28" s="97"/>
      <c r="E28" s="98"/>
      <c r="F28" s="82"/>
      <c r="G28" s="99" t="s">
        <v>78</v>
      </c>
      <c r="H28" s="100" t="s">
        <v>79</v>
      </c>
      <c r="I28" s="72"/>
      <c r="J28" s="69"/>
      <c r="L28" s="69"/>
      <c r="M28" s="69"/>
      <c r="N28" s="71"/>
    </row>
    <row r="29" spans="1:14" s="73" customFormat="1" x14ac:dyDescent="0.2">
      <c r="A29" s="101" t="s">
        <v>80</v>
      </c>
      <c r="B29" s="102"/>
      <c r="C29" s="102" t="s">
        <v>27</v>
      </c>
      <c r="D29" s="103"/>
      <c r="E29" s="104"/>
      <c r="F29" s="105"/>
      <c r="G29" s="106"/>
      <c r="H29" s="107"/>
      <c r="I29" s="114">
        <v>15</v>
      </c>
      <c r="J29" s="69">
        <v>30</v>
      </c>
      <c r="L29" s="69"/>
      <c r="M29" s="69"/>
      <c r="N29" s="71"/>
    </row>
    <row r="30" spans="1:14" s="73" customFormat="1" x14ac:dyDescent="0.2">
      <c r="A30" s="87"/>
      <c r="B30" s="246" t="s">
        <v>26</v>
      </c>
      <c r="C30" s="246" t="s">
        <v>26</v>
      </c>
      <c r="D30" s="248">
        <f>IF(C7&lt;=0.65,M3,IF(C7&gt;=0.85,M8,((0.85-C7)*5*M3)+((C7-0.65)*5*M8)))</f>
        <v>104.16249999999999</v>
      </c>
      <c r="E30" s="252"/>
      <c r="F30" s="253"/>
      <c r="G30" s="254"/>
      <c r="H30" s="255"/>
      <c r="I30" s="114">
        <v>15</v>
      </c>
      <c r="J30" s="69">
        <v>30</v>
      </c>
      <c r="L30" s="69"/>
      <c r="M30" s="69"/>
      <c r="N30" s="71"/>
    </row>
    <row r="31" spans="1:14" s="73" customFormat="1" x14ac:dyDescent="0.2">
      <c r="A31" s="87"/>
      <c r="B31" s="249" t="s">
        <v>278</v>
      </c>
      <c r="C31" s="249" t="s">
        <v>278</v>
      </c>
      <c r="D31" s="251">
        <v>22</v>
      </c>
      <c r="E31" s="252"/>
      <c r="F31" s="253"/>
      <c r="G31" s="254"/>
      <c r="H31" s="255"/>
      <c r="I31" s="114">
        <v>15</v>
      </c>
      <c r="J31" s="69">
        <v>30</v>
      </c>
      <c r="L31" s="69"/>
      <c r="M31" s="69"/>
      <c r="N31" s="71"/>
    </row>
    <row r="32" spans="1:14" s="73" customFormat="1" x14ac:dyDescent="0.2">
      <c r="A32" s="87"/>
      <c r="B32" s="246" t="s">
        <v>279</v>
      </c>
      <c r="C32" s="246" t="s">
        <v>279</v>
      </c>
      <c r="D32" s="248">
        <f>IF(C7&lt;=0.65,K13,IF(C7&gt;=0.85,K17,((0.85-C7)*5*K13)+((C7-0.65)*5*K17)))</f>
        <v>37</v>
      </c>
      <c r="E32" s="252"/>
      <c r="F32" s="253"/>
      <c r="G32" s="254"/>
      <c r="H32" s="255"/>
      <c r="I32" s="114">
        <v>15</v>
      </c>
      <c r="J32" s="69">
        <v>30</v>
      </c>
      <c r="L32" s="69"/>
      <c r="M32" s="69"/>
      <c r="N32" s="71"/>
    </row>
    <row r="33" spans="1:14" s="73" customFormat="1" x14ac:dyDescent="0.2">
      <c r="A33" s="87"/>
      <c r="B33" s="246" t="s">
        <v>280</v>
      </c>
      <c r="C33" s="246" t="s">
        <v>280</v>
      </c>
      <c r="D33" s="248">
        <f>IF(C7&lt;=0.65,K14,IF(C7&gt;=0.85,K18,((0.85-C7)*5*K14)+((C7-0.65)*5*K18)))</f>
        <v>56</v>
      </c>
      <c r="E33" s="252"/>
      <c r="F33" s="253"/>
      <c r="G33" s="254"/>
      <c r="H33" s="255"/>
      <c r="I33" s="114">
        <v>15</v>
      </c>
      <c r="J33" s="69">
        <v>30</v>
      </c>
      <c r="L33" s="69"/>
      <c r="M33" s="69"/>
      <c r="N33" s="71"/>
    </row>
    <row r="34" spans="1:14" s="73" customFormat="1" x14ac:dyDescent="0.2">
      <c r="A34" s="87"/>
      <c r="B34" s="246" t="s">
        <v>11</v>
      </c>
      <c r="C34" s="246" t="s">
        <v>11</v>
      </c>
      <c r="D34" s="248">
        <f>IF(C7&lt;=0.65,K15,IF(C7&gt;=0.85,K19,((0.85-C7)*5*K15)+((C7-0.65)*5*K19)))</f>
        <v>64</v>
      </c>
      <c r="E34" s="252"/>
      <c r="F34" s="253"/>
      <c r="G34" s="254"/>
      <c r="H34" s="255"/>
      <c r="I34" s="114">
        <v>15</v>
      </c>
      <c r="J34" s="69">
        <v>30</v>
      </c>
      <c r="L34" s="69"/>
      <c r="M34" s="69"/>
      <c r="N34" s="71"/>
    </row>
    <row r="35" spans="1:14" s="73" customFormat="1" x14ac:dyDescent="0.2">
      <c r="A35" s="108"/>
      <c r="B35" s="96" t="s">
        <v>81</v>
      </c>
      <c r="C35" s="96" t="s">
        <v>81</v>
      </c>
      <c r="D35" s="109">
        <v>37.5</v>
      </c>
      <c r="E35" s="110">
        <v>14.9</v>
      </c>
      <c r="F35" s="111">
        <v>31.3</v>
      </c>
      <c r="G35" s="112">
        <v>7.8</v>
      </c>
      <c r="H35" s="113">
        <v>3</v>
      </c>
      <c r="I35" s="114">
        <v>15</v>
      </c>
      <c r="J35" s="69">
        <v>30</v>
      </c>
      <c r="L35" s="69"/>
      <c r="M35" s="69"/>
      <c r="N35" s="71"/>
    </row>
    <row r="36" spans="1:14" s="73" customFormat="1" x14ac:dyDescent="0.2">
      <c r="A36" s="115"/>
      <c r="B36" s="116" t="s">
        <v>82</v>
      </c>
      <c r="C36" s="116" t="s">
        <v>82</v>
      </c>
      <c r="D36" s="117">
        <v>54.5</v>
      </c>
      <c r="E36" s="118">
        <v>20.5</v>
      </c>
      <c r="F36" s="119">
        <v>45.5</v>
      </c>
      <c r="G36" s="120">
        <v>11.4</v>
      </c>
      <c r="H36" s="113">
        <v>4.4000000000000004</v>
      </c>
      <c r="I36" s="114">
        <v>15</v>
      </c>
      <c r="J36" s="69">
        <v>30</v>
      </c>
      <c r="L36" s="69"/>
      <c r="M36" s="69"/>
      <c r="N36" s="71"/>
    </row>
    <row r="37" spans="1:14" s="73" customFormat="1" x14ac:dyDescent="0.2">
      <c r="A37" s="108"/>
      <c r="B37" s="96" t="s">
        <v>9</v>
      </c>
      <c r="C37" s="96" t="s">
        <v>9</v>
      </c>
      <c r="D37" s="121">
        <v>64</v>
      </c>
      <c r="E37" s="110">
        <v>21</v>
      </c>
      <c r="F37" s="111">
        <v>78</v>
      </c>
      <c r="G37" s="112">
        <v>19.5</v>
      </c>
      <c r="H37" s="113">
        <v>5.0999999999999996</v>
      </c>
      <c r="I37" s="114">
        <v>15</v>
      </c>
      <c r="J37" s="69">
        <v>30</v>
      </c>
      <c r="L37" s="69"/>
      <c r="M37" s="69"/>
      <c r="N37" s="71"/>
    </row>
    <row r="38" spans="1:14" s="73" customFormat="1" x14ac:dyDescent="0.2">
      <c r="A38" s="108"/>
      <c r="B38" s="96" t="s">
        <v>83</v>
      </c>
      <c r="C38" s="96" t="s">
        <v>84</v>
      </c>
      <c r="D38" s="121">
        <v>105</v>
      </c>
      <c r="E38" s="110">
        <v>31</v>
      </c>
      <c r="F38" s="111">
        <v>129</v>
      </c>
      <c r="G38" s="112">
        <v>32.299999999999997</v>
      </c>
      <c r="H38" s="113">
        <v>8.4</v>
      </c>
      <c r="I38" s="114">
        <v>15</v>
      </c>
      <c r="J38" s="69">
        <v>30</v>
      </c>
      <c r="L38" s="69"/>
      <c r="M38" s="69"/>
      <c r="N38" s="71"/>
    </row>
    <row r="39" spans="1:14" s="73" customFormat="1" x14ac:dyDescent="0.2">
      <c r="A39" s="87"/>
      <c r="B39" s="96" t="s">
        <v>85</v>
      </c>
      <c r="C39" s="96" t="s">
        <v>86</v>
      </c>
      <c r="D39" s="122">
        <v>27.3</v>
      </c>
      <c r="E39" s="110">
        <v>12.7</v>
      </c>
      <c r="F39" s="112">
        <v>12.8</v>
      </c>
      <c r="G39" s="110">
        <v>4.5</v>
      </c>
      <c r="H39" s="113">
        <v>2.2000000000000002</v>
      </c>
      <c r="I39" s="114">
        <v>20</v>
      </c>
      <c r="J39" s="69">
        <v>30</v>
      </c>
      <c r="L39" s="69"/>
      <c r="M39" s="69"/>
      <c r="N39" s="71"/>
    </row>
    <row r="40" spans="1:14" s="73" customFormat="1" x14ac:dyDescent="0.2">
      <c r="A40" s="87"/>
      <c r="B40" s="96" t="s">
        <v>87</v>
      </c>
      <c r="C40" s="96" t="s">
        <v>88</v>
      </c>
      <c r="D40" s="122">
        <v>24.1</v>
      </c>
      <c r="E40" s="110">
        <v>11.2</v>
      </c>
      <c r="F40" s="112">
        <v>11.6</v>
      </c>
      <c r="G40" s="110">
        <v>4.0999999999999996</v>
      </c>
      <c r="H40" s="113">
        <v>1.9</v>
      </c>
      <c r="I40" s="114">
        <v>20</v>
      </c>
      <c r="J40" s="69">
        <v>30</v>
      </c>
      <c r="L40" s="69"/>
      <c r="M40" s="69"/>
      <c r="N40" s="71"/>
    </row>
    <row r="41" spans="1:14" s="73" customFormat="1" x14ac:dyDescent="0.2">
      <c r="A41" s="87"/>
      <c r="B41" s="123" t="s">
        <v>89</v>
      </c>
      <c r="C41" s="123" t="s">
        <v>90</v>
      </c>
      <c r="D41" s="121">
        <v>27.5</v>
      </c>
      <c r="E41" s="110">
        <v>12.8</v>
      </c>
      <c r="F41" s="112">
        <v>13.1</v>
      </c>
      <c r="G41" s="110">
        <v>4.5999999999999996</v>
      </c>
      <c r="H41" s="113">
        <v>2.2000000000000002</v>
      </c>
      <c r="I41" s="114">
        <v>20</v>
      </c>
      <c r="J41" s="69">
        <v>30</v>
      </c>
      <c r="L41" s="69"/>
      <c r="M41" s="69"/>
      <c r="N41" s="71"/>
    </row>
    <row r="42" spans="1:14" s="73" customFormat="1" x14ac:dyDescent="0.2">
      <c r="A42" s="87"/>
      <c r="B42" s="123" t="s">
        <v>91</v>
      </c>
      <c r="C42" s="123" t="s">
        <v>92</v>
      </c>
      <c r="D42" s="121">
        <v>24.2</v>
      </c>
      <c r="E42" s="110">
        <v>11.2</v>
      </c>
      <c r="F42" s="112">
        <v>11.8</v>
      </c>
      <c r="G42" s="110">
        <v>4.0999999999999996</v>
      </c>
      <c r="H42" s="113">
        <v>1.9</v>
      </c>
      <c r="I42" s="114">
        <v>20</v>
      </c>
      <c r="J42" s="69">
        <v>30</v>
      </c>
      <c r="L42" s="69"/>
      <c r="M42" s="69"/>
      <c r="N42" s="71"/>
    </row>
    <row r="43" spans="1:14" s="73" customFormat="1" x14ac:dyDescent="0.2">
      <c r="A43" s="124"/>
      <c r="B43" s="125" t="s">
        <v>93</v>
      </c>
      <c r="C43" s="125" t="s">
        <v>94</v>
      </c>
      <c r="D43" s="126">
        <v>41.1</v>
      </c>
      <c r="E43" s="127">
        <v>17.8</v>
      </c>
      <c r="F43" s="128">
        <v>21.1</v>
      </c>
      <c r="G43" s="127">
        <v>7.4</v>
      </c>
      <c r="H43" s="129">
        <v>3.3</v>
      </c>
      <c r="I43" s="114">
        <v>20</v>
      </c>
      <c r="J43" s="69">
        <v>30</v>
      </c>
      <c r="L43" s="69"/>
      <c r="M43" s="69"/>
      <c r="N43" s="71"/>
    </row>
    <row r="44" spans="1:14" s="73" customFormat="1" x14ac:dyDescent="0.2">
      <c r="A44" s="87"/>
      <c r="B44" s="96" t="s">
        <v>95</v>
      </c>
      <c r="C44" s="96" t="s">
        <v>96</v>
      </c>
      <c r="D44" s="122">
        <v>36.799999999999997</v>
      </c>
      <c r="E44" s="110">
        <v>16.100000000000001</v>
      </c>
      <c r="F44" s="112">
        <v>19.5</v>
      </c>
      <c r="G44" s="110">
        <v>6.8</v>
      </c>
      <c r="H44" s="113">
        <v>2.9</v>
      </c>
      <c r="I44" s="114">
        <v>20</v>
      </c>
      <c r="J44" s="69">
        <v>30</v>
      </c>
      <c r="L44" s="69"/>
      <c r="M44" s="69"/>
      <c r="N44" s="71"/>
    </row>
    <row r="45" spans="1:14" s="73" customFormat="1" x14ac:dyDescent="0.2">
      <c r="A45" s="87"/>
      <c r="B45" s="123" t="s">
        <v>97</v>
      </c>
      <c r="C45" s="123" t="s">
        <v>98</v>
      </c>
      <c r="D45" s="121">
        <v>42.9</v>
      </c>
      <c r="E45" s="110">
        <v>18.600000000000001</v>
      </c>
      <c r="F45" s="112">
        <v>21.3</v>
      </c>
      <c r="G45" s="110">
        <v>7.5</v>
      </c>
      <c r="H45" s="113">
        <v>3.4</v>
      </c>
      <c r="I45" s="114">
        <v>20</v>
      </c>
      <c r="J45" s="69">
        <v>30</v>
      </c>
      <c r="L45" s="69"/>
      <c r="M45" s="69"/>
      <c r="N45" s="71"/>
    </row>
    <row r="46" spans="1:14" s="73" customFormat="1" x14ac:dyDescent="0.2">
      <c r="A46" s="87"/>
      <c r="B46" s="123" t="s">
        <v>99</v>
      </c>
      <c r="C46" s="123" t="s">
        <v>100</v>
      </c>
      <c r="D46" s="121">
        <v>38.4</v>
      </c>
      <c r="E46" s="110">
        <v>16.7</v>
      </c>
      <c r="F46" s="112">
        <v>20.7</v>
      </c>
      <c r="G46" s="110">
        <v>7.3</v>
      </c>
      <c r="H46" s="113">
        <v>3.1</v>
      </c>
      <c r="I46" s="114">
        <v>20</v>
      </c>
      <c r="J46" s="69">
        <v>30</v>
      </c>
      <c r="L46" s="69"/>
      <c r="M46" s="69"/>
      <c r="N46" s="71"/>
    </row>
    <row r="47" spans="1:14" s="73" customFormat="1" x14ac:dyDescent="0.2">
      <c r="A47" s="108"/>
      <c r="B47" s="123" t="s">
        <v>101</v>
      </c>
      <c r="C47" s="123" t="s">
        <v>102</v>
      </c>
      <c r="D47" s="109">
        <v>4.5</v>
      </c>
      <c r="E47" s="110">
        <v>1.6</v>
      </c>
      <c r="F47" s="130">
        <v>2.7</v>
      </c>
      <c r="G47" s="110">
        <v>1</v>
      </c>
      <c r="H47" s="113">
        <v>0.4</v>
      </c>
      <c r="I47" s="114">
        <v>20</v>
      </c>
      <c r="J47" s="69">
        <v>30</v>
      </c>
      <c r="L47" s="69"/>
      <c r="M47" s="69"/>
      <c r="N47" s="71"/>
    </row>
    <row r="48" spans="1:14" s="73" customFormat="1" x14ac:dyDescent="0.2">
      <c r="A48" s="108"/>
      <c r="B48" s="123" t="s">
        <v>103</v>
      </c>
      <c r="C48" s="123" t="s">
        <v>104</v>
      </c>
      <c r="D48" s="109">
        <v>4.2</v>
      </c>
      <c r="E48" s="110">
        <v>1.6</v>
      </c>
      <c r="F48" s="130">
        <v>2.6</v>
      </c>
      <c r="G48" s="110">
        <v>0.9</v>
      </c>
      <c r="H48" s="113">
        <v>0.3</v>
      </c>
      <c r="I48" s="114">
        <v>20</v>
      </c>
      <c r="J48" s="69">
        <v>30</v>
      </c>
      <c r="L48" s="69"/>
      <c r="M48" s="69"/>
      <c r="N48" s="71"/>
    </row>
    <row r="49" spans="1:14" s="73" customFormat="1" x14ac:dyDescent="0.2">
      <c r="A49" s="87"/>
      <c r="B49" s="96" t="s">
        <v>105</v>
      </c>
      <c r="C49" s="96" t="s">
        <v>106</v>
      </c>
      <c r="D49" s="109">
        <v>14.1</v>
      </c>
      <c r="E49" s="110">
        <v>6</v>
      </c>
      <c r="F49" s="112">
        <v>7</v>
      </c>
      <c r="G49" s="110">
        <v>2.4</v>
      </c>
      <c r="H49" s="113">
        <v>1.1000000000000001</v>
      </c>
      <c r="I49" s="114">
        <v>20</v>
      </c>
      <c r="J49" s="69">
        <v>30</v>
      </c>
      <c r="L49" s="69"/>
      <c r="M49" s="69"/>
      <c r="N49" s="71"/>
    </row>
    <row r="50" spans="1:14" s="73" customFormat="1" x14ac:dyDescent="0.2">
      <c r="A50" s="87"/>
      <c r="B50" s="96" t="s">
        <v>107</v>
      </c>
      <c r="C50" s="96" t="s">
        <v>108</v>
      </c>
      <c r="D50" s="109">
        <v>13.4</v>
      </c>
      <c r="E50" s="110">
        <v>5.0999999999999996</v>
      </c>
      <c r="F50" s="112">
        <v>6.8</v>
      </c>
      <c r="G50" s="110">
        <v>2.4</v>
      </c>
      <c r="H50" s="113">
        <v>1.1000000000000001</v>
      </c>
      <c r="I50" s="114">
        <v>20</v>
      </c>
      <c r="J50" s="69">
        <v>30</v>
      </c>
      <c r="L50" s="69"/>
      <c r="M50" s="69"/>
      <c r="N50" s="71"/>
    </row>
    <row r="51" spans="1:14" s="73" customFormat="1" x14ac:dyDescent="0.2">
      <c r="A51" s="108"/>
      <c r="B51" s="96" t="s">
        <v>109</v>
      </c>
      <c r="C51" s="96" t="s">
        <v>109</v>
      </c>
      <c r="D51" s="109">
        <v>15.4</v>
      </c>
      <c r="E51" s="110">
        <v>6.3</v>
      </c>
      <c r="F51" s="112">
        <v>7.5</v>
      </c>
      <c r="G51" s="110">
        <v>2.6</v>
      </c>
      <c r="H51" s="113">
        <v>1.2</v>
      </c>
      <c r="I51" s="114">
        <v>20</v>
      </c>
      <c r="J51" s="69">
        <v>30</v>
      </c>
      <c r="L51" s="69"/>
      <c r="M51" s="69"/>
      <c r="N51" s="71"/>
    </row>
    <row r="52" spans="1:14" s="73" customFormat="1" x14ac:dyDescent="0.2">
      <c r="A52" s="131"/>
      <c r="B52" s="125" t="s">
        <v>110</v>
      </c>
      <c r="C52" s="125" t="s">
        <v>111</v>
      </c>
      <c r="D52" s="132">
        <v>14.8</v>
      </c>
      <c r="E52" s="127">
        <v>5.4</v>
      </c>
      <c r="F52" s="128">
        <v>7.3</v>
      </c>
      <c r="G52" s="127">
        <v>2.5</v>
      </c>
      <c r="H52" s="129">
        <v>1.2</v>
      </c>
      <c r="I52" s="114">
        <v>20</v>
      </c>
      <c r="J52" s="69">
        <v>30</v>
      </c>
      <c r="L52" s="69"/>
      <c r="M52" s="69"/>
      <c r="N52" s="71"/>
    </row>
    <row r="53" spans="1:14" s="73" customFormat="1" x14ac:dyDescent="0.2">
      <c r="A53" s="115"/>
      <c r="B53" s="133" t="s">
        <v>112</v>
      </c>
      <c r="C53" s="133" t="s">
        <v>112</v>
      </c>
      <c r="D53" s="117">
        <v>22.1</v>
      </c>
      <c r="E53" s="118">
        <v>9.6</v>
      </c>
      <c r="F53" s="120">
        <v>8.8000000000000007</v>
      </c>
      <c r="G53" s="118">
        <v>3.1</v>
      </c>
      <c r="H53" s="134">
        <v>1.8</v>
      </c>
      <c r="I53" s="114">
        <v>20</v>
      </c>
      <c r="J53" s="69">
        <v>30</v>
      </c>
      <c r="L53" s="69"/>
      <c r="M53" s="69"/>
      <c r="N53" s="71"/>
    </row>
    <row r="54" spans="1:14" s="73" customFormat="1" x14ac:dyDescent="0.2">
      <c r="A54" s="108"/>
      <c r="B54" s="96" t="s">
        <v>113</v>
      </c>
      <c r="C54" s="96" t="s">
        <v>114</v>
      </c>
      <c r="D54" s="135">
        <v>0.85</v>
      </c>
      <c r="E54" s="136">
        <v>0.44</v>
      </c>
      <c r="F54" s="137">
        <v>0.38</v>
      </c>
      <c r="G54" s="136">
        <v>0.15</v>
      </c>
      <c r="H54" s="138">
        <v>7.0000000000000007E-2</v>
      </c>
      <c r="I54" s="114">
        <v>40</v>
      </c>
      <c r="J54" s="69">
        <v>40</v>
      </c>
      <c r="L54" s="69"/>
      <c r="M54" s="69"/>
      <c r="N54" s="71"/>
    </row>
    <row r="55" spans="1:14" s="73" customFormat="1" x14ac:dyDescent="0.2">
      <c r="A55" s="108"/>
      <c r="B55" s="96" t="s">
        <v>115</v>
      </c>
      <c r="C55" s="96" t="s">
        <v>116</v>
      </c>
      <c r="D55" s="135">
        <v>0.81</v>
      </c>
      <c r="E55" s="136">
        <v>0.39</v>
      </c>
      <c r="F55" s="137">
        <v>0.38</v>
      </c>
      <c r="G55" s="136">
        <v>0.15</v>
      </c>
      <c r="H55" s="138">
        <v>7.0000000000000007E-2</v>
      </c>
      <c r="I55" s="114">
        <v>40</v>
      </c>
      <c r="J55" s="69">
        <v>40</v>
      </c>
      <c r="L55" s="69"/>
      <c r="M55" s="69"/>
      <c r="N55" s="71"/>
    </row>
    <row r="56" spans="1:14" s="73" customFormat="1" x14ac:dyDescent="0.2">
      <c r="A56" s="108"/>
      <c r="B56" s="96" t="s">
        <v>117</v>
      </c>
      <c r="C56" s="96" t="s">
        <v>118</v>
      </c>
      <c r="D56" s="135">
        <v>0.32</v>
      </c>
      <c r="E56" s="136">
        <v>0.21</v>
      </c>
      <c r="F56" s="137">
        <v>0.15</v>
      </c>
      <c r="G56" s="136">
        <v>0.06</v>
      </c>
      <c r="H56" s="138">
        <v>0.03</v>
      </c>
      <c r="I56" s="114">
        <v>40</v>
      </c>
      <c r="J56" s="69">
        <v>40</v>
      </c>
      <c r="L56" s="69"/>
      <c r="M56" s="69"/>
      <c r="N56" s="71"/>
    </row>
    <row r="57" spans="1:14" s="73" customFormat="1" x14ac:dyDescent="0.2">
      <c r="A57" s="108"/>
      <c r="B57" s="96" t="s">
        <v>119</v>
      </c>
      <c r="C57" s="96" t="s">
        <v>120</v>
      </c>
      <c r="D57" s="135">
        <v>0.3</v>
      </c>
      <c r="E57" s="136">
        <v>0.18</v>
      </c>
      <c r="F57" s="137">
        <v>0.15</v>
      </c>
      <c r="G57" s="136">
        <v>0.06</v>
      </c>
      <c r="H57" s="138">
        <v>0.02</v>
      </c>
      <c r="I57" s="114">
        <v>40</v>
      </c>
      <c r="J57" s="69">
        <v>40</v>
      </c>
      <c r="L57" s="69"/>
      <c r="M57" s="69"/>
      <c r="N57" s="71"/>
    </row>
    <row r="58" spans="1:14" s="73" customFormat="1" x14ac:dyDescent="0.2">
      <c r="A58" s="124"/>
      <c r="B58" s="139" t="s">
        <v>121</v>
      </c>
      <c r="C58" s="139" t="s">
        <v>122</v>
      </c>
      <c r="D58" s="140">
        <v>0.52</v>
      </c>
      <c r="E58" s="141">
        <v>0.25</v>
      </c>
      <c r="F58" s="142">
        <v>0.28000000000000003</v>
      </c>
      <c r="G58" s="141">
        <v>0.11</v>
      </c>
      <c r="H58" s="143">
        <v>0.04</v>
      </c>
      <c r="I58" s="114">
        <v>40</v>
      </c>
      <c r="J58" s="69">
        <v>40</v>
      </c>
      <c r="L58" s="69"/>
      <c r="M58" s="69"/>
      <c r="N58" s="71"/>
    </row>
    <row r="59" spans="1:14" s="73" customFormat="1" x14ac:dyDescent="0.2">
      <c r="A59" s="124"/>
      <c r="B59" s="144" t="s">
        <v>123</v>
      </c>
      <c r="C59" s="144" t="s">
        <v>124</v>
      </c>
      <c r="D59" s="140">
        <v>0.48</v>
      </c>
      <c r="E59" s="141">
        <v>0.23</v>
      </c>
      <c r="F59" s="142">
        <v>0.28000000000000003</v>
      </c>
      <c r="G59" s="141">
        <v>0.11</v>
      </c>
      <c r="H59" s="143">
        <v>0.04</v>
      </c>
      <c r="I59" s="114">
        <v>40</v>
      </c>
      <c r="J59" s="69">
        <v>40</v>
      </c>
      <c r="L59" s="69"/>
      <c r="M59" s="69"/>
      <c r="N59" s="71"/>
    </row>
    <row r="60" spans="1:14" s="73" customFormat="1" x14ac:dyDescent="0.2">
      <c r="A60" s="87"/>
      <c r="B60" s="145" t="s">
        <v>125</v>
      </c>
      <c r="C60" s="145" t="s">
        <v>126</v>
      </c>
      <c r="D60" s="135">
        <v>2.42</v>
      </c>
      <c r="E60" s="136">
        <v>1.36</v>
      </c>
      <c r="F60" s="137">
        <v>1.17</v>
      </c>
      <c r="G60" s="136">
        <v>0.47</v>
      </c>
      <c r="H60" s="138">
        <v>0.19</v>
      </c>
      <c r="I60" s="114">
        <v>40</v>
      </c>
      <c r="J60" s="69">
        <v>40</v>
      </c>
      <c r="L60" s="69"/>
      <c r="M60" s="69"/>
      <c r="N60" s="71"/>
    </row>
    <row r="61" spans="1:14" s="73" customFormat="1" x14ac:dyDescent="0.2">
      <c r="A61" s="87"/>
      <c r="B61" s="145" t="s">
        <v>127</v>
      </c>
      <c r="C61" s="145" t="s">
        <v>128</v>
      </c>
      <c r="D61" s="135">
        <v>2.25</v>
      </c>
      <c r="E61" s="136">
        <v>1.06</v>
      </c>
      <c r="F61" s="137">
        <v>1.1100000000000001</v>
      </c>
      <c r="G61" s="136">
        <v>0.44</v>
      </c>
      <c r="H61" s="138">
        <v>0.18</v>
      </c>
      <c r="I61" s="114">
        <v>40</v>
      </c>
      <c r="J61" s="69">
        <v>40</v>
      </c>
      <c r="L61" s="69"/>
      <c r="M61" s="69"/>
      <c r="N61" s="71"/>
    </row>
    <row r="62" spans="1:14" s="73" customFormat="1" x14ac:dyDescent="0.2">
      <c r="A62" s="87"/>
      <c r="B62" s="145" t="s">
        <v>129</v>
      </c>
      <c r="C62" s="145" t="s">
        <v>130</v>
      </c>
      <c r="D62" s="135">
        <v>1.71</v>
      </c>
      <c r="E62" s="136">
        <v>0.93</v>
      </c>
      <c r="F62" s="137">
        <v>0.96</v>
      </c>
      <c r="G62" s="136">
        <v>0.38</v>
      </c>
      <c r="H62" s="138">
        <v>0.14000000000000001</v>
      </c>
      <c r="I62" s="114">
        <v>40</v>
      </c>
      <c r="J62" s="69">
        <v>40</v>
      </c>
      <c r="L62" s="69"/>
      <c r="M62" s="69"/>
      <c r="N62" s="71"/>
    </row>
    <row r="63" spans="1:14" s="73" customFormat="1" x14ac:dyDescent="0.2">
      <c r="A63" s="87"/>
      <c r="B63" s="145" t="s">
        <v>131</v>
      </c>
      <c r="C63" s="145" t="s">
        <v>132</v>
      </c>
      <c r="D63" s="135">
        <v>1.62</v>
      </c>
      <c r="E63" s="136">
        <v>0.66</v>
      </c>
      <c r="F63" s="137">
        <v>0.92</v>
      </c>
      <c r="G63" s="136">
        <v>0.37</v>
      </c>
      <c r="H63" s="138">
        <v>0.13</v>
      </c>
      <c r="I63" s="114">
        <v>40</v>
      </c>
      <c r="J63" s="69">
        <v>40</v>
      </c>
      <c r="L63" s="69"/>
      <c r="M63" s="69"/>
      <c r="N63" s="71"/>
    </row>
    <row r="64" spans="1:14" s="73" customFormat="1" x14ac:dyDescent="0.2">
      <c r="A64" s="108"/>
      <c r="B64" s="96" t="s">
        <v>133</v>
      </c>
      <c r="C64" s="96" t="s">
        <v>133</v>
      </c>
      <c r="D64" s="135">
        <v>1.87</v>
      </c>
      <c r="E64" s="136">
        <v>0.57999999999999996</v>
      </c>
      <c r="F64" s="137">
        <v>1.79</v>
      </c>
      <c r="G64" s="136">
        <v>0.72</v>
      </c>
      <c r="H64" s="138">
        <v>0.15</v>
      </c>
      <c r="I64" s="114">
        <v>40</v>
      </c>
      <c r="J64" s="69">
        <v>40</v>
      </c>
      <c r="L64" s="69"/>
      <c r="M64" s="69"/>
      <c r="N64" s="71"/>
    </row>
    <row r="65" spans="1:14" s="73" customFormat="1" x14ac:dyDescent="0.2">
      <c r="A65" s="108"/>
      <c r="B65" s="96" t="s">
        <v>134</v>
      </c>
      <c r="C65" s="145" t="s">
        <v>135</v>
      </c>
      <c r="D65" s="135">
        <v>0.71</v>
      </c>
      <c r="E65" s="136">
        <v>0.4</v>
      </c>
      <c r="F65" s="137">
        <v>0.38</v>
      </c>
      <c r="G65" s="136">
        <v>0.15</v>
      </c>
      <c r="H65" s="138">
        <v>0.06</v>
      </c>
      <c r="I65" s="114">
        <v>40</v>
      </c>
      <c r="J65" s="69">
        <v>40</v>
      </c>
      <c r="L65" s="69"/>
      <c r="M65" s="69"/>
      <c r="N65" s="71"/>
    </row>
    <row r="66" spans="1:14" s="73" customFormat="1" x14ac:dyDescent="0.2">
      <c r="A66" s="108"/>
      <c r="B66" s="145" t="s">
        <v>136</v>
      </c>
      <c r="C66" s="145" t="s">
        <v>137</v>
      </c>
      <c r="D66" s="135">
        <v>0.63</v>
      </c>
      <c r="E66" s="136">
        <v>0.4</v>
      </c>
      <c r="F66" s="137">
        <v>0.31</v>
      </c>
      <c r="G66" s="136">
        <v>0.13</v>
      </c>
      <c r="H66" s="138">
        <v>0.05</v>
      </c>
      <c r="I66" s="114">
        <v>40</v>
      </c>
      <c r="J66" s="69">
        <v>40</v>
      </c>
      <c r="L66" s="69"/>
      <c r="M66" s="69"/>
      <c r="N66" s="71"/>
    </row>
    <row r="67" spans="1:14" s="73" customFormat="1" x14ac:dyDescent="0.2">
      <c r="A67" s="146"/>
      <c r="B67" s="96" t="s">
        <v>138</v>
      </c>
      <c r="C67" s="96" t="s">
        <v>138</v>
      </c>
      <c r="D67" s="135">
        <v>0.64</v>
      </c>
      <c r="E67" s="136">
        <v>0.28000000000000003</v>
      </c>
      <c r="F67" s="137">
        <v>0.21</v>
      </c>
      <c r="G67" s="136">
        <v>0.08</v>
      </c>
      <c r="H67" s="138">
        <v>0.05</v>
      </c>
      <c r="I67" s="114">
        <v>40</v>
      </c>
      <c r="J67" s="69">
        <v>40</v>
      </c>
      <c r="L67" s="69"/>
      <c r="M67" s="69"/>
      <c r="N67" s="71"/>
    </row>
    <row r="68" spans="1:14" s="73" customFormat="1" x14ac:dyDescent="0.2">
      <c r="A68" s="108"/>
      <c r="B68" s="96" t="s">
        <v>139</v>
      </c>
      <c r="C68" s="96" t="s">
        <v>139</v>
      </c>
      <c r="D68" s="121">
        <v>5.9</v>
      </c>
      <c r="E68" s="110">
        <v>1.9</v>
      </c>
      <c r="F68" s="111">
        <v>6.5</v>
      </c>
      <c r="G68" s="110">
        <v>1.6</v>
      </c>
      <c r="H68" s="111">
        <v>0.5</v>
      </c>
      <c r="I68" s="114">
        <v>45</v>
      </c>
      <c r="J68" s="69">
        <v>45</v>
      </c>
      <c r="L68" s="69"/>
      <c r="M68" s="69"/>
      <c r="N68" s="71"/>
    </row>
    <row r="69" spans="1:14" s="73" customFormat="1" x14ac:dyDescent="0.2">
      <c r="A69" s="108"/>
      <c r="B69" s="96" t="s">
        <v>140</v>
      </c>
      <c r="C69" s="96" t="s">
        <v>140</v>
      </c>
      <c r="D69" s="121">
        <v>14.2</v>
      </c>
      <c r="E69" s="110">
        <v>4.3</v>
      </c>
      <c r="F69" s="111">
        <v>15.5</v>
      </c>
      <c r="G69" s="110">
        <v>3.9</v>
      </c>
      <c r="H69" s="111">
        <v>1.1000000000000001</v>
      </c>
      <c r="I69" s="114">
        <v>45</v>
      </c>
      <c r="J69" s="69">
        <v>45</v>
      </c>
      <c r="L69" s="69"/>
      <c r="M69" s="69"/>
      <c r="N69" s="71"/>
    </row>
    <row r="70" spans="1:14" s="73" customFormat="1" x14ac:dyDescent="0.2">
      <c r="A70" s="108"/>
      <c r="B70" s="96" t="s">
        <v>141</v>
      </c>
      <c r="C70" s="145" t="s">
        <v>142</v>
      </c>
      <c r="D70" s="122">
        <v>15.2</v>
      </c>
      <c r="E70" s="110">
        <v>5.7</v>
      </c>
      <c r="F70" s="111">
        <v>18</v>
      </c>
      <c r="G70" s="110">
        <v>4.5</v>
      </c>
      <c r="H70" s="111">
        <v>1.2</v>
      </c>
      <c r="I70" s="114">
        <v>45</v>
      </c>
      <c r="J70" s="69">
        <v>45</v>
      </c>
      <c r="L70" s="69"/>
      <c r="M70" s="69"/>
      <c r="N70" s="71"/>
    </row>
    <row r="71" spans="1:14" s="73" customFormat="1" x14ac:dyDescent="0.2">
      <c r="A71" s="108"/>
      <c r="B71" s="96" t="s">
        <v>143</v>
      </c>
      <c r="C71" s="145" t="s">
        <v>144</v>
      </c>
      <c r="D71" s="122">
        <v>33.4</v>
      </c>
      <c r="E71" s="110">
        <v>15.3</v>
      </c>
      <c r="F71" s="111">
        <v>51</v>
      </c>
      <c r="G71" s="110">
        <v>10.199999999999999</v>
      </c>
      <c r="H71" s="111">
        <v>2.7</v>
      </c>
      <c r="I71" s="114">
        <v>45</v>
      </c>
      <c r="J71" s="69">
        <v>45</v>
      </c>
      <c r="L71" s="69"/>
      <c r="M71" s="69"/>
      <c r="N71" s="71"/>
    </row>
    <row r="72" spans="1:14" s="73" customFormat="1" x14ac:dyDescent="0.2">
      <c r="A72" s="108"/>
      <c r="B72" s="96" t="s">
        <v>145</v>
      </c>
      <c r="C72" s="145" t="s">
        <v>146</v>
      </c>
      <c r="D72" s="122">
        <v>53.6</v>
      </c>
      <c r="E72" s="110">
        <v>23.4</v>
      </c>
      <c r="F72" s="111">
        <v>67</v>
      </c>
      <c r="G72" s="110">
        <v>13.4</v>
      </c>
      <c r="H72" s="111">
        <v>4.3</v>
      </c>
      <c r="I72" s="114">
        <v>45</v>
      </c>
      <c r="J72" s="69">
        <v>45</v>
      </c>
      <c r="L72" s="69"/>
      <c r="M72" s="69"/>
      <c r="N72" s="71"/>
    </row>
    <row r="73" spans="1:14" s="73" customFormat="1" x14ac:dyDescent="0.2">
      <c r="A73" s="108"/>
      <c r="B73" s="96" t="s">
        <v>147</v>
      </c>
      <c r="C73" s="96" t="s">
        <v>148</v>
      </c>
      <c r="D73" s="135">
        <v>9.6999999999999993</v>
      </c>
      <c r="E73" s="136">
        <v>5.4</v>
      </c>
      <c r="F73" s="147">
        <v>8.3000000000000007</v>
      </c>
      <c r="G73" s="136">
        <v>2.08</v>
      </c>
      <c r="H73" s="111">
        <v>0.8</v>
      </c>
      <c r="I73" s="114">
        <v>45</v>
      </c>
      <c r="J73" s="69">
        <v>45</v>
      </c>
      <c r="L73" s="69"/>
      <c r="M73" s="69"/>
      <c r="N73" s="71"/>
    </row>
    <row r="74" spans="1:14" s="73" customFormat="1" x14ac:dyDescent="0.2">
      <c r="A74" s="148"/>
      <c r="B74" s="96" t="s">
        <v>149</v>
      </c>
      <c r="C74" s="96" t="s">
        <v>149</v>
      </c>
      <c r="D74" s="121">
        <v>15.8</v>
      </c>
      <c r="E74" s="110">
        <v>4.5</v>
      </c>
      <c r="F74" s="111">
        <v>17.600000000000001</v>
      </c>
      <c r="G74" s="110">
        <v>3.5</v>
      </c>
      <c r="H74" s="111">
        <v>1.3</v>
      </c>
      <c r="I74" s="114">
        <v>45</v>
      </c>
      <c r="J74" s="69">
        <v>45</v>
      </c>
      <c r="L74" s="69"/>
      <c r="M74" s="69"/>
      <c r="N74" s="71"/>
    </row>
    <row r="75" spans="1:14" s="73" customFormat="1" x14ac:dyDescent="0.2">
      <c r="A75" s="148"/>
      <c r="B75" s="96" t="s">
        <v>150</v>
      </c>
      <c r="C75" s="96" t="s">
        <v>150</v>
      </c>
      <c r="D75" s="121">
        <v>5.8</v>
      </c>
      <c r="E75" s="110">
        <v>1.7</v>
      </c>
      <c r="F75" s="111">
        <v>6.4</v>
      </c>
      <c r="G75" s="110">
        <v>1.3</v>
      </c>
      <c r="H75" s="111">
        <v>0.5</v>
      </c>
      <c r="I75" s="114">
        <v>45</v>
      </c>
      <c r="J75" s="69">
        <v>45</v>
      </c>
      <c r="L75" s="69"/>
      <c r="M75" s="69"/>
      <c r="N75" s="71"/>
    </row>
    <row r="76" spans="1:14" s="73" customFormat="1" x14ac:dyDescent="0.2">
      <c r="A76" s="146"/>
      <c r="B76" s="149" t="s">
        <v>151</v>
      </c>
      <c r="C76" s="149" t="s">
        <v>151</v>
      </c>
      <c r="D76" s="121">
        <v>22.7</v>
      </c>
      <c r="E76" s="110">
        <v>7.2</v>
      </c>
      <c r="F76" s="111">
        <v>27</v>
      </c>
      <c r="G76" s="110">
        <v>5.4</v>
      </c>
      <c r="H76" s="111">
        <v>1.8</v>
      </c>
      <c r="I76" s="114">
        <v>45</v>
      </c>
      <c r="J76" s="69">
        <v>45</v>
      </c>
      <c r="L76" s="69"/>
      <c r="M76" s="69"/>
      <c r="N76" s="71"/>
    </row>
    <row r="77" spans="1:14" s="73" customFormat="1" x14ac:dyDescent="0.2">
      <c r="A77" s="150"/>
      <c r="B77" s="151" t="s">
        <v>152</v>
      </c>
      <c r="C77" s="151" t="s">
        <v>152</v>
      </c>
      <c r="D77" s="152">
        <v>8.3000000000000007</v>
      </c>
      <c r="E77" s="153">
        <v>2.7</v>
      </c>
      <c r="F77" s="154">
        <v>9.9</v>
      </c>
      <c r="G77" s="153">
        <v>2</v>
      </c>
      <c r="H77" s="111">
        <v>0.7</v>
      </c>
      <c r="I77" s="114">
        <v>45</v>
      </c>
      <c r="J77" s="69">
        <v>45</v>
      </c>
      <c r="L77" s="69"/>
      <c r="M77" s="69"/>
      <c r="N77" s="71"/>
    </row>
    <row r="78" spans="1:14" s="73" customFormat="1" ht="13.5" thickBot="1" x14ac:dyDescent="0.25">
      <c r="A78" s="155"/>
      <c r="B78" s="156" t="s">
        <v>153</v>
      </c>
      <c r="C78" s="156" t="s">
        <v>153</v>
      </c>
      <c r="D78" s="157">
        <v>22.7</v>
      </c>
      <c r="E78" s="158">
        <v>7.2</v>
      </c>
      <c r="F78" s="159">
        <v>27</v>
      </c>
      <c r="G78" s="160">
        <v>5.4</v>
      </c>
      <c r="H78" s="161">
        <v>1.8</v>
      </c>
      <c r="I78" s="114">
        <v>45</v>
      </c>
      <c r="J78" s="69">
        <v>45</v>
      </c>
      <c r="L78" s="69"/>
      <c r="M78" s="69"/>
      <c r="N78" s="71"/>
    </row>
    <row r="79" spans="1:14" s="73" customFormat="1" x14ac:dyDescent="0.2">
      <c r="A79" s="162"/>
      <c r="B79" s="162"/>
      <c r="C79" s="162"/>
      <c r="D79" s="163"/>
      <c r="E79" s="163"/>
      <c r="F79" s="163"/>
      <c r="G79" s="163"/>
      <c r="H79" s="164"/>
      <c r="I79" s="72"/>
      <c r="J79" s="69"/>
      <c r="L79" s="69"/>
      <c r="M79" s="69"/>
      <c r="N79" s="71"/>
    </row>
    <row r="80" spans="1:14" s="73" customFormat="1" ht="14.25" x14ac:dyDescent="0.2">
      <c r="A80" s="165"/>
      <c r="B80" s="166" t="s">
        <v>27</v>
      </c>
      <c r="C80" s="166"/>
      <c r="D80" s="166"/>
      <c r="E80" s="166"/>
      <c r="F80" s="166"/>
      <c r="G80" s="166"/>
      <c r="H80" s="164"/>
      <c r="I80" s="72"/>
      <c r="J80" s="69"/>
      <c r="L80" s="69"/>
      <c r="M80" s="69"/>
      <c r="N80" s="71"/>
    </row>
    <row r="81" spans="1:14" s="73" customFormat="1" x14ac:dyDescent="0.2">
      <c r="A81" s="166"/>
      <c r="B81" s="167" t="s">
        <v>80</v>
      </c>
      <c r="C81" s="168"/>
      <c r="D81" s="169"/>
      <c r="E81" s="168"/>
      <c r="F81" s="168"/>
      <c r="G81" s="168"/>
      <c r="H81" s="164"/>
      <c r="I81" s="114">
        <v>15</v>
      </c>
      <c r="J81" s="69">
        <v>30</v>
      </c>
      <c r="L81" s="69"/>
      <c r="M81" s="69"/>
      <c r="N81" s="71"/>
    </row>
    <row r="82" spans="1:14" s="73" customFormat="1" x14ac:dyDescent="0.2">
      <c r="A82" s="166"/>
      <c r="B82" s="167" t="s">
        <v>154</v>
      </c>
      <c r="C82" s="168"/>
      <c r="D82" s="169"/>
      <c r="E82" s="168"/>
      <c r="F82" s="168"/>
      <c r="G82" s="168"/>
      <c r="H82" s="164"/>
      <c r="I82" s="114">
        <v>20</v>
      </c>
      <c r="J82" s="69">
        <v>30</v>
      </c>
      <c r="L82" s="69"/>
      <c r="M82" s="69"/>
      <c r="N82" s="71"/>
    </row>
    <row r="83" spans="1:14" s="73" customFormat="1" x14ac:dyDescent="0.2">
      <c r="A83" s="170"/>
      <c r="B83" s="167" t="s">
        <v>155</v>
      </c>
      <c r="C83" s="168"/>
      <c r="D83" s="169"/>
      <c r="E83" s="168"/>
      <c r="F83" s="168"/>
      <c r="G83" s="168"/>
      <c r="H83" s="164"/>
      <c r="I83" s="114">
        <v>40</v>
      </c>
      <c r="J83" s="69">
        <v>40</v>
      </c>
      <c r="L83" s="69"/>
      <c r="M83" s="69"/>
      <c r="N83" s="71"/>
    </row>
    <row r="84" spans="1:14" s="73" customFormat="1" x14ac:dyDescent="0.2">
      <c r="A84" s="162"/>
      <c r="B84" s="162" t="s">
        <v>156</v>
      </c>
      <c r="C84" s="162"/>
      <c r="D84" s="163"/>
      <c r="E84" s="163"/>
      <c r="F84" s="163"/>
      <c r="G84" s="163"/>
      <c r="H84" s="164"/>
      <c r="I84" s="114">
        <v>45</v>
      </c>
      <c r="J84" s="69">
        <v>45</v>
      </c>
      <c r="L84" s="69"/>
      <c r="M84" s="69"/>
      <c r="N84" s="71"/>
    </row>
    <row r="85" spans="1:14" s="73" customFormat="1" ht="14.25" x14ac:dyDescent="0.2">
      <c r="A85" s="171"/>
      <c r="B85" s="172"/>
      <c r="C85" s="173"/>
      <c r="D85" s="163"/>
      <c r="E85" s="163"/>
      <c r="F85" s="163"/>
      <c r="G85" s="163"/>
      <c r="H85" s="164"/>
      <c r="I85" s="72"/>
      <c r="J85" s="69"/>
      <c r="L85" s="69"/>
      <c r="M85" s="69"/>
      <c r="N85" s="71"/>
    </row>
    <row r="86" spans="1:14" s="73" customFormat="1" x14ac:dyDescent="0.2">
      <c r="A86" s="174"/>
      <c r="B86" s="123"/>
      <c r="C86" s="168"/>
      <c r="D86" s="163"/>
      <c r="E86" s="163"/>
      <c r="F86" s="163"/>
      <c r="G86" s="163"/>
      <c r="H86" s="164"/>
      <c r="I86" s="72"/>
      <c r="J86" s="69"/>
      <c r="L86" s="69"/>
      <c r="M86" s="69"/>
      <c r="N86" s="71"/>
    </row>
    <row r="87" spans="1:14" s="73" customFormat="1" x14ac:dyDescent="0.2">
      <c r="A87" s="174"/>
      <c r="B87" s="174"/>
      <c r="C87" s="168"/>
      <c r="D87" s="163"/>
      <c r="E87" s="163"/>
      <c r="F87" s="163"/>
      <c r="G87" s="163"/>
      <c r="H87" s="164"/>
      <c r="I87" s="72"/>
      <c r="J87" s="69"/>
      <c r="L87" s="69"/>
      <c r="M87" s="69"/>
      <c r="N87" s="71"/>
    </row>
    <row r="88" spans="1:14" s="73" customFormat="1" x14ac:dyDescent="0.2">
      <c r="A88" s="174"/>
      <c r="B88" s="174"/>
      <c r="C88" s="168"/>
      <c r="D88" s="163"/>
      <c r="E88" s="163"/>
      <c r="F88" s="163"/>
      <c r="G88" s="163"/>
      <c r="H88" s="164"/>
      <c r="I88" s="72"/>
      <c r="J88" s="69"/>
      <c r="L88" s="69"/>
      <c r="M88" s="69"/>
      <c r="N88" s="71"/>
    </row>
    <row r="89" spans="1:14" s="73" customFormat="1" x14ac:dyDescent="0.2">
      <c r="A89" s="174"/>
      <c r="B89" s="174"/>
      <c r="C89" s="168"/>
      <c r="D89" s="163"/>
      <c r="E89" s="163"/>
      <c r="F89" s="163"/>
      <c r="G89" s="163"/>
      <c r="H89" s="164"/>
      <c r="I89" s="72"/>
      <c r="J89" s="69"/>
      <c r="L89" s="69"/>
      <c r="M89" s="69"/>
      <c r="N89" s="71"/>
    </row>
    <row r="90" spans="1:14" x14ac:dyDescent="0.2">
      <c r="A90" s="167"/>
      <c r="B90" s="174"/>
      <c r="C90" s="168"/>
      <c r="D90" s="163"/>
      <c r="E90" s="163"/>
      <c r="F90" s="163"/>
      <c r="G90" s="163"/>
      <c r="H90" s="164"/>
    </row>
    <row r="91" spans="1:14" x14ac:dyDescent="0.2">
      <c r="A91" s="162"/>
      <c r="B91" s="162"/>
      <c r="C91" s="162"/>
      <c r="D91" s="163"/>
      <c r="E91" s="163"/>
      <c r="F91" s="163"/>
      <c r="G91" s="163"/>
      <c r="H91" s="164"/>
    </row>
    <row r="92" spans="1:14" x14ac:dyDescent="0.2">
      <c r="A92" s="175"/>
      <c r="B92" s="176"/>
      <c r="C92" s="176"/>
      <c r="D92" s="177"/>
      <c r="E92" s="178"/>
      <c r="F92" s="177"/>
      <c r="G92" s="177"/>
      <c r="H92" s="179"/>
    </row>
    <row r="93" spans="1:14" x14ac:dyDescent="0.2">
      <c r="A93" s="180"/>
      <c r="B93" s="180"/>
      <c r="C93" s="180"/>
      <c r="D93" s="181"/>
      <c r="E93" s="182"/>
      <c r="F93" s="181"/>
      <c r="G93" s="181"/>
      <c r="H93" s="183"/>
    </row>
    <row r="94" spans="1:14" x14ac:dyDescent="0.2">
      <c r="A94" s="180"/>
      <c r="B94" s="180"/>
      <c r="C94" s="180"/>
      <c r="D94" s="181"/>
      <c r="E94" s="182"/>
      <c r="F94" s="181"/>
      <c r="G94" s="181"/>
      <c r="H94" s="183"/>
    </row>
    <row r="95" spans="1:14" x14ac:dyDescent="0.2">
      <c r="A95" s="180"/>
      <c r="B95" s="180"/>
      <c r="C95" s="180"/>
      <c r="D95" s="181"/>
      <c r="E95" s="182"/>
      <c r="F95" s="181"/>
      <c r="G95" s="181"/>
      <c r="H95" s="183"/>
    </row>
    <row r="96" spans="1:14" x14ac:dyDescent="0.2">
      <c r="A96" s="180"/>
      <c r="B96" s="180"/>
      <c r="C96" s="180"/>
      <c r="D96" s="181"/>
      <c r="E96" s="182"/>
      <c r="F96" s="181"/>
      <c r="G96" s="181"/>
      <c r="H96" s="183"/>
    </row>
    <row r="97" spans="1:8" ht="15" x14ac:dyDescent="0.25">
      <c r="A97" s="180"/>
      <c r="B97" s="184"/>
      <c r="C97" s="180"/>
      <c r="D97" s="181"/>
      <c r="E97" s="182"/>
      <c r="F97" s="181"/>
      <c r="G97" s="181"/>
      <c r="H97" s="183"/>
    </row>
    <row r="102" spans="1:8" x14ac:dyDescent="0.2">
      <c r="B102" s="186"/>
      <c r="C102" s="186"/>
    </row>
    <row r="103" spans="1:8" ht="15" x14ac:dyDescent="0.25">
      <c r="B103" s="187"/>
      <c r="C103" s="170"/>
    </row>
    <row r="104" spans="1:8" ht="15" x14ac:dyDescent="0.25">
      <c r="B104" s="187"/>
      <c r="C104" s="170"/>
    </row>
    <row r="105" spans="1:8" ht="15" x14ac:dyDescent="0.25">
      <c r="A105" s="188"/>
      <c r="B105" s="187"/>
      <c r="C105" s="170"/>
      <c r="D105" s="188"/>
      <c r="E105" s="188"/>
      <c r="F105" s="188"/>
      <c r="G105" s="188"/>
      <c r="H105" s="188"/>
    </row>
    <row r="106" spans="1:8" ht="15" x14ac:dyDescent="0.25">
      <c r="A106" s="188"/>
      <c r="B106" s="187"/>
      <c r="C106" s="170"/>
      <c r="D106" s="188"/>
      <c r="E106" s="188"/>
      <c r="F106" s="188"/>
      <c r="G106" s="188"/>
      <c r="H106" s="188"/>
    </row>
    <row r="107" spans="1:8" ht="15" x14ac:dyDescent="0.25">
      <c r="A107" s="188"/>
      <c r="B107" s="187"/>
      <c r="C107" s="170"/>
      <c r="D107" s="188"/>
      <c r="E107" s="188"/>
      <c r="F107" s="188"/>
      <c r="G107" s="188"/>
      <c r="H107" s="188"/>
    </row>
    <row r="108" spans="1:8" ht="15" x14ac:dyDescent="0.25">
      <c r="A108" s="188"/>
      <c r="B108" s="187"/>
      <c r="C108" s="170"/>
      <c r="D108" s="188"/>
      <c r="E108" s="188"/>
      <c r="F108" s="188"/>
      <c r="G108" s="188"/>
      <c r="H108" s="188"/>
    </row>
    <row r="109" spans="1:8" ht="15" x14ac:dyDescent="0.25">
      <c r="A109" s="188"/>
      <c r="B109" s="189"/>
      <c r="C109" s="186"/>
      <c r="D109" s="188"/>
      <c r="E109" s="188"/>
      <c r="F109" s="188"/>
      <c r="G109" s="188"/>
      <c r="H109" s="188"/>
    </row>
    <row r="110" spans="1:8" ht="15" x14ac:dyDescent="0.25">
      <c r="A110" s="188"/>
      <c r="B110" s="187"/>
      <c r="C110" s="170"/>
      <c r="D110" s="188"/>
      <c r="E110" s="188"/>
      <c r="F110" s="188"/>
      <c r="G110" s="188"/>
      <c r="H110" s="188"/>
    </row>
    <row r="111" spans="1:8" ht="15" x14ac:dyDescent="0.25">
      <c r="A111" s="188"/>
      <c r="B111" s="187"/>
      <c r="C111" s="170"/>
      <c r="D111" s="188"/>
      <c r="E111" s="188"/>
      <c r="F111" s="188"/>
      <c r="G111" s="188"/>
      <c r="H111" s="188"/>
    </row>
    <row r="112" spans="1:8" ht="15" x14ac:dyDescent="0.25">
      <c r="A112" s="188"/>
      <c r="B112" s="187"/>
      <c r="C112" s="170"/>
      <c r="D112" s="188"/>
      <c r="E112" s="188"/>
      <c r="F112" s="188"/>
      <c r="G112" s="188"/>
      <c r="H112" s="188"/>
    </row>
  </sheetData>
  <customSheetViews>
    <customSheetView guid="{DDA6E6AA-9473-49A0-A3A2-76E4959B79AF}" state="hidden" topLeftCell="C7">
      <selection activeCell="D31" sqref="D31"/>
      <pageMargins left="0.7" right="0.7" top="0.78740157499999996" bottom="0.78740157499999996" header="0.3" footer="0.3"/>
    </customSheetView>
  </customSheetViews>
  <mergeCells count="5">
    <mergeCell ref="D24:F24"/>
    <mergeCell ref="I24:J24"/>
    <mergeCell ref="D25:F25"/>
    <mergeCell ref="I25:J25"/>
    <mergeCell ref="D26:F26"/>
  </mergeCells>
  <dataValidations disablePrompts="1" count="1">
    <dataValidation type="whole" allowBlank="1" showInputMessage="1" showErrorMessage="1" error="Geben Sie eine ganze Zahl zwischen 3000 und 15000 ein." sqref="C3">
      <formula1>3000</formula1>
      <formula2>15000</formula2>
    </dataValidation>
  </dataValidation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3"/>
  <sheetViews>
    <sheetView workbookViewId="0">
      <selection activeCell="H20" sqref="H20"/>
    </sheetView>
  </sheetViews>
  <sheetFormatPr baseColWidth="10" defaultRowHeight="12.75" x14ac:dyDescent="0.2"/>
  <sheetData>
    <row r="1" spans="1:3" x14ac:dyDescent="0.2">
      <c r="A1" t="s">
        <v>458</v>
      </c>
    </row>
    <row r="2" spans="1:3" x14ac:dyDescent="0.2">
      <c r="B2" t="s">
        <v>459</v>
      </c>
    </row>
    <row r="3" spans="1:3" x14ac:dyDescent="0.2">
      <c r="C3" t="s">
        <v>460</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
  <sheetViews>
    <sheetView workbookViewId="0"/>
  </sheetViews>
  <sheetFormatPr baseColWidth="10" defaultRowHeight="12.75" x14ac:dyDescent="0.2"/>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2:M12"/>
  <sheetViews>
    <sheetView workbookViewId="0">
      <selection activeCell="D25" sqref="D25"/>
    </sheetView>
  </sheetViews>
  <sheetFormatPr baseColWidth="10" defaultRowHeight="12.75" x14ac:dyDescent="0.2"/>
  <sheetData>
    <row r="2" spans="1:13" x14ac:dyDescent="0.2">
      <c r="A2" s="842">
        <v>43354</v>
      </c>
      <c r="B2" t="s">
        <v>492</v>
      </c>
      <c r="C2" t="s">
        <v>493</v>
      </c>
    </row>
    <row r="3" spans="1:13" x14ac:dyDescent="0.2">
      <c r="A3" s="842">
        <v>43354</v>
      </c>
      <c r="B3" t="s">
        <v>492</v>
      </c>
      <c r="C3" t="s">
        <v>494</v>
      </c>
    </row>
    <row r="4" spans="1:13" x14ac:dyDescent="0.2">
      <c r="A4" s="842">
        <v>43354</v>
      </c>
      <c r="B4" t="s">
        <v>492</v>
      </c>
      <c r="C4" t="s">
        <v>495</v>
      </c>
    </row>
    <row r="5" spans="1:13" x14ac:dyDescent="0.2">
      <c r="C5" s="844" t="s">
        <v>496</v>
      </c>
    </row>
    <row r="6" spans="1:13" x14ac:dyDescent="0.2">
      <c r="C6" s="844" t="s">
        <v>497</v>
      </c>
    </row>
    <row r="7" spans="1:13" x14ac:dyDescent="0.2">
      <c r="C7" s="844" t="s">
        <v>498</v>
      </c>
    </row>
    <row r="8" spans="1:13" x14ac:dyDescent="0.2">
      <c r="C8" s="845" t="s">
        <v>499</v>
      </c>
      <c r="G8" s="1578" t="s">
        <v>505</v>
      </c>
      <c r="H8" s="1578"/>
      <c r="I8" s="1578"/>
      <c r="J8" s="1578"/>
      <c r="K8" s="1578"/>
      <c r="L8" s="15"/>
      <c r="M8" s="15"/>
    </row>
    <row r="9" spans="1:13" x14ac:dyDescent="0.2">
      <c r="C9" s="845" t="s">
        <v>500</v>
      </c>
      <c r="G9" s="1578"/>
      <c r="H9" s="1578"/>
      <c r="I9" s="1578"/>
      <c r="J9" s="1578"/>
      <c r="K9" s="1578"/>
      <c r="L9" s="15"/>
      <c r="M9" s="15"/>
    </row>
    <row r="10" spans="1:13" x14ac:dyDescent="0.2">
      <c r="C10" t="s">
        <v>501</v>
      </c>
      <c r="G10" s="15"/>
      <c r="H10" s="15"/>
      <c r="I10" s="15"/>
      <c r="J10" s="15"/>
      <c r="K10" s="15"/>
      <c r="L10" s="15"/>
      <c r="M10" s="15"/>
    </row>
    <row r="11" spans="1:13" x14ac:dyDescent="0.2">
      <c r="C11" t="s">
        <v>502</v>
      </c>
      <c r="G11" s="15"/>
      <c r="H11" s="15"/>
      <c r="I11" s="15"/>
      <c r="J11" s="15"/>
      <c r="K11" s="15"/>
      <c r="L11" s="15"/>
      <c r="M11" s="15"/>
    </row>
    <row r="12" spans="1:13" x14ac:dyDescent="0.2">
      <c r="A12" s="842">
        <v>43354</v>
      </c>
      <c r="B12" t="s">
        <v>492</v>
      </c>
      <c r="C12" t="s">
        <v>503</v>
      </c>
    </row>
  </sheetData>
  <mergeCells count="1">
    <mergeCell ref="G8:K9"/>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AB90"/>
  <sheetViews>
    <sheetView zoomScale="80" zoomScaleNormal="80" workbookViewId="0">
      <selection activeCell="C27" sqref="C27"/>
    </sheetView>
  </sheetViews>
  <sheetFormatPr baseColWidth="10" defaultRowHeight="12.75" x14ac:dyDescent="0.2"/>
  <cols>
    <col min="1" max="1" width="1" style="456" customWidth="1"/>
    <col min="2" max="2" width="49.7109375" style="456" customWidth="1"/>
    <col min="3" max="3" width="10.28515625" style="321" customWidth="1"/>
    <col min="4" max="4" width="7.140625" style="320" customWidth="1"/>
    <col min="5" max="6" width="5.7109375" style="320" customWidth="1"/>
    <col min="7" max="7" width="5.7109375" style="321" customWidth="1"/>
    <col min="8" max="9" width="5.7109375" style="320" customWidth="1"/>
    <col min="10" max="11" width="11" style="320" customWidth="1"/>
    <col min="12" max="12" width="11.28515625" style="320" customWidth="1"/>
    <col min="13" max="16" width="10.7109375" style="320" customWidth="1"/>
    <col min="17" max="17" width="14.7109375" style="320" customWidth="1"/>
    <col min="18" max="19" width="13.7109375" style="320" customWidth="1"/>
    <col min="20" max="20" width="7.85546875" style="320" customWidth="1"/>
    <col min="21" max="21" width="8.7109375" style="320" customWidth="1"/>
    <col min="22" max="22" width="12.5703125" style="322" customWidth="1"/>
    <col min="23" max="16384" width="11.42578125" style="323"/>
  </cols>
  <sheetData>
    <row r="1" spans="1:27" x14ac:dyDescent="0.2">
      <c r="A1" s="318" t="s">
        <v>323</v>
      </c>
      <c r="B1" s="66"/>
      <c r="C1" s="319" t="s">
        <v>324</v>
      </c>
      <c r="E1" s="67"/>
      <c r="F1" s="74"/>
      <c r="H1" s="74"/>
      <c r="I1" s="74"/>
      <c r="J1" s="74"/>
      <c r="K1" s="74"/>
      <c r="L1" s="74"/>
      <c r="M1" s="74"/>
      <c r="N1" s="74"/>
      <c r="O1" s="74"/>
      <c r="P1" s="74"/>
      <c r="Q1" s="74"/>
      <c r="R1" s="74"/>
      <c r="S1" s="74"/>
      <c r="T1" s="74"/>
      <c r="U1" s="74"/>
    </row>
    <row r="2" spans="1:27" x14ac:dyDescent="0.2">
      <c r="A2" s="75"/>
      <c r="B2" s="66"/>
      <c r="C2" s="324"/>
      <c r="D2" s="74"/>
      <c r="E2" s="74"/>
      <c r="F2" s="74"/>
      <c r="G2" s="324"/>
      <c r="H2" s="74"/>
      <c r="I2" s="74"/>
      <c r="J2" s="74"/>
      <c r="K2" s="74"/>
      <c r="L2" s="74"/>
      <c r="M2" s="74"/>
      <c r="N2" s="74"/>
      <c r="O2" s="74"/>
      <c r="P2" s="74"/>
      <c r="Q2" s="74"/>
      <c r="R2" s="74"/>
      <c r="S2" s="74"/>
      <c r="T2" s="74"/>
      <c r="U2" s="74"/>
      <c r="V2" s="253" t="s">
        <v>504</v>
      </c>
    </row>
    <row r="3" spans="1:27" x14ac:dyDescent="0.2">
      <c r="A3" s="75"/>
      <c r="B3" s="1051" t="s">
        <v>548</v>
      </c>
      <c r="C3" s="324"/>
      <c r="D3" s="74"/>
      <c r="E3" s="74"/>
      <c r="F3" s="74"/>
      <c r="G3" s="324"/>
      <c r="H3" s="74"/>
      <c r="I3" s="74"/>
      <c r="J3" s="74"/>
      <c r="K3" s="74"/>
      <c r="L3" s="74"/>
      <c r="M3" s="74"/>
      <c r="N3" s="74"/>
      <c r="O3" s="74"/>
      <c r="P3" s="74"/>
      <c r="Q3" s="74"/>
      <c r="R3" s="74"/>
      <c r="S3" s="74"/>
      <c r="T3" s="74"/>
      <c r="U3" s="74"/>
      <c r="V3" s="253"/>
    </row>
    <row r="4" spans="1:27" ht="13.5" thickBot="1" x14ac:dyDescent="0.25">
      <c r="A4" s="75"/>
      <c r="B4" s="66"/>
      <c r="C4" s="325"/>
      <c r="D4" s="74"/>
      <c r="E4" s="74"/>
      <c r="F4" s="74"/>
      <c r="G4" s="324"/>
      <c r="H4" s="74"/>
      <c r="I4" s="74"/>
      <c r="J4" s="74"/>
      <c r="K4" s="74"/>
      <c r="L4" s="74"/>
      <c r="M4" s="74"/>
      <c r="N4" s="74"/>
      <c r="O4" s="74"/>
      <c r="P4" s="74"/>
      <c r="Q4" s="74"/>
      <c r="R4" s="74"/>
      <c r="S4" s="74"/>
      <c r="T4" s="74"/>
      <c r="U4" s="74"/>
      <c r="V4" s="74"/>
    </row>
    <row r="5" spans="1:27" ht="14.25" x14ac:dyDescent="0.2">
      <c r="A5" s="76"/>
      <c r="B5" s="77"/>
      <c r="C5" s="326" t="s">
        <v>325</v>
      </c>
      <c r="D5" s="327" t="s">
        <v>3</v>
      </c>
      <c r="E5" s="78"/>
      <c r="F5" s="78"/>
      <c r="G5" s="1545" t="s">
        <v>326</v>
      </c>
      <c r="H5" s="1546"/>
      <c r="I5" s="1546"/>
      <c r="J5" s="1547"/>
      <c r="K5" s="698" t="s">
        <v>468</v>
      </c>
      <c r="L5" s="328" t="s">
        <v>327</v>
      </c>
      <c r="M5" s="1548" t="s">
        <v>328</v>
      </c>
      <c r="N5" s="1548"/>
      <c r="O5" s="1549"/>
      <c r="P5" s="698" t="s">
        <v>468</v>
      </c>
      <c r="Q5" s="328" t="s">
        <v>329</v>
      </c>
      <c r="R5" s="328" t="s">
        <v>330</v>
      </c>
      <c r="S5" s="698" t="s">
        <v>468</v>
      </c>
      <c r="T5" s="1545" t="s">
        <v>331</v>
      </c>
      <c r="U5" s="1547"/>
      <c r="V5" s="843" t="s">
        <v>404</v>
      </c>
      <c r="W5" s="1537" t="s">
        <v>441</v>
      </c>
      <c r="X5" s="1538"/>
      <c r="Y5" s="1539"/>
      <c r="Z5" s="323" t="s">
        <v>464</v>
      </c>
    </row>
    <row r="6" spans="1:27" ht="14.25" x14ac:dyDescent="0.2">
      <c r="A6" s="108"/>
      <c r="B6" s="81" t="s">
        <v>74</v>
      </c>
      <c r="C6" s="329" t="s">
        <v>332</v>
      </c>
      <c r="D6" s="330" t="s">
        <v>333</v>
      </c>
      <c r="E6" s="83"/>
      <c r="F6" s="83"/>
      <c r="G6" s="1550" t="s">
        <v>334</v>
      </c>
      <c r="H6" s="1543"/>
      <c r="I6" s="1543"/>
      <c r="J6" s="1544"/>
      <c r="K6" s="699" t="s">
        <v>0</v>
      </c>
      <c r="L6" s="331" t="s">
        <v>57</v>
      </c>
      <c r="M6" s="1551" t="s">
        <v>334</v>
      </c>
      <c r="N6" s="1551"/>
      <c r="O6" s="1552"/>
      <c r="P6" s="699" t="s">
        <v>16</v>
      </c>
      <c r="Q6" s="332" t="s">
        <v>335</v>
      </c>
      <c r="R6" s="331" t="s">
        <v>335</v>
      </c>
      <c r="S6" s="699" t="s">
        <v>12</v>
      </c>
      <c r="T6" s="1550" t="s">
        <v>336</v>
      </c>
      <c r="U6" s="1544"/>
      <c r="V6" s="843" t="s">
        <v>16</v>
      </c>
      <c r="W6" s="1540" t="s">
        <v>442</v>
      </c>
      <c r="X6" s="1541"/>
      <c r="Y6" s="1542"/>
      <c r="Z6" s="323" t="s">
        <v>462</v>
      </c>
      <c r="AA6" s="323" t="s">
        <v>463</v>
      </c>
    </row>
    <row r="7" spans="1:27" ht="14.25" x14ac:dyDescent="0.2">
      <c r="A7" s="87"/>
      <c r="B7" s="68" t="s">
        <v>359</v>
      </c>
      <c r="C7" s="329" t="s">
        <v>337</v>
      </c>
      <c r="D7" s="330" t="s">
        <v>338</v>
      </c>
      <c r="E7" s="83"/>
      <c r="F7" s="83"/>
      <c r="G7" s="333"/>
      <c r="H7" s="334" t="s">
        <v>290</v>
      </c>
      <c r="I7" s="335"/>
      <c r="J7" s="331" t="s">
        <v>13</v>
      </c>
      <c r="K7" s="697" t="s">
        <v>337</v>
      </c>
      <c r="L7" s="336" t="s">
        <v>339</v>
      </c>
      <c r="M7" s="1543" t="s">
        <v>340</v>
      </c>
      <c r="N7" s="1543"/>
      <c r="O7" s="1544"/>
      <c r="P7" s="697" t="s">
        <v>337</v>
      </c>
      <c r="Q7" s="332" t="s">
        <v>341</v>
      </c>
      <c r="R7" s="331" t="s">
        <v>341</v>
      </c>
      <c r="S7" s="697"/>
      <c r="T7" s="251"/>
      <c r="U7" s="337" t="s">
        <v>342</v>
      </c>
      <c r="V7" s="843" t="s">
        <v>504</v>
      </c>
      <c r="W7" s="560"/>
      <c r="X7" s="561"/>
      <c r="Y7" s="562"/>
    </row>
    <row r="8" spans="1:27" ht="15.75" thickBot="1" x14ac:dyDescent="0.3">
      <c r="A8" s="88"/>
      <c r="B8" s="89"/>
      <c r="C8" s="338"/>
      <c r="D8" s="90" t="s">
        <v>5</v>
      </c>
      <c r="E8" s="339" t="s">
        <v>343</v>
      </c>
      <c r="F8" s="339" t="s">
        <v>344</v>
      </c>
      <c r="G8" s="340">
        <v>0.05</v>
      </c>
      <c r="H8" s="341">
        <v>7.4999999999999997E-2</v>
      </c>
      <c r="I8" s="342">
        <v>0.1</v>
      </c>
      <c r="J8" s="343" t="s">
        <v>345</v>
      </c>
      <c r="K8" s="345" t="s">
        <v>364</v>
      </c>
      <c r="L8" s="344" t="s">
        <v>346</v>
      </c>
      <c r="M8" s="345" t="s">
        <v>57</v>
      </c>
      <c r="N8" s="346" t="s">
        <v>58</v>
      </c>
      <c r="O8" s="347" t="s">
        <v>59</v>
      </c>
      <c r="P8" s="345" t="s">
        <v>364</v>
      </c>
      <c r="Q8" s="348" t="s">
        <v>347</v>
      </c>
      <c r="R8" s="344" t="s">
        <v>348</v>
      </c>
      <c r="S8" s="345"/>
      <c r="T8" s="349" t="s">
        <v>0</v>
      </c>
      <c r="U8" s="350" t="s">
        <v>12</v>
      </c>
      <c r="V8" s="843"/>
      <c r="W8" s="560"/>
      <c r="X8" s="561"/>
      <c r="Y8" s="562"/>
    </row>
    <row r="9" spans="1:27" x14ac:dyDescent="0.2">
      <c r="A9" s="101" t="s">
        <v>80</v>
      </c>
      <c r="B9" s="102"/>
      <c r="C9" s="351"/>
      <c r="D9" s="103"/>
      <c r="E9" s="352"/>
      <c r="F9" s="353"/>
      <c r="G9" s="354"/>
      <c r="H9" s="352"/>
      <c r="I9" s="353"/>
      <c r="J9" s="700"/>
      <c r="K9" s="412"/>
      <c r="L9" s="702"/>
      <c r="M9" s="356"/>
      <c r="N9" s="357"/>
      <c r="O9" s="706"/>
      <c r="P9" s="387"/>
      <c r="Q9" s="711"/>
      <c r="R9" s="351"/>
      <c r="S9" s="359"/>
      <c r="T9" s="359"/>
      <c r="U9" s="358"/>
      <c r="V9" s="863"/>
      <c r="W9" s="560"/>
      <c r="X9" s="561"/>
      <c r="Y9" s="562"/>
    </row>
    <row r="10" spans="1:27" ht="14.25" x14ac:dyDescent="0.2">
      <c r="A10" s="379"/>
      <c r="B10" s="380" t="s">
        <v>349</v>
      </c>
      <c r="C10" s="369"/>
      <c r="D10" s="367"/>
      <c r="E10" s="371" t="s">
        <v>288</v>
      </c>
      <c r="F10" s="372"/>
      <c r="G10" s="366"/>
      <c r="H10" s="381"/>
      <c r="I10" s="382"/>
      <c r="J10" s="701"/>
      <c r="K10" s="713"/>
      <c r="L10" s="703"/>
      <c r="M10" s="373"/>
      <c r="N10" s="374"/>
      <c r="O10" s="707"/>
      <c r="P10" s="713"/>
      <c r="Q10" s="372"/>
      <c r="R10" s="369"/>
      <c r="S10" s="713"/>
      <c r="T10" s="370"/>
      <c r="U10" s="375"/>
      <c r="V10" s="843"/>
      <c r="W10" s="560"/>
      <c r="X10" s="561"/>
      <c r="Y10" s="562"/>
    </row>
    <row r="11" spans="1:27" x14ac:dyDescent="0.2">
      <c r="A11" s="108"/>
      <c r="B11" s="96" t="s">
        <v>350</v>
      </c>
      <c r="C11" s="360">
        <v>0.3</v>
      </c>
      <c r="D11" s="377">
        <v>37</v>
      </c>
      <c r="E11" s="362">
        <v>11</v>
      </c>
      <c r="F11" s="363">
        <v>46</v>
      </c>
      <c r="G11" s="333">
        <v>12.5</v>
      </c>
      <c r="H11" s="362">
        <v>8.3000000000000007</v>
      </c>
      <c r="I11" s="363">
        <v>6.2</v>
      </c>
      <c r="J11" s="361">
        <v>7.6</v>
      </c>
      <c r="K11" s="713">
        <v>8.1999999999999993</v>
      </c>
      <c r="L11" s="368">
        <v>2.5</v>
      </c>
      <c r="M11" s="364">
        <v>4.5</v>
      </c>
      <c r="N11" s="365">
        <v>7.4</v>
      </c>
      <c r="O11" s="559">
        <v>8.9</v>
      </c>
      <c r="P11" s="713">
        <v>32.200000000000003</v>
      </c>
      <c r="Q11" s="363">
        <v>2.8</v>
      </c>
      <c r="R11" s="360">
        <v>2</v>
      </c>
      <c r="S11" s="713">
        <v>1.8</v>
      </c>
      <c r="T11" s="361">
        <v>15</v>
      </c>
      <c r="U11" s="100">
        <v>30</v>
      </c>
      <c r="V11" s="843"/>
      <c r="W11" s="560"/>
      <c r="X11" s="561"/>
      <c r="Y11" s="562"/>
    </row>
    <row r="12" spans="1:27" x14ac:dyDescent="0.2">
      <c r="A12" s="108"/>
      <c r="B12" s="96" t="s">
        <v>10</v>
      </c>
      <c r="C12" s="360">
        <v>0.7</v>
      </c>
      <c r="D12" s="377">
        <v>56</v>
      </c>
      <c r="E12" s="362">
        <v>18</v>
      </c>
      <c r="F12" s="363">
        <v>69</v>
      </c>
      <c r="G12" s="333">
        <v>18.899999999999999</v>
      </c>
      <c r="H12" s="362">
        <v>12.6</v>
      </c>
      <c r="I12" s="363">
        <v>9.4</v>
      </c>
      <c r="J12" s="361">
        <v>11.5</v>
      </c>
      <c r="K12" s="713">
        <v>8.1999999999999993</v>
      </c>
      <c r="L12" s="368">
        <v>3.7</v>
      </c>
      <c r="M12" s="364">
        <v>6.8</v>
      </c>
      <c r="N12" s="365">
        <v>11.8</v>
      </c>
      <c r="O12" s="559">
        <v>14.6</v>
      </c>
      <c r="P12" s="713">
        <v>31.1</v>
      </c>
      <c r="Q12" s="363">
        <v>4.3</v>
      </c>
      <c r="R12" s="360">
        <v>3</v>
      </c>
      <c r="S12" s="713">
        <v>1.8</v>
      </c>
      <c r="T12" s="361">
        <v>15</v>
      </c>
      <c r="U12" s="100">
        <v>30</v>
      </c>
      <c r="V12" s="843"/>
      <c r="W12" s="560"/>
      <c r="X12" s="561"/>
      <c r="Y12" s="562"/>
    </row>
    <row r="13" spans="1:27" x14ac:dyDescent="0.2">
      <c r="A13" s="108"/>
      <c r="B13" s="96" t="s">
        <v>11</v>
      </c>
      <c r="C13" s="360">
        <v>1</v>
      </c>
      <c r="D13" s="377">
        <v>64</v>
      </c>
      <c r="E13" s="362">
        <v>21</v>
      </c>
      <c r="F13" s="363">
        <v>78</v>
      </c>
      <c r="G13" s="333">
        <v>21.5</v>
      </c>
      <c r="H13" s="362">
        <v>14.3</v>
      </c>
      <c r="I13" s="363">
        <v>10.7</v>
      </c>
      <c r="J13" s="361">
        <v>13.1</v>
      </c>
      <c r="K13" s="713">
        <v>8.1999999999999993</v>
      </c>
      <c r="L13" s="368">
        <v>4.2</v>
      </c>
      <c r="M13" s="364">
        <v>7.8</v>
      </c>
      <c r="N13" s="365">
        <v>14</v>
      </c>
      <c r="O13" s="559">
        <v>17.5</v>
      </c>
      <c r="P13" s="713">
        <v>32.1</v>
      </c>
      <c r="Q13" s="363">
        <v>4.8</v>
      </c>
      <c r="R13" s="360">
        <v>3.4</v>
      </c>
      <c r="S13" s="713">
        <v>1.8</v>
      </c>
      <c r="T13" s="361">
        <v>15</v>
      </c>
      <c r="U13" s="100">
        <v>30</v>
      </c>
      <c r="V13" s="843"/>
      <c r="W13" s="560"/>
      <c r="X13" s="561"/>
      <c r="Y13" s="562"/>
    </row>
    <row r="14" spans="1:27" x14ac:dyDescent="0.2">
      <c r="A14" s="108"/>
      <c r="B14" s="96" t="s">
        <v>351</v>
      </c>
      <c r="C14" s="360">
        <v>1</v>
      </c>
      <c r="D14" s="377">
        <v>100</v>
      </c>
      <c r="E14" s="362">
        <v>36</v>
      </c>
      <c r="F14" s="363">
        <v>104</v>
      </c>
      <c r="G14" s="333">
        <v>33.799999999999997</v>
      </c>
      <c r="H14" s="362">
        <v>22.5</v>
      </c>
      <c r="I14" s="363">
        <v>16.899999999999999</v>
      </c>
      <c r="J14" s="361">
        <v>19</v>
      </c>
      <c r="K14" s="713">
        <v>8.9</v>
      </c>
      <c r="L14" s="368">
        <v>4</v>
      </c>
      <c r="M14" s="364">
        <v>15</v>
      </c>
      <c r="N14" s="365">
        <v>18.600000000000001</v>
      </c>
      <c r="O14" s="559">
        <v>23.4</v>
      </c>
      <c r="P14" s="724">
        <v>21.7</v>
      </c>
      <c r="Q14" s="363">
        <v>7.3</v>
      </c>
      <c r="R14" s="360">
        <v>6</v>
      </c>
      <c r="S14" s="713">
        <v>1.8</v>
      </c>
      <c r="T14" s="361">
        <v>15</v>
      </c>
      <c r="U14" s="100">
        <v>30</v>
      </c>
      <c r="V14" s="843"/>
      <c r="W14" s="560"/>
      <c r="X14" s="561"/>
      <c r="Y14" s="562"/>
    </row>
    <row r="15" spans="1:27" x14ac:dyDescent="0.2">
      <c r="A15" s="108"/>
      <c r="B15" s="96" t="s">
        <v>352</v>
      </c>
      <c r="C15" s="360">
        <v>1</v>
      </c>
      <c r="D15" s="377">
        <v>115</v>
      </c>
      <c r="E15" s="362">
        <v>42</v>
      </c>
      <c r="F15" s="363">
        <v>116</v>
      </c>
      <c r="G15" s="333">
        <v>37.299999999999997</v>
      </c>
      <c r="H15" s="362">
        <v>24.9</v>
      </c>
      <c r="I15" s="363">
        <v>18.600000000000001</v>
      </c>
      <c r="J15" s="361">
        <v>20</v>
      </c>
      <c r="K15" s="713">
        <v>9.3000000000000007</v>
      </c>
      <c r="L15" s="368">
        <v>4</v>
      </c>
      <c r="M15" s="364">
        <v>16</v>
      </c>
      <c r="N15" s="365">
        <v>19.399999999999999</v>
      </c>
      <c r="O15" s="559">
        <v>24.4</v>
      </c>
      <c r="P15" s="713">
        <v>21.3</v>
      </c>
      <c r="Q15" s="363">
        <v>8</v>
      </c>
      <c r="R15" s="360">
        <v>6.4</v>
      </c>
      <c r="S15" s="713">
        <v>1.8</v>
      </c>
      <c r="T15" s="361">
        <v>15</v>
      </c>
      <c r="U15" s="100">
        <v>30</v>
      </c>
      <c r="V15" s="843"/>
      <c r="W15" s="560"/>
      <c r="X15" s="561"/>
      <c r="Y15" s="562"/>
    </row>
    <row r="16" spans="1:27" x14ac:dyDescent="0.2">
      <c r="A16" s="108"/>
      <c r="B16" s="96" t="s">
        <v>353</v>
      </c>
      <c r="C16" s="360">
        <v>1</v>
      </c>
      <c r="D16" s="377">
        <v>133</v>
      </c>
      <c r="E16" s="362">
        <v>47</v>
      </c>
      <c r="F16" s="363">
        <v>125</v>
      </c>
      <c r="G16" s="333">
        <v>39.299999999999997</v>
      </c>
      <c r="H16" s="362">
        <v>26.2</v>
      </c>
      <c r="I16" s="363">
        <v>19.600000000000001</v>
      </c>
      <c r="J16" s="361">
        <v>21</v>
      </c>
      <c r="K16" s="713">
        <v>9.4</v>
      </c>
      <c r="L16" s="368">
        <v>5</v>
      </c>
      <c r="M16" s="364">
        <v>17</v>
      </c>
      <c r="N16" s="365">
        <v>20.2</v>
      </c>
      <c r="O16" s="559">
        <v>25.4</v>
      </c>
      <c r="P16" s="713">
        <v>23.6</v>
      </c>
      <c r="Q16" s="363">
        <v>7.7</v>
      </c>
      <c r="R16" s="360">
        <v>6.8</v>
      </c>
      <c r="S16" s="713">
        <v>1.8</v>
      </c>
      <c r="T16" s="361">
        <v>15</v>
      </c>
      <c r="U16" s="100">
        <v>30</v>
      </c>
      <c r="V16" s="843"/>
      <c r="W16" s="560"/>
      <c r="X16" s="561"/>
      <c r="Y16" s="562"/>
    </row>
    <row r="17" spans="1:28" x14ac:dyDescent="0.2">
      <c r="A17" s="108"/>
      <c r="B17" s="96" t="s">
        <v>354</v>
      </c>
      <c r="C17" s="360">
        <v>1</v>
      </c>
      <c r="D17" s="377">
        <v>152</v>
      </c>
      <c r="E17" s="362">
        <v>52</v>
      </c>
      <c r="F17" s="363">
        <v>135</v>
      </c>
      <c r="G17" s="333">
        <v>45.3</v>
      </c>
      <c r="H17" s="362">
        <v>30.2</v>
      </c>
      <c r="I17" s="363">
        <v>22.7</v>
      </c>
      <c r="J17" s="361">
        <v>22</v>
      </c>
      <c r="K17" s="713">
        <v>10.3</v>
      </c>
      <c r="L17" s="368">
        <v>6</v>
      </c>
      <c r="M17" s="364">
        <v>17</v>
      </c>
      <c r="N17" s="365">
        <v>21</v>
      </c>
      <c r="O17" s="559">
        <v>26.4</v>
      </c>
      <c r="P17" s="713">
        <v>29.4</v>
      </c>
      <c r="Q17" s="363">
        <v>7.5</v>
      </c>
      <c r="R17" s="360">
        <v>7.2</v>
      </c>
      <c r="S17" s="713">
        <v>1.8</v>
      </c>
      <c r="T17" s="361">
        <v>15</v>
      </c>
      <c r="U17" s="100">
        <v>30</v>
      </c>
      <c r="V17" s="843"/>
      <c r="W17" s="560"/>
      <c r="X17" s="561"/>
      <c r="Y17" s="562"/>
    </row>
    <row r="18" spans="1:28" ht="14.25" x14ac:dyDescent="0.2">
      <c r="A18" s="379"/>
      <c r="B18" s="380" t="s">
        <v>355</v>
      </c>
      <c r="C18" s="369"/>
      <c r="D18" s="367"/>
      <c r="E18" s="371" t="s">
        <v>288</v>
      </c>
      <c r="F18" s="372"/>
      <c r="G18" s="366"/>
      <c r="H18" s="381"/>
      <c r="I18" s="382"/>
      <c r="J18" s="701"/>
      <c r="K18" s="383"/>
      <c r="L18" s="703"/>
      <c r="M18" s="373"/>
      <c r="N18" s="374"/>
      <c r="O18" s="707"/>
      <c r="P18" s="713"/>
      <c r="Q18" s="372"/>
      <c r="R18" s="369"/>
      <c r="S18" s="370"/>
      <c r="T18" s="370"/>
      <c r="U18" s="375"/>
      <c r="V18" s="843"/>
      <c r="W18" s="560"/>
      <c r="X18" s="561"/>
      <c r="Y18" s="562"/>
    </row>
    <row r="19" spans="1:28" x14ac:dyDescent="0.2">
      <c r="A19" s="108"/>
      <c r="B19" s="96" t="s">
        <v>350</v>
      </c>
      <c r="C19" s="360">
        <v>0.3</v>
      </c>
      <c r="D19" s="377">
        <v>47</v>
      </c>
      <c r="E19" s="362">
        <v>14</v>
      </c>
      <c r="F19" s="363">
        <v>58</v>
      </c>
      <c r="G19" s="333">
        <v>12.4</v>
      </c>
      <c r="H19" s="362">
        <v>8.3000000000000007</v>
      </c>
      <c r="I19" s="363">
        <v>6.2</v>
      </c>
      <c r="J19" s="361">
        <v>7.6</v>
      </c>
      <c r="K19" s="713">
        <v>8.1999999999999993</v>
      </c>
      <c r="L19" s="368">
        <v>2.5</v>
      </c>
      <c r="M19" s="364">
        <v>4.5</v>
      </c>
      <c r="N19" s="365">
        <v>7.4</v>
      </c>
      <c r="O19" s="559">
        <v>8.9</v>
      </c>
      <c r="P19" s="713">
        <v>32.200000000000003</v>
      </c>
      <c r="Q19" s="363">
        <v>3.5</v>
      </c>
      <c r="R19" s="360">
        <v>2</v>
      </c>
      <c r="S19" s="713">
        <v>1.8</v>
      </c>
      <c r="T19" s="361">
        <v>15</v>
      </c>
      <c r="U19" s="100">
        <v>30</v>
      </c>
      <c r="V19" s="843"/>
      <c r="W19" s="560"/>
      <c r="X19" s="561"/>
      <c r="Y19" s="562"/>
    </row>
    <row r="20" spans="1:28" x14ac:dyDescent="0.2">
      <c r="A20" s="108"/>
      <c r="B20" s="96" t="s">
        <v>10</v>
      </c>
      <c r="C20" s="360">
        <v>0.7</v>
      </c>
      <c r="D20" s="377">
        <v>72</v>
      </c>
      <c r="E20" s="362">
        <v>21</v>
      </c>
      <c r="F20" s="363">
        <v>94</v>
      </c>
      <c r="G20" s="333">
        <v>19</v>
      </c>
      <c r="H20" s="362">
        <v>12.7</v>
      </c>
      <c r="I20" s="363">
        <v>9.5</v>
      </c>
      <c r="J20" s="361">
        <v>11.7</v>
      </c>
      <c r="K20" s="713">
        <v>8.1</v>
      </c>
      <c r="L20" s="368">
        <v>3.8</v>
      </c>
      <c r="M20" s="364">
        <v>6.9</v>
      </c>
      <c r="N20" s="365">
        <v>12</v>
      </c>
      <c r="O20" s="559">
        <v>14.8</v>
      </c>
      <c r="P20" s="713">
        <v>31.1</v>
      </c>
      <c r="Q20" s="363">
        <v>5.4</v>
      </c>
      <c r="R20" s="360">
        <v>3</v>
      </c>
      <c r="S20" s="713">
        <v>1.8</v>
      </c>
      <c r="T20" s="361">
        <v>15</v>
      </c>
      <c r="U20" s="100">
        <v>30</v>
      </c>
      <c r="V20" s="843"/>
      <c r="W20" s="560"/>
      <c r="X20" s="561"/>
      <c r="Y20" s="562"/>
    </row>
    <row r="21" spans="1:28" x14ac:dyDescent="0.2">
      <c r="A21" s="108"/>
      <c r="B21" s="96" t="s">
        <v>11</v>
      </c>
      <c r="C21" s="360">
        <v>1</v>
      </c>
      <c r="D21" s="377">
        <v>84</v>
      </c>
      <c r="E21" s="362">
        <v>23</v>
      </c>
      <c r="F21" s="363">
        <v>100</v>
      </c>
      <c r="G21" s="333">
        <v>22.2</v>
      </c>
      <c r="H21" s="362">
        <v>14.8</v>
      </c>
      <c r="I21" s="363">
        <v>11.1</v>
      </c>
      <c r="J21" s="361">
        <v>13.7</v>
      </c>
      <c r="K21" s="713">
        <v>8.1</v>
      </c>
      <c r="L21" s="368">
        <v>4.4000000000000004</v>
      </c>
      <c r="M21" s="364">
        <v>8.1</v>
      </c>
      <c r="N21" s="365">
        <v>14.5</v>
      </c>
      <c r="O21" s="559">
        <v>18.100000000000001</v>
      </c>
      <c r="P21" s="713">
        <v>32.1</v>
      </c>
      <c r="Q21" s="363">
        <v>6.3</v>
      </c>
      <c r="R21" s="360">
        <v>3.5</v>
      </c>
      <c r="S21" s="713">
        <v>1.8</v>
      </c>
      <c r="T21" s="361">
        <v>15</v>
      </c>
      <c r="U21" s="100">
        <v>30</v>
      </c>
      <c r="V21" s="843"/>
      <c r="W21" s="560"/>
      <c r="X21" s="561"/>
      <c r="Y21" s="562"/>
    </row>
    <row r="22" spans="1:28" x14ac:dyDescent="0.2">
      <c r="A22" s="108"/>
      <c r="B22" s="96" t="s">
        <v>351</v>
      </c>
      <c r="C22" s="360">
        <v>1</v>
      </c>
      <c r="D22" s="377">
        <v>109</v>
      </c>
      <c r="E22" s="362">
        <v>37</v>
      </c>
      <c r="F22" s="363">
        <v>129</v>
      </c>
      <c r="G22" s="333">
        <v>36.5</v>
      </c>
      <c r="H22" s="362">
        <v>24.3</v>
      </c>
      <c r="I22" s="363">
        <v>18.2</v>
      </c>
      <c r="J22" s="361">
        <v>19</v>
      </c>
      <c r="K22" s="713">
        <v>9.6</v>
      </c>
      <c r="L22" s="368">
        <v>4</v>
      </c>
      <c r="M22" s="364">
        <v>14.4</v>
      </c>
      <c r="N22" s="365">
        <v>18.600000000000001</v>
      </c>
      <c r="O22" s="559">
        <v>23.4</v>
      </c>
      <c r="P22" s="713">
        <v>24.9</v>
      </c>
      <c r="Q22" s="363">
        <v>9.6</v>
      </c>
      <c r="R22" s="360">
        <v>6</v>
      </c>
      <c r="S22" s="713">
        <v>1.8</v>
      </c>
      <c r="T22" s="361">
        <v>15</v>
      </c>
      <c r="U22" s="100">
        <v>30</v>
      </c>
      <c r="V22" s="843"/>
      <c r="W22" s="560"/>
      <c r="X22" s="561"/>
      <c r="Y22" s="562"/>
    </row>
    <row r="23" spans="1:28" x14ac:dyDescent="0.2">
      <c r="A23" s="108"/>
      <c r="B23" s="96" t="s">
        <v>352</v>
      </c>
      <c r="C23" s="360">
        <v>1</v>
      </c>
      <c r="D23" s="377">
        <v>124</v>
      </c>
      <c r="E23" s="362">
        <v>43</v>
      </c>
      <c r="F23" s="363">
        <v>134</v>
      </c>
      <c r="G23" s="333">
        <v>38.1</v>
      </c>
      <c r="H23" s="362">
        <v>25.4</v>
      </c>
      <c r="I23" s="363">
        <v>19</v>
      </c>
      <c r="J23" s="361">
        <v>20</v>
      </c>
      <c r="K23" s="713">
        <v>9.5</v>
      </c>
      <c r="L23" s="368">
        <v>4</v>
      </c>
      <c r="M23" s="364">
        <v>15</v>
      </c>
      <c r="N23" s="365">
        <v>19.399999999999999</v>
      </c>
      <c r="O23" s="559">
        <v>24.4</v>
      </c>
      <c r="P23" s="713">
        <v>23.4</v>
      </c>
      <c r="Q23" s="363">
        <v>9.6999999999999993</v>
      </c>
      <c r="R23" s="360">
        <v>6.4</v>
      </c>
      <c r="S23" s="713">
        <v>1.8</v>
      </c>
      <c r="T23" s="361">
        <v>15</v>
      </c>
      <c r="U23" s="100">
        <v>30</v>
      </c>
      <c r="V23" s="843"/>
      <c r="W23" s="560"/>
      <c r="X23" s="561"/>
      <c r="Y23" s="562"/>
    </row>
    <row r="24" spans="1:28" x14ac:dyDescent="0.2">
      <c r="A24" s="108"/>
      <c r="B24" s="96" t="s">
        <v>353</v>
      </c>
      <c r="C24" s="360">
        <v>1</v>
      </c>
      <c r="D24" s="377">
        <v>141</v>
      </c>
      <c r="E24" s="362">
        <v>48</v>
      </c>
      <c r="F24" s="363">
        <v>143</v>
      </c>
      <c r="G24" s="333">
        <v>40.4</v>
      </c>
      <c r="H24" s="362">
        <v>26.9</v>
      </c>
      <c r="I24" s="363">
        <v>20.2</v>
      </c>
      <c r="J24" s="361">
        <v>21</v>
      </c>
      <c r="K24" s="713">
        <v>9.6</v>
      </c>
      <c r="L24" s="368">
        <v>5</v>
      </c>
      <c r="M24" s="364">
        <v>16</v>
      </c>
      <c r="N24" s="365">
        <v>20.2</v>
      </c>
      <c r="O24" s="559">
        <v>25.4</v>
      </c>
      <c r="P24" s="713">
        <v>26</v>
      </c>
      <c r="Q24" s="363">
        <v>9.5</v>
      </c>
      <c r="R24" s="360">
        <v>6.8</v>
      </c>
      <c r="S24" s="713">
        <v>1.8</v>
      </c>
      <c r="T24" s="361">
        <v>15</v>
      </c>
      <c r="U24" s="100">
        <v>30</v>
      </c>
      <c r="V24" s="843"/>
      <c r="W24" s="560"/>
      <c r="X24" s="561"/>
      <c r="Y24" s="562"/>
    </row>
    <row r="25" spans="1:28" x14ac:dyDescent="0.2">
      <c r="A25" s="108"/>
      <c r="B25" s="96"/>
      <c r="C25" s="360"/>
      <c r="D25" s="377"/>
      <c r="E25" s="362"/>
      <c r="F25" s="363"/>
      <c r="G25" s="333"/>
      <c r="H25" s="362"/>
      <c r="I25" s="363"/>
      <c r="J25" s="361"/>
      <c r="K25" s="360"/>
      <c r="L25" s="368"/>
      <c r="M25" s="364"/>
      <c r="N25" s="365"/>
      <c r="O25" s="559"/>
      <c r="P25" s="713"/>
      <c r="Q25" s="363"/>
      <c r="R25" s="360"/>
      <c r="S25" s="361"/>
      <c r="T25" s="361"/>
      <c r="U25" s="100"/>
      <c r="V25" s="843"/>
      <c r="W25" s="560"/>
      <c r="X25" s="561"/>
      <c r="Y25" s="562"/>
    </row>
    <row r="26" spans="1:28" x14ac:dyDescent="0.2">
      <c r="A26" s="108"/>
      <c r="B26" s="96" t="s">
        <v>360</v>
      </c>
      <c r="C26" s="360">
        <f>'Betriebe mit Separation'!AU13</f>
        <v>0</v>
      </c>
      <c r="D26" s="377">
        <f>+C26</f>
        <v>0</v>
      </c>
      <c r="E26" s="377">
        <f>+D26</f>
        <v>0</v>
      </c>
      <c r="F26" s="377">
        <f t="shared" ref="F26:U26" si="0">+E26</f>
        <v>0</v>
      </c>
      <c r="G26" s="377">
        <f t="shared" si="0"/>
        <v>0</v>
      </c>
      <c r="H26" s="377">
        <f>+G26</f>
        <v>0</v>
      </c>
      <c r="I26" s="377">
        <f t="shared" si="0"/>
        <v>0</v>
      </c>
      <c r="J26" s="361">
        <f>+I26</f>
        <v>0</v>
      </c>
      <c r="K26" s="715">
        <f>+J26</f>
        <v>0</v>
      </c>
      <c r="L26" s="426">
        <f>+J26</f>
        <v>0</v>
      </c>
      <c r="M26" s="377">
        <f t="shared" si="0"/>
        <v>0</v>
      </c>
      <c r="N26" s="377">
        <f t="shared" si="0"/>
        <v>0</v>
      </c>
      <c r="O26" s="361">
        <f t="shared" si="0"/>
        <v>0</v>
      </c>
      <c r="P26" s="715">
        <f t="shared" si="0"/>
        <v>0</v>
      </c>
      <c r="Q26" s="426">
        <f>+O26</f>
        <v>0</v>
      </c>
      <c r="R26" s="377">
        <f>+Q26</f>
        <v>0</v>
      </c>
      <c r="S26" s="727"/>
      <c r="T26" s="377">
        <f>+R26</f>
        <v>0</v>
      </c>
      <c r="U26" s="377">
        <f t="shared" si="0"/>
        <v>0</v>
      </c>
      <c r="V26" s="843"/>
      <c r="W26" s="560"/>
      <c r="X26" s="561"/>
      <c r="Y26" s="562"/>
    </row>
    <row r="27" spans="1:28" x14ac:dyDescent="0.2">
      <c r="A27" s="108"/>
      <c r="B27" s="96" t="s">
        <v>283</v>
      </c>
      <c r="C27" s="360">
        <f>'Betriebe mit Separation'!B13</f>
        <v>10000</v>
      </c>
      <c r="D27" s="377">
        <f>+C27</f>
        <v>10000</v>
      </c>
      <c r="E27" s="377">
        <f t="shared" ref="E27:U27" si="1">+D27</f>
        <v>10000</v>
      </c>
      <c r="F27" s="377">
        <f t="shared" si="1"/>
        <v>10000</v>
      </c>
      <c r="G27" s="377">
        <f t="shared" si="1"/>
        <v>10000</v>
      </c>
      <c r="H27" s="377">
        <f t="shared" si="1"/>
        <v>10000</v>
      </c>
      <c r="I27" s="377">
        <f>+H27</f>
        <v>10000</v>
      </c>
      <c r="J27" s="361">
        <f>+I27</f>
        <v>10000</v>
      </c>
      <c r="K27" s="715">
        <f t="shared" si="1"/>
        <v>10000</v>
      </c>
      <c r="L27" s="426">
        <f>+J27</f>
        <v>10000</v>
      </c>
      <c r="M27" s="377">
        <f t="shared" si="1"/>
        <v>10000</v>
      </c>
      <c r="N27" s="377">
        <f t="shared" si="1"/>
        <v>10000</v>
      </c>
      <c r="O27" s="361">
        <f t="shared" si="1"/>
        <v>10000</v>
      </c>
      <c r="P27" s="715">
        <f t="shared" si="1"/>
        <v>10000</v>
      </c>
      <c r="Q27" s="426">
        <f>+O27</f>
        <v>10000</v>
      </c>
      <c r="R27" s="377">
        <f>+Q27</f>
        <v>10000</v>
      </c>
      <c r="S27" s="727"/>
      <c r="T27" s="377">
        <f>+R27</f>
        <v>10000</v>
      </c>
      <c r="U27" s="377">
        <f t="shared" si="1"/>
        <v>10000</v>
      </c>
      <c r="V27" s="843"/>
      <c r="W27" s="560"/>
      <c r="X27" s="561"/>
      <c r="Y27" s="562"/>
    </row>
    <row r="28" spans="1:28" x14ac:dyDescent="0.2">
      <c r="A28" s="108"/>
      <c r="B28" s="96" t="s">
        <v>361</v>
      </c>
      <c r="C28" s="728">
        <f>IF(C27&lt;=6000,C14,IF(AND(C27&gt;6000,C27&lt;=8000),C14+(C15-C14)/2000*(C27-6000),IF(AND(C27&gt;8000,C27&lt;=10000),C15+(C16-C15)/2000*(C27-8000),IF(AND(C27&gt;10000,C27&lt;=12000),C16+(C17-C16)/2000*(C27-10000),C17))))</f>
        <v>1</v>
      </c>
      <c r="D28" s="728">
        <f>IF(D27&lt;=6000,D14,IF(AND(D27&gt;6000,D27&lt;=8000),D14+(D15-D14)/2000*(D27-6000),IF(AND(D27&gt;8000,D27&lt;=10000),D15+(D16-D15)/2000*(D27-8000),IF(AND(D27&gt;10000,D27&lt;=12000),D16+(D17-D16)/2000*(D27-10000),D17))))</f>
        <v>133</v>
      </c>
      <c r="E28" s="728">
        <f>IF(E27&lt;=6000,E14,IF(AND(E27&gt;6000,E27&lt;=8000),E14+(E15-E14)/2000*(E27-6000),IF(AND(E27&gt;8000,E27&lt;=10000),E15+(E16-E15)/2000*(E27-8000),IF(AND(E27&gt;10000,E27&lt;=12000),E16+(E17-E16)/2000*(E27-10000),E17))))</f>
        <v>47</v>
      </c>
      <c r="F28" s="728">
        <f>IF(F27&lt;=6000,F14,IF(AND(F27&gt;6000,F27&lt;=8000),F14+(F15-F14)/2000*(F27-6000),IF(AND(F27&gt;8000,F27&lt;=10000),F15+(F16-F15)/2000*(F27-8000),IF(AND(F27&gt;10000,F27&lt;=12000),F16+(F17-F16)/2000*(F27-10000),F17))))</f>
        <v>125</v>
      </c>
      <c r="G28" s="728">
        <f t="shared" ref="G28:T28" si="2">IF(G27&lt;=6000,G14,IF(AND(G27&gt;6000,G27&lt;=8000),G14+(G15-G14)/2000*(G27-6000),IF(AND(G27&gt;8000,G27&lt;=10000),G15+(G16-G15)/2000*(G27-8000),IF(AND(G27&gt;10000,G27&lt;=12000),G16+(G17-G16)/2000*(G27-10000),G17))))</f>
        <v>39.299999999999997</v>
      </c>
      <c r="H28" s="728">
        <f t="shared" si="2"/>
        <v>26.2</v>
      </c>
      <c r="I28" s="728">
        <f t="shared" si="2"/>
        <v>19.600000000000001</v>
      </c>
      <c r="J28" s="728">
        <f>IF(J27&lt;=6000,J14,IF(AND(J27&gt;6000,J27&lt;=8000),J14+(J15-J14)/2000*(J27-6000),IF(AND(J27&gt;8000,J27&lt;=10000),J15+(J16-J15)/2000*(J27-8000),IF(AND(J27&gt;10000,J27&lt;=12000),J16+(J17-J16)/2000*(J27-10000),J17))))</f>
        <v>21</v>
      </c>
      <c r="K28" s="729">
        <f>IF(K27&lt;=6000,K14,IF(AND(K27&gt;6000,K27&lt;=8000),K14+(K15-K14)/2000*(K27-6000),IF(AND(K27&gt;8000,K27&lt;=10000),K15+(K16-K15)/2000*(K27-8000),IF(AND(K27&gt;10000,K27&lt;=12000),K16+(K17-K16)/2000*(K27-10000),K17))))</f>
        <v>9.4</v>
      </c>
      <c r="L28" s="728">
        <f t="shared" si="2"/>
        <v>5</v>
      </c>
      <c r="M28" s="728">
        <f t="shared" si="2"/>
        <v>17</v>
      </c>
      <c r="N28" s="728">
        <f t="shared" si="2"/>
        <v>20.2</v>
      </c>
      <c r="O28" s="728">
        <f t="shared" si="2"/>
        <v>25.4</v>
      </c>
      <c r="P28" s="729">
        <f t="shared" si="2"/>
        <v>23.6</v>
      </c>
      <c r="Q28" s="728">
        <f t="shared" si="2"/>
        <v>7.7</v>
      </c>
      <c r="R28" s="728">
        <f>IF(R27&lt;=6000,R14,IF(AND(R27&gt;6000,R27&lt;=8000),R14+(R15-R14)/2000*(R27-6000),IF(AND(R27&gt;8000,R27&lt;=10000),R15+(R16-R15)/2000*(R27-8000),IF(AND(R27&gt;10000,R27&lt;=12000),R16+(R17-R16)/2000*(R27-10000),R17))))</f>
        <v>6.8</v>
      </c>
      <c r="S28" s="729">
        <f>IF(S27&lt;=6000,S14,IF(AND(S27&gt;6000,S27&lt;=8000),S14+(S15-S14)/2000*(S27-6000),IF(AND(S27&gt;8000,S27&lt;=10000),S15+(S16-S15)/2000*(S27-8000),IF(AND(S27&gt;10000,S27&lt;=12000),S16+(S17-S16)/2000*(S27-10000),S17))))</f>
        <v>1.8</v>
      </c>
      <c r="T28" s="728">
        <f t="shared" si="2"/>
        <v>15</v>
      </c>
      <c r="U28" s="728">
        <f>IF(U27&lt;=6000,U14,IF(AND(U27&gt;6000,U27&lt;=8000),U14+(U15-U14)/2000*(U27-6000),IF(AND(U27&gt;8000,U27&lt;=10000),U15+(U16-U15)/2000*(U27-8000),IF(AND(U27&gt;10000,U27&lt;=12000),U16+(U17-U16)/2000*(U27-10000),U17))))</f>
        <v>30</v>
      </c>
      <c r="V28" s="843"/>
      <c r="W28" s="560"/>
      <c r="X28" s="561"/>
      <c r="Y28" s="562"/>
    </row>
    <row r="29" spans="1:28" x14ac:dyDescent="0.2">
      <c r="A29" s="108"/>
      <c r="B29" s="96" t="s">
        <v>362</v>
      </c>
      <c r="C29" s="728">
        <f>IF(C27&lt;=6000,C22,IF(AND(C27&gt;6000,C27&lt;=8000),C22+(C23-C22)/2000*(C27-6000),IF(AND(C27&gt;8000,C27&lt;=10000),C23+(C24-C23)/2000*(C27-8000),C24)))</f>
        <v>1</v>
      </c>
      <c r="D29" s="728">
        <f>IF(D27&lt;=6000,D22,IF(AND(D27&gt;6000,D27&lt;=8000),D22+(D23-D22)/2000*(D27-6000),IF(AND(D27&gt;8000,D27&lt;=10000),D23+(D24-D23)/2000*(D27-8000),D24)))</f>
        <v>141</v>
      </c>
      <c r="E29" s="728">
        <f t="shared" ref="E29:U29" si="3">IF(E27&lt;=6000,E22,IF(AND(E27&gt;6000,E27&lt;=8000),E22+(E23-E22)/2000*(E27-6000),IF(AND(E27&gt;8000,E27&lt;=10000),E23+(E24-E23)/2000*(E27-8000),E24)))</f>
        <v>48</v>
      </c>
      <c r="F29" s="728">
        <f t="shared" si="3"/>
        <v>143</v>
      </c>
      <c r="G29" s="728">
        <f t="shared" si="3"/>
        <v>40.4</v>
      </c>
      <c r="H29" s="728">
        <f t="shared" si="3"/>
        <v>26.9</v>
      </c>
      <c r="I29" s="728">
        <f t="shared" si="3"/>
        <v>20.2</v>
      </c>
      <c r="J29" s="728">
        <f t="shared" si="3"/>
        <v>21</v>
      </c>
      <c r="K29" s="729">
        <f>IF(K27&lt;=6000,K22,IF(AND(K27&gt;6000,K27&lt;=8000),K22+(K23-K22)/2000*(K27-6000),IF(AND(K27&gt;8000,K27&lt;=10000),K23+(K24-K23)/2000*(K27-8000),K24)))</f>
        <v>9.6</v>
      </c>
      <c r="L29" s="728">
        <f t="shared" si="3"/>
        <v>5</v>
      </c>
      <c r="M29" s="728">
        <f t="shared" si="3"/>
        <v>16</v>
      </c>
      <c r="N29" s="728">
        <f t="shared" si="3"/>
        <v>20.2</v>
      </c>
      <c r="O29" s="728">
        <f t="shared" si="3"/>
        <v>25.4</v>
      </c>
      <c r="P29" s="729">
        <f t="shared" si="3"/>
        <v>26</v>
      </c>
      <c r="Q29" s="728">
        <f t="shared" si="3"/>
        <v>9.5</v>
      </c>
      <c r="R29" s="728">
        <f t="shared" si="3"/>
        <v>6.8</v>
      </c>
      <c r="S29" s="729">
        <f t="shared" si="3"/>
        <v>1.8</v>
      </c>
      <c r="T29" s="728">
        <f t="shared" si="3"/>
        <v>15</v>
      </c>
      <c r="U29" s="728">
        <f t="shared" si="3"/>
        <v>30</v>
      </c>
      <c r="V29" s="843"/>
      <c r="W29" s="560"/>
      <c r="X29" s="561"/>
      <c r="Y29" s="562"/>
    </row>
    <row r="30" spans="1:28" x14ac:dyDescent="0.2">
      <c r="A30" s="108"/>
      <c r="B30" s="96"/>
      <c r="C30" s="377"/>
      <c r="D30" s="377"/>
      <c r="E30" s="377"/>
      <c r="F30" s="377"/>
      <c r="G30" s="377"/>
      <c r="H30" s="377"/>
      <c r="I30" s="377"/>
      <c r="J30" s="361"/>
      <c r="K30" s="360"/>
      <c r="L30" s="426"/>
      <c r="M30" s="377"/>
      <c r="N30" s="377"/>
      <c r="O30" s="361"/>
      <c r="P30" s="713"/>
      <c r="Q30" s="426"/>
      <c r="R30" s="377"/>
      <c r="S30" s="377"/>
      <c r="T30" s="377"/>
      <c r="U30" s="377"/>
      <c r="V30" s="843"/>
      <c r="W30" s="560"/>
      <c r="X30" s="561"/>
      <c r="Y30" s="562"/>
    </row>
    <row r="31" spans="1:28" x14ac:dyDescent="0.2">
      <c r="A31" s="108"/>
      <c r="B31" s="96" t="s">
        <v>26</v>
      </c>
      <c r="C31" s="32">
        <f>IF(C$26&lt;=0.65,C28,IF(C$26&gt;=0.85,C29,((0.85-C$26)*5*C28)+((C$26-0.65)*5*C29)))</f>
        <v>1</v>
      </c>
      <c r="D31" s="32">
        <f>IF(D$26&lt;=0.65,D28,IF(D$26&gt;=0.85,D29,((0.85-D$26)*5*D28)+((D$26-0.65)*5*D29)))</f>
        <v>133</v>
      </c>
      <c r="E31" s="32">
        <f t="shared" ref="E31:U31" si="4">IF(E$26&lt;=0.65,E28,IF(E$26&gt;=0.85,E29,((0.85-E$26)*5*E28)+((E$26-0.65)*5*E29)))</f>
        <v>47</v>
      </c>
      <c r="F31" s="32">
        <f t="shared" si="4"/>
        <v>125</v>
      </c>
      <c r="G31" s="32">
        <f t="shared" si="4"/>
        <v>39.299999999999997</v>
      </c>
      <c r="H31" s="32">
        <f t="shared" si="4"/>
        <v>26.2</v>
      </c>
      <c r="I31" s="32">
        <f>IF(I$26&lt;=0.65,I28,IF(I$26&gt;=0.85,I29,((0.85-I$26)*5*I28)+((I$26-0.65)*5*I29)))</f>
        <v>19.600000000000001</v>
      </c>
      <c r="J31" s="32">
        <f>IF(J$26&lt;=0.65,J28,IF(J$26&gt;=0.85,J29,((0.85-J$26)*5*J28)+((J$26-0.65)*5*J29)))</f>
        <v>21</v>
      </c>
      <c r="K31" s="721">
        <f>IF(K$26&lt;=0.65,K28,IF(K$26&gt;=0.85,K29,((0.85-K$26)*5*K28)+((K$26-0.65)*5*K29)))</f>
        <v>9.4</v>
      </c>
      <c r="L31" s="32">
        <f t="shared" si="4"/>
        <v>5</v>
      </c>
      <c r="M31" s="32">
        <f t="shared" si="4"/>
        <v>17</v>
      </c>
      <c r="N31" s="32">
        <f t="shared" si="4"/>
        <v>20.2</v>
      </c>
      <c r="O31" s="32">
        <f t="shared" si="4"/>
        <v>25.4</v>
      </c>
      <c r="P31" s="721">
        <f t="shared" si="4"/>
        <v>23.6</v>
      </c>
      <c r="Q31" s="32">
        <f>IF(Q$26&lt;=0.65,Q28,IF(Q$26&gt;=0.85,Q29,((0.85-Q$26)*5*Q28)+((Q$26-0.65)*5*Q29)))</f>
        <v>7.7</v>
      </c>
      <c r="R31" s="32">
        <f t="shared" si="4"/>
        <v>6.8</v>
      </c>
      <c r="S31" s="721">
        <f t="shared" si="4"/>
        <v>1.8</v>
      </c>
      <c r="T31" s="32">
        <f t="shared" si="4"/>
        <v>15</v>
      </c>
      <c r="U31" s="32">
        <f t="shared" si="4"/>
        <v>30</v>
      </c>
      <c r="V31" s="843">
        <v>0.9</v>
      </c>
      <c r="W31" s="559">
        <v>4</v>
      </c>
      <c r="X31" s="364">
        <v>7</v>
      </c>
      <c r="Y31" s="426">
        <v>12</v>
      </c>
      <c r="Z31" s="693">
        <v>1</v>
      </c>
      <c r="AA31" s="693">
        <v>2</v>
      </c>
      <c r="AB31" s="364"/>
    </row>
    <row r="32" spans="1:28" x14ac:dyDescent="0.2">
      <c r="A32" s="108"/>
      <c r="B32" s="96" t="s">
        <v>8</v>
      </c>
      <c r="C32" s="360">
        <v>0.3</v>
      </c>
      <c r="D32" s="361">
        <v>22</v>
      </c>
      <c r="E32" s="362">
        <v>7.6</v>
      </c>
      <c r="F32" s="362">
        <v>22.6</v>
      </c>
      <c r="G32" s="333">
        <v>7.5</v>
      </c>
      <c r="H32" s="362">
        <v>5</v>
      </c>
      <c r="I32" s="363">
        <v>3.7</v>
      </c>
      <c r="J32" s="361">
        <v>3.3</v>
      </c>
      <c r="K32" s="713">
        <v>11.4</v>
      </c>
      <c r="L32" s="368">
        <v>1.5</v>
      </c>
      <c r="M32" s="364">
        <v>2.7</v>
      </c>
      <c r="N32" s="365">
        <v>3.5</v>
      </c>
      <c r="O32" s="559">
        <v>4.5999999999999996</v>
      </c>
      <c r="P32" s="713">
        <v>38</v>
      </c>
      <c r="Q32" s="372">
        <v>1.7</v>
      </c>
      <c r="R32" s="360">
        <v>1.2</v>
      </c>
      <c r="S32" s="713">
        <v>1.8</v>
      </c>
      <c r="T32" s="367">
        <v>15</v>
      </c>
      <c r="U32" s="368">
        <v>30</v>
      </c>
      <c r="V32" s="843">
        <v>0.9</v>
      </c>
      <c r="W32" s="559">
        <v>5</v>
      </c>
      <c r="X32" s="364">
        <v>7</v>
      </c>
      <c r="Y32" s="426">
        <v>12</v>
      </c>
      <c r="Z32" s="693">
        <v>1</v>
      </c>
      <c r="AA32" s="693">
        <v>2</v>
      </c>
    </row>
    <row r="33" spans="1:28" x14ac:dyDescent="0.2">
      <c r="A33" s="108"/>
      <c r="B33" s="96" t="s">
        <v>350</v>
      </c>
      <c r="C33" s="32">
        <f>IF(C$26&lt;=0.65,C11,IF(C$26&gt;=0.85,C19,((0.85-C$26)*5*C11)+((C$26-0.65)*5*C19)))</f>
        <v>0.3</v>
      </c>
      <c r="D33" s="32">
        <f>IF(D$26&lt;=0.65,D11,IF(D$26&gt;=0.85,D19,((0.85-D$26)*5*D11)+((D$26-0.65)*5*D19)))</f>
        <v>37</v>
      </c>
      <c r="E33" s="32">
        <f t="shared" ref="E33:U33" si="5">IF(E$26&lt;=0.65,E11,IF(E$26&gt;=0.85,E19,((0.85-E$26)*5*E11)+((E$26-0.65)*5*E19)))</f>
        <v>11</v>
      </c>
      <c r="F33" s="32">
        <f t="shared" si="5"/>
        <v>46</v>
      </c>
      <c r="G33" s="32">
        <f t="shared" si="5"/>
        <v>12.5</v>
      </c>
      <c r="H33" s="32">
        <f t="shared" si="5"/>
        <v>8.3000000000000007</v>
      </c>
      <c r="I33" s="32">
        <f t="shared" si="5"/>
        <v>6.2</v>
      </c>
      <c r="J33" s="32">
        <f t="shared" si="5"/>
        <v>7.6</v>
      </c>
      <c r="K33" s="721">
        <f>IF(K$26&lt;=0.65,K11,IF(K$26&gt;=0.85,K19,((0.85-K$26)*5*K11)+((K$26-0.65)*5*K19)))</f>
        <v>8.1999999999999993</v>
      </c>
      <c r="L33" s="32">
        <f t="shared" si="5"/>
        <v>2.5</v>
      </c>
      <c r="M33" s="32">
        <f t="shared" si="5"/>
        <v>4.5</v>
      </c>
      <c r="N33" s="32">
        <f t="shared" si="5"/>
        <v>7.4</v>
      </c>
      <c r="O33" s="32">
        <f t="shared" si="5"/>
        <v>8.9</v>
      </c>
      <c r="P33" s="721">
        <f>IF(P$26&lt;=0.65,P11,IF(P$26&gt;=0.85,P19,((0.85-P$26)*5*P11)+((P$26-0.65)*5*P19)))</f>
        <v>32.200000000000003</v>
      </c>
      <c r="Q33" s="32">
        <f t="shared" si="5"/>
        <v>2.8</v>
      </c>
      <c r="R33" s="32">
        <f t="shared" si="5"/>
        <v>2</v>
      </c>
      <c r="S33" s="721">
        <f t="shared" si="5"/>
        <v>1.8</v>
      </c>
      <c r="T33" s="32">
        <f t="shared" si="5"/>
        <v>15</v>
      </c>
      <c r="U33" s="32">
        <f t="shared" si="5"/>
        <v>30</v>
      </c>
      <c r="V33" s="843">
        <v>0.9</v>
      </c>
      <c r="W33" s="563">
        <v>8.1999999999999993</v>
      </c>
      <c r="X33" s="564">
        <v>7</v>
      </c>
      <c r="Y33" s="565">
        <v>12</v>
      </c>
      <c r="Z33" s="693">
        <v>1</v>
      </c>
      <c r="AA33" s="693">
        <v>2</v>
      </c>
      <c r="AB33" s="364"/>
    </row>
    <row r="34" spans="1:28" x14ac:dyDescent="0.2">
      <c r="A34" s="108"/>
      <c r="B34" s="96" t="s">
        <v>10</v>
      </c>
      <c r="C34" s="32">
        <f t="shared" ref="C34:U35" si="6">IF(C$26&lt;=0.65,C12,IF(C$26&gt;=0.85,C20,((0.85-C$26)*5*C12)+((C$26-0.65)*5*C20)))</f>
        <v>0.7</v>
      </c>
      <c r="D34" s="32">
        <f t="shared" si="6"/>
        <v>56</v>
      </c>
      <c r="E34" s="32">
        <f t="shared" si="6"/>
        <v>18</v>
      </c>
      <c r="F34" s="32">
        <f t="shared" si="6"/>
        <v>69</v>
      </c>
      <c r="G34" s="32">
        <f t="shared" si="6"/>
        <v>18.899999999999999</v>
      </c>
      <c r="H34" s="32">
        <f t="shared" si="6"/>
        <v>12.6</v>
      </c>
      <c r="I34" s="32">
        <f t="shared" si="6"/>
        <v>9.4</v>
      </c>
      <c r="J34" s="32">
        <f t="shared" si="6"/>
        <v>11.5</v>
      </c>
      <c r="K34" s="721">
        <f>IF(K$26&lt;=0.65,K12,IF(K$26&gt;=0.85,K20,((0.85-K$26)*5*K12)+((K$26-0.65)*5*K20)))</f>
        <v>8.1999999999999993</v>
      </c>
      <c r="L34" s="32">
        <f t="shared" si="6"/>
        <v>3.7</v>
      </c>
      <c r="M34" s="32">
        <f t="shared" si="6"/>
        <v>6.8</v>
      </c>
      <c r="N34" s="32">
        <f t="shared" si="6"/>
        <v>11.8</v>
      </c>
      <c r="O34" s="32">
        <f t="shared" si="6"/>
        <v>14.6</v>
      </c>
      <c r="P34" s="721">
        <f>IF(P$26&lt;=0.65,P12,IF(P$26&gt;=0.85,P20,((0.85-P$26)*5*P12)+((P$26-0.65)*5*P20)))</f>
        <v>31.1</v>
      </c>
      <c r="Q34" s="32">
        <f t="shared" si="6"/>
        <v>4.3</v>
      </c>
      <c r="R34" s="32">
        <f t="shared" si="6"/>
        <v>3</v>
      </c>
      <c r="S34" s="721">
        <f t="shared" si="6"/>
        <v>1.8</v>
      </c>
      <c r="T34" s="32">
        <f t="shared" si="6"/>
        <v>15</v>
      </c>
      <c r="U34" s="32">
        <f t="shared" si="6"/>
        <v>30</v>
      </c>
      <c r="V34" s="843">
        <v>0.9</v>
      </c>
      <c r="W34" s="563">
        <v>5.3</v>
      </c>
      <c r="X34" s="564">
        <v>7</v>
      </c>
      <c r="Y34" s="565">
        <v>12</v>
      </c>
      <c r="Z34" s="693">
        <v>1</v>
      </c>
      <c r="AA34" s="693">
        <v>2</v>
      </c>
    </row>
    <row r="35" spans="1:28" x14ac:dyDescent="0.2">
      <c r="A35" s="108"/>
      <c r="B35" s="96" t="s">
        <v>11</v>
      </c>
      <c r="C35" s="32">
        <f t="shared" si="6"/>
        <v>1</v>
      </c>
      <c r="D35" s="32">
        <f t="shared" si="6"/>
        <v>64</v>
      </c>
      <c r="E35" s="32">
        <f t="shared" si="6"/>
        <v>21</v>
      </c>
      <c r="F35" s="32">
        <f t="shared" si="6"/>
        <v>78</v>
      </c>
      <c r="G35" s="32">
        <f t="shared" si="6"/>
        <v>21.5</v>
      </c>
      <c r="H35" s="32">
        <f t="shared" si="6"/>
        <v>14.3</v>
      </c>
      <c r="I35" s="32">
        <f t="shared" si="6"/>
        <v>10.7</v>
      </c>
      <c r="J35" s="32">
        <f t="shared" si="6"/>
        <v>13.1</v>
      </c>
      <c r="K35" s="721">
        <f>IF(K$26&lt;=0.65,K13,IF(K$26&gt;=0.85,K21,((0.85-K$26)*5*K13)+((K$26-0.65)*5*K21)))</f>
        <v>8.1999999999999993</v>
      </c>
      <c r="L35" s="32">
        <f t="shared" si="6"/>
        <v>4.2</v>
      </c>
      <c r="M35" s="32">
        <f t="shared" si="6"/>
        <v>7.8</v>
      </c>
      <c r="N35" s="32">
        <f t="shared" si="6"/>
        <v>14</v>
      </c>
      <c r="O35" s="32">
        <f t="shared" si="6"/>
        <v>17.5</v>
      </c>
      <c r="P35" s="721">
        <f>IF(P$26&lt;=0.65,P13,IF(P$26&gt;=0.85,P21,((0.85-P$26)*5*P13)+((P$26-0.65)*5*P21)))</f>
        <v>32.1</v>
      </c>
      <c r="Q35" s="32">
        <f t="shared" si="6"/>
        <v>4.8</v>
      </c>
      <c r="R35" s="32">
        <f>IF(R$26&lt;=0.65,R13,IF(R$26&gt;=0.85,R21,((0.85-R$26)*5*R13)+((R$26-0.65)*5*R21)))</f>
        <v>3.4</v>
      </c>
      <c r="S35" s="721">
        <f>IF(S$26&lt;=0.65,S13,IF(S$26&gt;=0.85,S21,((0.85-S$26)*5*S13)+((S$26-0.65)*5*S21)))</f>
        <v>1.8</v>
      </c>
      <c r="T35" s="32">
        <f t="shared" si="6"/>
        <v>15</v>
      </c>
      <c r="U35" s="32">
        <f t="shared" si="6"/>
        <v>30</v>
      </c>
      <c r="V35" s="843">
        <v>0.9</v>
      </c>
      <c r="W35" s="563">
        <v>4.2</v>
      </c>
      <c r="X35" s="564">
        <v>7</v>
      </c>
      <c r="Y35" s="565">
        <v>12</v>
      </c>
      <c r="Z35" s="693">
        <v>1</v>
      </c>
      <c r="AA35" s="693">
        <v>2</v>
      </c>
      <c r="AB35" s="364"/>
    </row>
    <row r="36" spans="1:28" x14ac:dyDescent="0.2">
      <c r="A36" s="115"/>
      <c r="B36" s="116" t="s">
        <v>81</v>
      </c>
      <c r="C36" s="369">
        <v>0.3</v>
      </c>
      <c r="D36" s="370">
        <v>37.5</v>
      </c>
      <c r="E36" s="371">
        <v>14.9</v>
      </c>
      <c r="F36" s="372">
        <v>31.3</v>
      </c>
      <c r="G36" s="366">
        <v>11.7</v>
      </c>
      <c r="H36" s="371">
        <v>7.8</v>
      </c>
      <c r="I36" s="372">
        <v>5.9</v>
      </c>
      <c r="J36" s="370">
        <v>7</v>
      </c>
      <c r="K36" s="713">
        <v>8.3000000000000007</v>
      </c>
      <c r="L36" s="703">
        <v>1</v>
      </c>
      <c r="M36" s="373">
        <v>2.9</v>
      </c>
      <c r="N36" s="374">
        <v>6.4</v>
      </c>
      <c r="O36" s="707">
        <v>8.3000000000000007</v>
      </c>
      <c r="P36" s="713">
        <v>31.3</v>
      </c>
      <c r="Q36" s="372">
        <v>2.2999999999999998</v>
      </c>
      <c r="R36" s="369">
        <v>2.7</v>
      </c>
      <c r="S36" s="713">
        <v>1</v>
      </c>
      <c r="T36" s="370">
        <v>15</v>
      </c>
      <c r="U36" s="375">
        <v>30</v>
      </c>
      <c r="V36" s="843">
        <v>0.9</v>
      </c>
      <c r="W36" s="563">
        <v>3.3</v>
      </c>
      <c r="X36" s="564">
        <v>7</v>
      </c>
      <c r="Y36" s="565">
        <v>12</v>
      </c>
      <c r="Z36" s="693">
        <v>1</v>
      </c>
      <c r="AA36" s="693">
        <v>2</v>
      </c>
    </row>
    <row r="37" spans="1:28" x14ac:dyDescent="0.2">
      <c r="A37" s="115"/>
      <c r="B37" s="116" t="s">
        <v>82</v>
      </c>
      <c r="C37" s="369">
        <v>0.7</v>
      </c>
      <c r="D37" s="367">
        <v>54.5</v>
      </c>
      <c r="E37" s="371">
        <v>20.5</v>
      </c>
      <c r="F37" s="372">
        <v>45.5</v>
      </c>
      <c r="G37" s="366">
        <v>17.100000000000001</v>
      </c>
      <c r="H37" s="371">
        <v>11.4</v>
      </c>
      <c r="I37" s="376">
        <v>8.6</v>
      </c>
      <c r="J37" s="370">
        <v>9.6999999999999993</v>
      </c>
      <c r="K37" s="713">
        <v>8.8000000000000007</v>
      </c>
      <c r="L37" s="703">
        <v>1.4</v>
      </c>
      <c r="M37" s="373">
        <v>4.2</v>
      </c>
      <c r="N37" s="374">
        <v>9.5</v>
      </c>
      <c r="O37" s="707">
        <v>12.7</v>
      </c>
      <c r="P37" s="713">
        <v>35</v>
      </c>
      <c r="Q37" s="372">
        <v>3.4</v>
      </c>
      <c r="R37" s="369">
        <v>3.9</v>
      </c>
      <c r="S37" s="713">
        <v>1.8</v>
      </c>
      <c r="T37" s="370">
        <v>15</v>
      </c>
      <c r="U37" s="375">
        <v>30</v>
      </c>
      <c r="V37" s="843">
        <v>0.9</v>
      </c>
      <c r="W37" s="563">
        <v>2.1</v>
      </c>
      <c r="X37" s="564">
        <v>7</v>
      </c>
      <c r="Y37" s="565">
        <v>12</v>
      </c>
      <c r="Z37" s="693">
        <v>1</v>
      </c>
      <c r="AA37" s="693">
        <v>2</v>
      </c>
      <c r="AB37" s="364"/>
    </row>
    <row r="38" spans="1:28" x14ac:dyDescent="0.2">
      <c r="A38" s="108"/>
      <c r="B38" s="96" t="s">
        <v>9</v>
      </c>
      <c r="C38" s="360">
        <v>1</v>
      </c>
      <c r="D38" s="377">
        <v>64</v>
      </c>
      <c r="E38" s="362">
        <v>21</v>
      </c>
      <c r="F38" s="363">
        <v>78</v>
      </c>
      <c r="G38" s="333">
        <v>21.5</v>
      </c>
      <c r="H38" s="362">
        <v>14.3</v>
      </c>
      <c r="I38" s="363">
        <v>10.7</v>
      </c>
      <c r="J38" s="251">
        <v>13.1</v>
      </c>
      <c r="K38" s="713">
        <v>8.1999999999999993</v>
      </c>
      <c r="L38" s="368">
        <v>4.2</v>
      </c>
      <c r="M38" s="364">
        <v>7.8</v>
      </c>
      <c r="N38" s="365">
        <v>14</v>
      </c>
      <c r="O38" s="559">
        <v>17.5</v>
      </c>
      <c r="P38" s="713">
        <v>32.1</v>
      </c>
      <c r="Q38" s="363">
        <v>4.8</v>
      </c>
      <c r="R38" s="360">
        <v>3.4</v>
      </c>
      <c r="S38" s="713">
        <v>1.8</v>
      </c>
      <c r="T38" s="361">
        <v>15</v>
      </c>
      <c r="U38" s="100">
        <v>30</v>
      </c>
      <c r="V38" s="843">
        <v>0.9</v>
      </c>
      <c r="W38" s="563">
        <v>4.2</v>
      </c>
      <c r="X38" s="564">
        <v>7</v>
      </c>
      <c r="Y38" s="565">
        <v>12</v>
      </c>
      <c r="Z38" s="693">
        <v>1</v>
      </c>
      <c r="AA38" s="693">
        <v>2</v>
      </c>
    </row>
    <row r="39" spans="1:28" x14ac:dyDescent="0.2">
      <c r="A39" s="108"/>
      <c r="B39" s="96" t="s">
        <v>84</v>
      </c>
      <c r="C39" s="360">
        <v>1</v>
      </c>
      <c r="D39" s="377">
        <v>105</v>
      </c>
      <c r="E39" s="362">
        <v>31</v>
      </c>
      <c r="F39" s="363">
        <v>129</v>
      </c>
      <c r="G39" s="384">
        <v>32.200000000000003</v>
      </c>
      <c r="H39" s="362">
        <v>21.4</v>
      </c>
      <c r="I39" s="363">
        <v>16.100000000000001</v>
      </c>
      <c r="J39" s="361">
        <v>20</v>
      </c>
      <c r="K39" s="713">
        <v>8</v>
      </c>
      <c r="L39" s="368">
        <v>4</v>
      </c>
      <c r="M39" s="364">
        <v>15.8</v>
      </c>
      <c r="N39" s="365">
        <v>19.600000000000001</v>
      </c>
      <c r="O39" s="559">
        <v>24.4</v>
      </c>
      <c r="P39" s="724">
        <v>18.899999999999999</v>
      </c>
      <c r="Q39" s="363">
        <v>7.6</v>
      </c>
      <c r="R39" s="360">
        <v>6</v>
      </c>
      <c r="S39" s="713">
        <v>1.8</v>
      </c>
      <c r="T39" s="361">
        <v>15</v>
      </c>
      <c r="U39" s="100">
        <v>30</v>
      </c>
      <c r="V39" s="843">
        <v>0.9</v>
      </c>
      <c r="W39" s="563">
        <v>4</v>
      </c>
      <c r="X39" s="564">
        <v>7</v>
      </c>
      <c r="Y39" s="565">
        <v>12</v>
      </c>
      <c r="Z39" s="693">
        <v>1</v>
      </c>
      <c r="AA39" s="693">
        <v>2</v>
      </c>
      <c r="AB39" s="364"/>
    </row>
    <row r="40" spans="1:28" x14ac:dyDescent="0.2">
      <c r="A40" s="87"/>
      <c r="B40" s="96" t="s">
        <v>86</v>
      </c>
      <c r="C40" s="360">
        <v>0.3</v>
      </c>
      <c r="D40" s="400">
        <v>27.3</v>
      </c>
      <c r="E40" s="362">
        <v>12.6</v>
      </c>
      <c r="F40" s="401">
        <v>12.8</v>
      </c>
      <c r="G40" s="333">
        <v>8.1</v>
      </c>
      <c r="H40" s="362">
        <v>5.7</v>
      </c>
      <c r="I40" s="363">
        <v>3.8</v>
      </c>
      <c r="J40" s="361">
        <v>4.2</v>
      </c>
      <c r="K40" s="713">
        <v>5.5</v>
      </c>
      <c r="L40" s="368">
        <v>2</v>
      </c>
      <c r="M40" s="364">
        <v>3.6</v>
      </c>
      <c r="N40" s="365">
        <v>4.3</v>
      </c>
      <c r="O40" s="559">
        <v>5.5</v>
      </c>
      <c r="P40" s="713">
        <v>25.4</v>
      </c>
      <c r="Q40" s="363">
        <v>1.2</v>
      </c>
      <c r="R40" s="360">
        <v>1.3</v>
      </c>
      <c r="S40" s="713">
        <v>1.8</v>
      </c>
      <c r="T40" s="361">
        <v>20</v>
      </c>
      <c r="U40" s="100">
        <v>30</v>
      </c>
      <c r="V40" s="843">
        <v>0.9</v>
      </c>
      <c r="W40" s="563">
        <v>6.7</v>
      </c>
      <c r="X40" s="564">
        <v>7</v>
      </c>
      <c r="Y40" s="565">
        <v>12</v>
      </c>
      <c r="Z40" s="693">
        <v>1</v>
      </c>
      <c r="AA40" s="693">
        <v>2</v>
      </c>
    </row>
    <row r="41" spans="1:28" x14ac:dyDescent="0.2">
      <c r="A41" s="87"/>
      <c r="B41" s="96" t="s">
        <v>88</v>
      </c>
      <c r="C41" s="360">
        <v>0.3</v>
      </c>
      <c r="D41" s="400">
        <v>24.1</v>
      </c>
      <c r="E41" s="362">
        <v>11.2</v>
      </c>
      <c r="F41" s="401">
        <v>11.6</v>
      </c>
      <c r="G41" s="333">
        <v>7.2</v>
      </c>
      <c r="H41" s="362">
        <v>5</v>
      </c>
      <c r="I41" s="363">
        <v>3.4</v>
      </c>
      <c r="J41" s="361">
        <v>4.2</v>
      </c>
      <c r="K41" s="713">
        <v>5.5</v>
      </c>
      <c r="L41" s="368">
        <v>2</v>
      </c>
      <c r="M41" s="364">
        <v>3.6</v>
      </c>
      <c r="N41" s="365">
        <v>4.3</v>
      </c>
      <c r="O41" s="559">
        <v>5.5</v>
      </c>
      <c r="P41" s="713">
        <v>24.4</v>
      </c>
      <c r="Q41" s="363">
        <v>1.2</v>
      </c>
      <c r="R41" s="360">
        <v>1.3</v>
      </c>
      <c r="S41" s="713">
        <v>1.8</v>
      </c>
      <c r="T41" s="361">
        <v>20</v>
      </c>
      <c r="U41" s="100">
        <v>30</v>
      </c>
      <c r="V41" s="843">
        <v>0.9</v>
      </c>
      <c r="W41" s="563">
        <v>6.7</v>
      </c>
      <c r="X41" s="564">
        <v>7</v>
      </c>
      <c r="Y41" s="565">
        <v>12</v>
      </c>
      <c r="Z41" s="693">
        <v>1</v>
      </c>
      <c r="AA41" s="693">
        <v>2</v>
      </c>
      <c r="AB41" s="364"/>
    </row>
    <row r="42" spans="1:28" x14ac:dyDescent="0.2">
      <c r="A42" s="87"/>
      <c r="B42" s="123" t="s">
        <v>90</v>
      </c>
      <c r="C42" s="360">
        <v>0.3</v>
      </c>
      <c r="D42" s="377">
        <v>27.5</v>
      </c>
      <c r="E42" s="362">
        <v>12.8</v>
      </c>
      <c r="F42" s="401">
        <v>13.1</v>
      </c>
      <c r="G42" s="333">
        <v>8.1999999999999993</v>
      </c>
      <c r="H42" s="362">
        <v>5.8</v>
      </c>
      <c r="I42" s="363">
        <v>3.8</v>
      </c>
      <c r="J42" s="361">
        <v>4.4000000000000004</v>
      </c>
      <c r="K42" s="713">
        <v>5.5</v>
      </c>
      <c r="L42" s="368">
        <v>2</v>
      </c>
      <c r="M42" s="364">
        <v>3.7</v>
      </c>
      <c r="N42" s="365">
        <v>4.5</v>
      </c>
      <c r="O42" s="559">
        <v>5.7</v>
      </c>
      <c r="P42" s="713">
        <v>25.5</v>
      </c>
      <c r="Q42" s="363">
        <v>1.2</v>
      </c>
      <c r="R42" s="360">
        <v>1.4</v>
      </c>
      <c r="S42" s="713">
        <v>1.8</v>
      </c>
      <c r="T42" s="361">
        <v>20</v>
      </c>
      <c r="U42" s="100">
        <v>30</v>
      </c>
      <c r="V42" s="843">
        <v>0.9</v>
      </c>
      <c r="W42" s="563">
        <v>6.7</v>
      </c>
      <c r="X42" s="564">
        <v>7</v>
      </c>
      <c r="Y42" s="565">
        <v>12</v>
      </c>
      <c r="Z42" s="693">
        <v>1</v>
      </c>
      <c r="AA42" s="693">
        <v>2</v>
      </c>
    </row>
    <row r="43" spans="1:28" x14ac:dyDescent="0.2">
      <c r="A43" s="87"/>
      <c r="B43" s="123" t="s">
        <v>92</v>
      </c>
      <c r="C43" s="360">
        <v>0.3</v>
      </c>
      <c r="D43" s="377">
        <v>24.2</v>
      </c>
      <c r="E43" s="362">
        <v>11.2</v>
      </c>
      <c r="F43" s="401">
        <v>11.8</v>
      </c>
      <c r="G43" s="333">
        <v>7.4</v>
      </c>
      <c r="H43" s="362">
        <v>5.2</v>
      </c>
      <c r="I43" s="363">
        <v>3.4</v>
      </c>
      <c r="J43" s="361">
        <v>4.4000000000000004</v>
      </c>
      <c r="K43" s="713">
        <v>5.5</v>
      </c>
      <c r="L43" s="368">
        <v>2</v>
      </c>
      <c r="M43" s="364">
        <v>3.7</v>
      </c>
      <c r="N43" s="365">
        <v>4.5</v>
      </c>
      <c r="O43" s="559">
        <v>5.7</v>
      </c>
      <c r="P43" s="713">
        <v>24.6</v>
      </c>
      <c r="Q43" s="363">
        <v>1.2</v>
      </c>
      <c r="R43" s="360">
        <v>1.4</v>
      </c>
      <c r="S43" s="713">
        <v>1.8</v>
      </c>
      <c r="T43" s="361">
        <v>20</v>
      </c>
      <c r="U43" s="100">
        <v>30</v>
      </c>
      <c r="V43" s="843">
        <v>0.9</v>
      </c>
      <c r="W43" s="563">
        <v>6.7</v>
      </c>
      <c r="X43" s="564">
        <v>7</v>
      </c>
      <c r="Y43" s="565">
        <v>12</v>
      </c>
      <c r="Z43" s="693">
        <v>1</v>
      </c>
      <c r="AA43" s="693">
        <v>2</v>
      </c>
      <c r="AB43" s="364"/>
    </row>
    <row r="44" spans="1:28" x14ac:dyDescent="0.2">
      <c r="A44" s="87"/>
      <c r="B44" s="96" t="s">
        <v>94</v>
      </c>
      <c r="C44" s="360">
        <v>0.3</v>
      </c>
      <c r="D44" s="400">
        <v>41.1</v>
      </c>
      <c r="E44" s="362">
        <v>17.899999999999999</v>
      </c>
      <c r="F44" s="401">
        <v>21.1</v>
      </c>
      <c r="G44" s="333">
        <v>11.9</v>
      </c>
      <c r="H44" s="362">
        <v>8.3000000000000007</v>
      </c>
      <c r="I44" s="363">
        <v>5.5</v>
      </c>
      <c r="J44" s="361">
        <v>6.5</v>
      </c>
      <c r="K44" s="713">
        <v>5.5</v>
      </c>
      <c r="L44" s="368">
        <v>3</v>
      </c>
      <c r="M44" s="364">
        <v>5.2</v>
      </c>
      <c r="N44" s="365">
        <v>6.1</v>
      </c>
      <c r="O44" s="559">
        <v>7.8</v>
      </c>
      <c r="P44" s="713">
        <v>26</v>
      </c>
      <c r="Q44" s="363">
        <v>1.2</v>
      </c>
      <c r="R44" s="360">
        <v>2.4</v>
      </c>
      <c r="S44" s="713">
        <v>1.8</v>
      </c>
      <c r="T44" s="361">
        <v>20</v>
      </c>
      <c r="U44" s="100">
        <v>30</v>
      </c>
      <c r="V44" s="843">
        <v>0.9</v>
      </c>
      <c r="W44" s="563">
        <v>10</v>
      </c>
      <c r="X44" s="564">
        <v>7</v>
      </c>
      <c r="Y44" s="565">
        <v>12</v>
      </c>
      <c r="Z44" s="693">
        <v>1</v>
      </c>
      <c r="AA44" s="693">
        <v>2</v>
      </c>
    </row>
    <row r="45" spans="1:28" x14ac:dyDescent="0.2">
      <c r="A45" s="87"/>
      <c r="B45" s="96" t="s">
        <v>96</v>
      </c>
      <c r="C45" s="360">
        <v>0.3</v>
      </c>
      <c r="D45" s="400">
        <v>36.799999999999997</v>
      </c>
      <c r="E45" s="362">
        <v>16</v>
      </c>
      <c r="F45" s="401">
        <v>19.5</v>
      </c>
      <c r="G45" s="333">
        <v>10.9</v>
      </c>
      <c r="H45" s="362">
        <v>7.6</v>
      </c>
      <c r="I45" s="363">
        <v>5.0999999999999996</v>
      </c>
      <c r="J45" s="361">
        <v>6.5</v>
      </c>
      <c r="K45" s="713">
        <v>5.5</v>
      </c>
      <c r="L45" s="368">
        <v>3</v>
      </c>
      <c r="M45" s="364">
        <v>5.2</v>
      </c>
      <c r="N45" s="365">
        <v>6.1</v>
      </c>
      <c r="O45" s="559">
        <v>7.8</v>
      </c>
      <c r="P45" s="713">
        <v>25.2</v>
      </c>
      <c r="Q45" s="363">
        <v>1.2</v>
      </c>
      <c r="R45" s="360">
        <v>2.4</v>
      </c>
      <c r="S45" s="713">
        <v>1.8</v>
      </c>
      <c r="T45" s="361">
        <v>20</v>
      </c>
      <c r="U45" s="100">
        <v>30</v>
      </c>
      <c r="V45" s="843">
        <v>0.9</v>
      </c>
      <c r="W45" s="563">
        <v>10</v>
      </c>
      <c r="X45" s="564">
        <v>7</v>
      </c>
      <c r="Y45" s="565">
        <v>12</v>
      </c>
      <c r="Z45" s="693">
        <v>1</v>
      </c>
      <c r="AA45" s="693">
        <v>2</v>
      </c>
      <c r="AB45" s="364"/>
    </row>
    <row r="46" spans="1:28" x14ac:dyDescent="0.2">
      <c r="A46" s="87"/>
      <c r="B46" s="123" t="s">
        <v>98</v>
      </c>
      <c r="C46" s="360">
        <v>0.3</v>
      </c>
      <c r="D46" s="377">
        <v>42.9</v>
      </c>
      <c r="E46" s="362">
        <v>18.600000000000001</v>
      </c>
      <c r="F46" s="401">
        <v>21.3</v>
      </c>
      <c r="G46" s="333">
        <v>12.5</v>
      </c>
      <c r="H46" s="362">
        <v>8.6999999999999993</v>
      </c>
      <c r="I46" s="363">
        <v>5.8</v>
      </c>
      <c r="J46" s="361">
        <v>7</v>
      </c>
      <c r="K46" s="713">
        <v>5.5</v>
      </c>
      <c r="L46" s="368">
        <v>3</v>
      </c>
      <c r="M46" s="364">
        <v>5.5</v>
      </c>
      <c r="N46" s="365">
        <v>6.5</v>
      </c>
      <c r="O46" s="559">
        <v>8.3000000000000007</v>
      </c>
      <c r="P46" s="713">
        <v>25.9</v>
      </c>
      <c r="Q46" s="363">
        <v>1.2</v>
      </c>
      <c r="R46" s="360">
        <v>2.6</v>
      </c>
      <c r="S46" s="713">
        <v>1.8</v>
      </c>
      <c r="T46" s="361">
        <v>20</v>
      </c>
      <c r="U46" s="100">
        <v>30</v>
      </c>
      <c r="V46" s="843">
        <v>0.9</v>
      </c>
      <c r="W46" s="563">
        <v>10</v>
      </c>
      <c r="X46" s="564">
        <v>7</v>
      </c>
      <c r="Y46" s="565">
        <v>12</v>
      </c>
      <c r="Z46" s="693">
        <v>1</v>
      </c>
      <c r="AA46" s="693">
        <v>2</v>
      </c>
    </row>
    <row r="47" spans="1:28" x14ac:dyDescent="0.2">
      <c r="A47" s="87"/>
      <c r="B47" s="123" t="s">
        <v>100</v>
      </c>
      <c r="C47" s="360">
        <v>0.3</v>
      </c>
      <c r="D47" s="377">
        <v>38.4</v>
      </c>
      <c r="E47" s="362">
        <v>16.7</v>
      </c>
      <c r="F47" s="401">
        <v>20.7</v>
      </c>
      <c r="G47" s="333">
        <v>11.5</v>
      </c>
      <c r="H47" s="362">
        <v>8</v>
      </c>
      <c r="I47" s="363">
        <v>5.3</v>
      </c>
      <c r="J47" s="361">
        <v>7</v>
      </c>
      <c r="K47" s="713">
        <v>5.5</v>
      </c>
      <c r="L47" s="368">
        <v>3</v>
      </c>
      <c r="M47" s="364">
        <v>5.5</v>
      </c>
      <c r="N47" s="365">
        <v>6.5</v>
      </c>
      <c r="O47" s="559">
        <v>8.3000000000000007</v>
      </c>
      <c r="P47" s="713">
        <v>25.1</v>
      </c>
      <c r="Q47" s="363">
        <v>1.2</v>
      </c>
      <c r="R47" s="360">
        <v>2.6</v>
      </c>
      <c r="S47" s="713">
        <v>1.8</v>
      </c>
      <c r="T47" s="361">
        <v>20</v>
      </c>
      <c r="U47" s="100">
        <v>30</v>
      </c>
      <c r="V47" s="843">
        <v>0.9</v>
      </c>
      <c r="W47" s="563">
        <v>10</v>
      </c>
      <c r="X47" s="564">
        <v>7</v>
      </c>
      <c r="Y47" s="565">
        <v>12</v>
      </c>
      <c r="Z47" s="693">
        <v>1</v>
      </c>
      <c r="AA47" s="693">
        <v>2</v>
      </c>
      <c r="AB47" s="364"/>
    </row>
    <row r="48" spans="1:28" x14ac:dyDescent="0.2">
      <c r="A48" s="108"/>
      <c r="B48" s="123" t="s">
        <v>102</v>
      </c>
      <c r="C48" s="402">
        <v>0.02</v>
      </c>
      <c r="D48" s="377">
        <v>4.5</v>
      </c>
      <c r="E48" s="403">
        <v>1.64</v>
      </c>
      <c r="F48" s="404">
        <v>2.7</v>
      </c>
      <c r="G48" s="333">
        <v>1.3</v>
      </c>
      <c r="H48" s="362">
        <v>0.9</v>
      </c>
      <c r="I48" s="363">
        <v>0.6</v>
      </c>
      <c r="J48" s="361">
        <v>0.7</v>
      </c>
      <c r="K48" s="713">
        <v>5.5</v>
      </c>
      <c r="L48" s="368">
        <v>0.2</v>
      </c>
      <c r="M48" s="364">
        <v>0.4</v>
      </c>
      <c r="N48" s="365">
        <v>0.6</v>
      </c>
      <c r="O48" s="559">
        <v>0.8</v>
      </c>
      <c r="P48" s="713">
        <v>25.6</v>
      </c>
      <c r="Q48" s="712">
        <v>0.15</v>
      </c>
      <c r="R48" s="360">
        <v>0.4</v>
      </c>
      <c r="S48" s="713">
        <v>1.8</v>
      </c>
      <c r="T48" s="361">
        <v>20</v>
      </c>
      <c r="U48" s="100">
        <v>30</v>
      </c>
      <c r="V48" s="843">
        <v>0.9</v>
      </c>
      <c r="W48" s="563">
        <v>10</v>
      </c>
      <c r="X48" s="564">
        <v>7</v>
      </c>
      <c r="Y48" s="565">
        <v>12</v>
      </c>
      <c r="Z48" s="693">
        <v>1</v>
      </c>
      <c r="AA48" s="693">
        <v>2</v>
      </c>
    </row>
    <row r="49" spans="1:28" x14ac:dyDescent="0.2">
      <c r="A49" s="108"/>
      <c r="B49" s="123" t="s">
        <v>104</v>
      </c>
      <c r="C49" s="402">
        <v>0.02</v>
      </c>
      <c r="D49" s="377">
        <v>4.2</v>
      </c>
      <c r="E49" s="403">
        <v>1.61</v>
      </c>
      <c r="F49" s="404">
        <v>2.6</v>
      </c>
      <c r="G49" s="333">
        <v>1.2</v>
      </c>
      <c r="H49" s="362">
        <v>0.8</v>
      </c>
      <c r="I49" s="363">
        <v>0.6</v>
      </c>
      <c r="J49" s="361">
        <v>0.7</v>
      </c>
      <c r="K49" s="713">
        <v>5.5</v>
      </c>
      <c r="L49" s="368">
        <v>0.2</v>
      </c>
      <c r="M49" s="364">
        <v>0.4</v>
      </c>
      <c r="N49" s="365">
        <v>0.6</v>
      </c>
      <c r="O49" s="559">
        <v>0.8</v>
      </c>
      <c r="P49" s="713">
        <v>25.1</v>
      </c>
      <c r="Q49" s="712">
        <v>0.15</v>
      </c>
      <c r="R49" s="360">
        <v>0.4</v>
      </c>
      <c r="S49" s="713">
        <v>1.8</v>
      </c>
      <c r="T49" s="361">
        <v>20</v>
      </c>
      <c r="U49" s="100">
        <v>30</v>
      </c>
      <c r="V49" s="843">
        <v>0.9</v>
      </c>
      <c r="W49" s="563">
        <v>10</v>
      </c>
      <c r="X49" s="564">
        <v>7</v>
      </c>
      <c r="Y49" s="565">
        <v>12</v>
      </c>
      <c r="Z49" s="693">
        <v>1</v>
      </c>
      <c r="AA49" s="693">
        <v>2</v>
      </c>
      <c r="AB49" s="364"/>
    </row>
    <row r="50" spans="1:28" x14ac:dyDescent="0.2">
      <c r="A50" s="87"/>
      <c r="B50" s="96" t="s">
        <v>106</v>
      </c>
      <c r="C50" s="402">
        <v>0.16</v>
      </c>
      <c r="D50" s="377">
        <v>14.1</v>
      </c>
      <c r="E50" s="362">
        <v>6</v>
      </c>
      <c r="F50" s="401">
        <v>7</v>
      </c>
      <c r="G50" s="384">
        <v>3.8</v>
      </c>
      <c r="H50" s="362">
        <v>2.7</v>
      </c>
      <c r="I50" s="363">
        <v>1.8</v>
      </c>
      <c r="J50" s="361">
        <v>1.8</v>
      </c>
      <c r="K50" s="713">
        <v>5.5</v>
      </c>
      <c r="L50" s="368">
        <v>0.5</v>
      </c>
      <c r="M50" s="364">
        <v>1.3</v>
      </c>
      <c r="N50" s="365">
        <v>1.9</v>
      </c>
      <c r="O50" s="559">
        <v>2.6</v>
      </c>
      <c r="P50" s="713">
        <v>22.9</v>
      </c>
      <c r="Q50" s="363">
        <v>0.7</v>
      </c>
      <c r="R50" s="360">
        <v>0.7</v>
      </c>
      <c r="S50" s="713">
        <v>1.8</v>
      </c>
      <c r="T50" s="361">
        <v>20</v>
      </c>
      <c r="U50" s="100">
        <v>30</v>
      </c>
      <c r="V50" s="843">
        <v>0.9</v>
      </c>
      <c r="W50" s="563">
        <v>3.1</v>
      </c>
      <c r="X50" s="564">
        <v>7</v>
      </c>
      <c r="Y50" s="565">
        <v>12</v>
      </c>
      <c r="Z50" s="693">
        <v>1</v>
      </c>
      <c r="AA50" s="693">
        <v>2</v>
      </c>
    </row>
    <row r="51" spans="1:28" x14ac:dyDescent="0.2">
      <c r="A51" s="87"/>
      <c r="B51" s="96" t="s">
        <v>108</v>
      </c>
      <c r="C51" s="402">
        <v>0.16</v>
      </c>
      <c r="D51" s="377">
        <v>13.4</v>
      </c>
      <c r="E51" s="362">
        <v>5.0999999999999996</v>
      </c>
      <c r="F51" s="401">
        <v>6.8</v>
      </c>
      <c r="G51" s="384">
        <v>3.9</v>
      </c>
      <c r="H51" s="362">
        <v>2.7</v>
      </c>
      <c r="I51" s="363">
        <v>1.8</v>
      </c>
      <c r="J51" s="361">
        <v>1.8</v>
      </c>
      <c r="K51" s="713">
        <v>5.5</v>
      </c>
      <c r="L51" s="368">
        <v>0.5</v>
      </c>
      <c r="M51" s="364">
        <v>1.3</v>
      </c>
      <c r="N51" s="365">
        <v>1.9</v>
      </c>
      <c r="O51" s="559">
        <v>2.6</v>
      </c>
      <c r="P51" s="713">
        <v>23</v>
      </c>
      <c r="Q51" s="363">
        <v>0.7</v>
      </c>
      <c r="R51" s="360">
        <v>0.7</v>
      </c>
      <c r="S51" s="713">
        <v>1.8</v>
      </c>
      <c r="T51" s="361">
        <v>20</v>
      </c>
      <c r="U51" s="100">
        <v>30</v>
      </c>
      <c r="V51" s="843">
        <v>0.9</v>
      </c>
      <c r="W51" s="563">
        <v>3.1</v>
      </c>
      <c r="X51" s="564">
        <v>7</v>
      </c>
      <c r="Y51" s="565">
        <v>12</v>
      </c>
      <c r="Z51" s="693">
        <v>1</v>
      </c>
      <c r="AA51" s="693">
        <v>2</v>
      </c>
      <c r="AB51" s="364"/>
    </row>
    <row r="52" spans="1:28" x14ac:dyDescent="0.2">
      <c r="A52" s="108"/>
      <c r="B52" s="96" t="s">
        <v>109</v>
      </c>
      <c r="C52" s="402">
        <v>0.16</v>
      </c>
      <c r="D52" s="377">
        <v>15.4</v>
      </c>
      <c r="E52" s="362">
        <v>6.3</v>
      </c>
      <c r="F52" s="401">
        <v>7.5</v>
      </c>
      <c r="G52" s="384">
        <v>4.0999999999999996</v>
      </c>
      <c r="H52" s="362">
        <v>2.9</v>
      </c>
      <c r="I52" s="363">
        <v>1.9</v>
      </c>
      <c r="J52" s="361">
        <v>1.9</v>
      </c>
      <c r="K52" s="713">
        <v>5.5</v>
      </c>
      <c r="L52" s="368">
        <v>0.5</v>
      </c>
      <c r="M52" s="364">
        <v>1.4</v>
      </c>
      <c r="N52" s="365">
        <v>1.9</v>
      </c>
      <c r="O52" s="559">
        <v>2.6</v>
      </c>
      <c r="P52" s="713">
        <v>22.1</v>
      </c>
      <c r="Q52" s="363">
        <v>0.7</v>
      </c>
      <c r="R52" s="360">
        <v>0.8</v>
      </c>
      <c r="S52" s="713">
        <v>1.8</v>
      </c>
      <c r="T52" s="361">
        <v>20</v>
      </c>
      <c r="U52" s="100">
        <v>30</v>
      </c>
      <c r="V52" s="843">
        <v>0.9</v>
      </c>
      <c r="W52" s="563">
        <v>3.1</v>
      </c>
      <c r="X52" s="564">
        <v>7</v>
      </c>
      <c r="Y52" s="565">
        <v>12</v>
      </c>
      <c r="Z52" s="693">
        <v>1</v>
      </c>
      <c r="AA52" s="693">
        <v>2</v>
      </c>
    </row>
    <row r="53" spans="1:28" x14ac:dyDescent="0.2">
      <c r="A53" s="108"/>
      <c r="B53" s="96" t="s">
        <v>111</v>
      </c>
      <c r="C53" s="402">
        <v>0.16</v>
      </c>
      <c r="D53" s="406">
        <v>14.78</v>
      </c>
      <c r="E53" s="362">
        <v>5.4</v>
      </c>
      <c r="F53" s="401">
        <v>7.3</v>
      </c>
      <c r="G53" s="384">
        <v>4.2</v>
      </c>
      <c r="H53" s="362">
        <v>2.9</v>
      </c>
      <c r="I53" s="363">
        <v>1.9</v>
      </c>
      <c r="J53" s="361">
        <v>1.9</v>
      </c>
      <c r="K53" s="713">
        <v>5.5</v>
      </c>
      <c r="L53" s="368">
        <v>0.5</v>
      </c>
      <c r="M53" s="364">
        <v>1.4</v>
      </c>
      <c r="N53" s="365">
        <v>1.9</v>
      </c>
      <c r="O53" s="559">
        <v>2.6</v>
      </c>
      <c r="P53" s="713">
        <v>22.2</v>
      </c>
      <c r="Q53" s="363">
        <v>0.7</v>
      </c>
      <c r="R53" s="360">
        <v>0.8</v>
      </c>
      <c r="S53" s="713">
        <v>1.8</v>
      </c>
      <c r="T53" s="361">
        <v>20</v>
      </c>
      <c r="U53" s="100">
        <v>30</v>
      </c>
      <c r="V53" s="843">
        <v>0.9</v>
      </c>
      <c r="W53" s="563">
        <v>3.1</v>
      </c>
      <c r="X53" s="564">
        <v>7</v>
      </c>
      <c r="Y53" s="565">
        <v>12</v>
      </c>
      <c r="Z53" s="693">
        <v>1</v>
      </c>
      <c r="AA53" s="693">
        <v>2</v>
      </c>
      <c r="AB53" s="364"/>
    </row>
    <row r="54" spans="1:28" x14ac:dyDescent="0.2">
      <c r="A54" s="115"/>
      <c r="B54" s="116" t="s">
        <v>112</v>
      </c>
      <c r="C54" s="369">
        <v>0.3</v>
      </c>
      <c r="D54" s="367">
        <v>22.1</v>
      </c>
      <c r="E54" s="371">
        <v>9.6</v>
      </c>
      <c r="F54" s="407">
        <v>8.8000000000000007</v>
      </c>
      <c r="G54" s="408">
        <v>4.5</v>
      </c>
      <c r="H54" s="371">
        <v>3.2</v>
      </c>
      <c r="I54" s="372">
        <v>2.1</v>
      </c>
      <c r="J54" s="370">
        <v>3.6</v>
      </c>
      <c r="K54" s="713">
        <v>5.5</v>
      </c>
      <c r="L54" s="703">
        <v>1</v>
      </c>
      <c r="M54" s="373">
        <v>2.5</v>
      </c>
      <c r="N54" s="374">
        <v>3.6</v>
      </c>
      <c r="O54" s="707">
        <v>4.9000000000000004</v>
      </c>
      <c r="P54" s="713">
        <v>19.8</v>
      </c>
      <c r="Q54" s="363">
        <v>1</v>
      </c>
      <c r="R54" s="369">
        <v>1.5</v>
      </c>
      <c r="S54" s="713">
        <v>1.8</v>
      </c>
      <c r="T54" s="370">
        <v>20</v>
      </c>
      <c r="U54" s="375">
        <v>30</v>
      </c>
      <c r="V54" s="843">
        <v>0.9</v>
      </c>
      <c r="W54" s="563">
        <v>3.3</v>
      </c>
      <c r="X54" s="564">
        <v>7</v>
      </c>
      <c r="Y54" s="565">
        <v>12</v>
      </c>
      <c r="Z54" s="693">
        <v>1</v>
      </c>
      <c r="AA54" s="693">
        <v>2</v>
      </c>
    </row>
    <row r="55" spans="1:28" x14ac:dyDescent="0.2">
      <c r="A55" s="108"/>
      <c r="B55" s="96" t="s">
        <v>114</v>
      </c>
      <c r="C55" s="421">
        <v>4.0000000000000001E-3</v>
      </c>
      <c r="D55" s="406">
        <v>0.85</v>
      </c>
      <c r="E55" s="403">
        <v>0.44</v>
      </c>
      <c r="F55" s="422">
        <v>0.38</v>
      </c>
      <c r="G55" s="384"/>
      <c r="H55" s="423"/>
      <c r="I55" s="424"/>
      <c r="J55" s="251"/>
      <c r="K55" s="378"/>
      <c r="L55" s="368">
        <v>3.7</v>
      </c>
      <c r="M55" s="689">
        <f t="shared" ref="M55:O56" si="7">24.4817073170732/1000</f>
        <v>2.4481707317073203E-2</v>
      </c>
      <c r="N55" s="689">
        <f t="shared" si="7"/>
        <v>2.4481707317073203E-2</v>
      </c>
      <c r="O55" s="705">
        <f t="shared" si="7"/>
        <v>2.4481707317073203E-2</v>
      </c>
      <c r="P55" s="713">
        <v>50</v>
      </c>
      <c r="Q55" s="442">
        <v>0</v>
      </c>
      <c r="R55" s="428">
        <v>0</v>
      </c>
      <c r="S55" s="725"/>
      <c r="T55" s="377">
        <v>40</v>
      </c>
      <c r="U55" s="368">
        <v>40</v>
      </c>
      <c r="V55" s="843">
        <v>0.7</v>
      </c>
      <c r="W55" s="686">
        <v>0.93</v>
      </c>
      <c r="X55" s="686">
        <v>0.93</v>
      </c>
      <c r="Y55" s="686">
        <v>0.93</v>
      </c>
      <c r="Z55" s="693">
        <v>5</v>
      </c>
      <c r="AA55" s="693">
        <v>5</v>
      </c>
      <c r="AB55" s="364"/>
    </row>
    <row r="56" spans="1:28" x14ac:dyDescent="0.2">
      <c r="A56" s="108"/>
      <c r="B56" s="96" t="s">
        <v>116</v>
      </c>
      <c r="C56" s="421">
        <v>4.0000000000000001E-3</v>
      </c>
      <c r="D56" s="406">
        <v>0.81</v>
      </c>
      <c r="E56" s="403">
        <v>0.39</v>
      </c>
      <c r="F56" s="422">
        <v>0.38</v>
      </c>
      <c r="G56" s="384"/>
      <c r="H56" s="423"/>
      <c r="I56" s="424"/>
      <c r="J56" s="251"/>
      <c r="K56" s="378"/>
      <c r="L56" s="368">
        <v>3.7</v>
      </c>
      <c r="M56" s="689">
        <f t="shared" si="7"/>
        <v>2.4481707317073203E-2</v>
      </c>
      <c r="N56" s="689">
        <f t="shared" si="7"/>
        <v>2.4481707317073203E-2</v>
      </c>
      <c r="O56" s="705">
        <f t="shared" si="7"/>
        <v>2.4481707317073203E-2</v>
      </c>
      <c r="P56" s="713">
        <v>50</v>
      </c>
      <c r="Q56" s="442">
        <v>0</v>
      </c>
      <c r="R56" s="428">
        <v>0</v>
      </c>
      <c r="S56" s="725"/>
      <c r="T56" s="377">
        <v>40</v>
      </c>
      <c r="U56" s="368">
        <v>40</v>
      </c>
      <c r="V56" s="843">
        <v>0.7</v>
      </c>
      <c r="W56" s="686">
        <v>0.93</v>
      </c>
      <c r="X56" s="686">
        <v>0.93</v>
      </c>
      <c r="Y56" s="686">
        <v>0.93</v>
      </c>
      <c r="Z56" s="693">
        <v>5</v>
      </c>
      <c r="AA56" s="693">
        <v>5</v>
      </c>
    </row>
    <row r="57" spans="1:28" x14ac:dyDescent="0.2">
      <c r="A57" s="108"/>
      <c r="B57" s="96" t="s">
        <v>118</v>
      </c>
      <c r="C57" s="421">
        <v>4.0000000000000001E-3</v>
      </c>
      <c r="D57" s="406">
        <v>0.32</v>
      </c>
      <c r="E57" s="403">
        <v>0.21</v>
      </c>
      <c r="F57" s="422">
        <v>0.15</v>
      </c>
      <c r="G57" s="384"/>
      <c r="H57" s="423"/>
      <c r="I57" s="424"/>
      <c r="J57" s="361"/>
      <c r="K57" s="360"/>
      <c r="L57" s="368">
        <v>2.2999999999999998</v>
      </c>
      <c r="M57" s="689">
        <f t="shared" ref="M57:O58" si="8">8.44907407407407/1000</f>
        <v>8.4490740740740707E-3</v>
      </c>
      <c r="N57" s="689">
        <f t="shared" si="8"/>
        <v>8.4490740740740707E-3</v>
      </c>
      <c r="O57" s="705">
        <f t="shared" si="8"/>
        <v>8.4490740740740707E-3</v>
      </c>
      <c r="P57" s="713">
        <v>50</v>
      </c>
      <c r="Q57" s="442">
        <v>0</v>
      </c>
      <c r="R57" s="428">
        <v>0</v>
      </c>
      <c r="S57" s="725"/>
      <c r="T57" s="377">
        <v>40</v>
      </c>
      <c r="U57" s="368">
        <v>40</v>
      </c>
      <c r="V57" s="843">
        <v>0.7</v>
      </c>
      <c r="W57" s="686">
        <v>0.59</v>
      </c>
      <c r="X57" s="686">
        <v>0.59</v>
      </c>
      <c r="Y57" s="686">
        <v>0.59</v>
      </c>
      <c r="Z57" s="693">
        <v>5</v>
      </c>
      <c r="AA57" s="693">
        <v>5</v>
      </c>
      <c r="AB57" s="364"/>
    </row>
    <row r="58" spans="1:28" x14ac:dyDescent="0.2">
      <c r="A58" s="108"/>
      <c r="B58" s="96" t="s">
        <v>120</v>
      </c>
      <c r="C58" s="421">
        <v>4.0000000000000001E-3</v>
      </c>
      <c r="D58" s="406">
        <v>0.3</v>
      </c>
      <c r="E58" s="403">
        <v>0.18</v>
      </c>
      <c r="F58" s="422">
        <v>0.15</v>
      </c>
      <c r="G58" s="384"/>
      <c r="H58" s="423"/>
      <c r="I58" s="424"/>
      <c r="J58" s="361"/>
      <c r="K58" s="360"/>
      <c r="L58" s="368">
        <v>2.2999999999999998</v>
      </c>
      <c r="M58" s="689">
        <f t="shared" si="8"/>
        <v>8.4490740740740707E-3</v>
      </c>
      <c r="N58" s="689">
        <f t="shared" si="8"/>
        <v>8.4490740740740707E-3</v>
      </c>
      <c r="O58" s="705">
        <f t="shared" si="8"/>
        <v>8.4490740740740707E-3</v>
      </c>
      <c r="P58" s="713">
        <v>50</v>
      </c>
      <c r="Q58" s="442">
        <v>0</v>
      </c>
      <c r="R58" s="428">
        <v>0</v>
      </c>
      <c r="S58" s="725"/>
      <c r="T58" s="377">
        <v>40</v>
      </c>
      <c r="U58" s="368">
        <v>40</v>
      </c>
      <c r="V58" s="843">
        <v>0.7</v>
      </c>
      <c r="W58" s="686">
        <v>0.59</v>
      </c>
      <c r="X58" s="686">
        <v>0.59</v>
      </c>
      <c r="Y58" s="686">
        <v>0.59</v>
      </c>
      <c r="Z58" s="693">
        <v>5</v>
      </c>
      <c r="AA58" s="693">
        <v>5</v>
      </c>
    </row>
    <row r="59" spans="1:28" x14ac:dyDescent="0.2">
      <c r="A59" s="87"/>
      <c r="B59" s="145" t="s">
        <v>122</v>
      </c>
      <c r="C59" s="421">
        <v>4.0000000000000001E-3</v>
      </c>
      <c r="D59" s="406">
        <v>0.52</v>
      </c>
      <c r="E59" s="403">
        <v>0.25</v>
      </c>
      <c r="F59" s="422">
        <v>0.28000000000000003</v>
      </c>
      <c r="G59" s="384"/>
      <c r="H59" s="423"/>
      <c r="I59" s="424"/>
      <c r="J59" s="251"/>
      <c r="K59" s="378"/>
      <c r="L59" s="368">
        <v>1.8</v>
      </c>
      <c r="M59" s="689">
        <f t="shared" ref="M59:O60" si="9">14.8081140350877/1000</f>
        <v>1.4808114035087699E-2</v>
      </c>
      <c r="N59" s="689">
        <f t="shared" si="9"/>
        <v>1.4808114035087699E-2</v>
      </c>
      <c r="O59" s="705">
        <f t="shared" si="9"/>
        <v>1.4808114035087699E-2</v>
      </c>
      <c r="P59" s="713">
        <v>60</v>
      </c>
      <c r="Q59" s="442">
        <v>0</v>
      </c>
      <c r="R59" s="428">
        <v>0</v>
      </c>
      <c r="S59" s="725"/>
      <c r="T59" s="377">
        <v>40</v>
      </c>
      <c r="U59" s="368">
        <v>40</v>
      </c>
      <c r="V59" s="843">
        <v>0.7</v>
      </c>
      <c r="W59" s="686">
        <v>0.46</v>
      </c>
      <c r="X59" s="686">
        <v>0.46</v>
      </c>
      <c r="Y59" s="686">
        <v>0.46</v>
      </c>
      <c r="Z59" s="693">
        <v>5</v>
      </c>
      <c r="AA59" s="693">
        <v>5</v>
      </c>
      <c r="AB59" s="364"/>
    </row>
    <row r="60" spans="1:28" x14ac:dyDescent="0.2">
      <c r="A60" s="87"/>
      <c r="B60" s="430" t="s">
        <v>124</v>
      </c>
      <c r="C60" s="421">
        <v>4.0000000000000001E-3</v>
      </c>
      <c r="D60" s="406">
        <v>0.48</v>
      </c>
      <c r="E60" s="403">
        <v>0.23</v>
      </c>
      <c r="F60" s="422">
        <v>0.28000000000000003</v>
      </c>
      <c r="G60" s="384"/>
      <c r="H60" s="423"/>
      <c r="I60" s="424"/>
      <c r="J60" s="251"/>
      <c r="K60" s="378"/>
      <c r="L60" s="368">
        <v>1.8</v>
      </c>
      <c r="M60" s="689">
        <f t="shared" si="9"/>
        <v>1.4808114035087699E-2</v>
      </c>
      <c r="N60" s="689">
        <f t="shared" si="9"/>
        <v>1.4808114035087699E-2</v>
      </c>
      <c r="O60" s="705">
        <f t="shared" si="9"/>
        <v>1.4808114035087699E-2</v>
      </c>
      <c r="P60" s="713">
        <v>60</v>
      </c>
      <c r="Q60" s="442">
        <v>0</v>
      </c>
      <c r="R60" s="428">
        <v>0</v>
      </c>
      <c r="S60" s="725"/>
      <c r="T60" s="377">
        <v>40</v>
      </c>
      <c r="U60" s="368">
        <v>40</v>
      </c>
      <c r="V60" s="843">
        <v>0.7</v>
      </c>
      <c r="W60" s="686">
        <v>0.46</v>
      </c>
      <c r="X60" s="686">
        <v>0.46</v>
      </c>
      <c r="Y60" s="686">
        <v>0.46</v>
      </c>
      <c r="Z60" s="693">
        <v>5</v>
      </c>
      <c r="AA60" s="693">
        <v>5</v>
      </c>
    </row>
    <row r="61" spans="1:28" x14ac:dyDescent="0.2">
      <c r="A61" s="87"/>
      <c r="B61" s="145" t="s">
        <v>126</v>
      </c>
      <c r="C61" s="421">
        <v>4.0000000000000001E-3</v>
      </c>
      <c r="D61" s="406">
        <v>2.42</v>
      </c>
      <c r="E61" s="403">
        <v>1.36</v>
      </c>
      <c r="F61" s="422">
        <v>1.17</v>
      </c>
      <c r="G61" s="384"/>
      <c r="H61" s="423"/>
      <c r="I61" s="424"/>
      <c r="J61" s="361"/>
      <c r="K61" s="360"/>
      <c r="L61" s="368">
        <v>21.6</v>
      </c>
      <c r="M61" s="689">
        <f t="shared" ref="M61:O62" si="10">54.625850340136/1000</f>
        <v>5.4625850340135999E-2</v>
      </c>
      <c r="N61" s="689">
        <f t="shared" si="10"/>
        <v>5.4625850340135999E-2</v>
      </c>
      <c r="O61" s="705">
        <f t="shared" si="10"/>
        <v>5.4625850340135999E-2</v>
      </c>
      <c r="P61" s="713">
        <v>50</v>
      </c>
      <c r="Q61" s="442">
        <v>0</v>
      </c>
      <c r="R61" s="428">
        <v>0</v>
      </c>
      <c r="S61" s="725"/>
      <c r="T61" s="377">
        <v>40</v>
      </c>
      <c r="U61" s="368">
        <v>40</v>
      </c>
      <c r="V61" s="843">
        <v>0.7</v>
      </c>
      <c r="W61" s="686">
        <v>5.41</v>
      </c>
      <c r="X61" s="686">
        <v>5.41</v>
      </c>
      <c r="Y61" s="686">
        <v>5.41</v>
      </c>
      <c r="Z61" s="693">
        <v>5</v>
      </c>
      <c r="AA61" s="693">
        <v>5</v>
      </c>
      <c r="AB61" s="364"/>
    </row>
    <row r="62" spans="1:28" x14ac:dyDescent="0.2">
      <c r="A62" s="87"/>
      <c r="B62" s="145" t="s">
        <v>128</v>
      </c>
      <c r="C62" s="421">
        <v>4.0000000000000001E-3</v>
      </c>
      <c r="D62" s="406">
        <v>2.25</v>
      </c>
      <c r="E62" s="403">
        <v>1.06</v>
      </c>
      <c r="F62" s="422">
        <v>1.1100000000000001</v>
      </c>
      <c r="G62" s="384"/>
      <c r="H62" s="423"/>
      <c r="I62" s="424"/>
      <c r="J62" s="361"/>
      <c r="K62" s="360"/>
      <c r="L62" s="368">
        <v>21.6</v>
      </c>
      <c r="M62" s="689">
        <f t="shared" si="10"/>
        <v>5.4625850340135999E-2</v>
      </c>
      <c r="N62" s="689">
        <f t="shared" si="10"/>
        <v>5.4625850340135999E-2</v>
      </c>
      <c r="O62" s="705">
        <f t="shared" si="10"/>
        <v>5.4625850340135999E-2</v>
      </c>
      <c r="P62" s="713">
        <v>50</v>
      </c>
      <c r="Q62" s="442">
        <v>0</v>
      </c>
      <c r="R62" s="428">
        <v>0</v>
      </c>
      <c r="S62" s="725"/>
      <c r="T62" s="377">
        <v>40</v>
      </c>
      <c r="U62" s="368">
        <v>40</v>
      </c>
      <c r="V62" s="843">
        <v>0.7</v>
      </c>
      <c r="W62" s="686">
        <v>5.41</v>
      </c>
      <c r="X62" s="686">
        <v>5.41</v>
      </c>
      <c r="Y62" s="686">
        <v>5.41</v>
      </c>
      <c r="Z62" s="693">
        <v>5</v>
      </c>
      <c r="AA62" s="693">
        <v>5</v>
      </c>
    </row>
    <row r="63" spans="1:28" x14ac:dyDescent="0.2">
      <c r="A63" s="87"/>
      <c r="B63" s="145" t="s">
        <v>130</v>
      </c>
      <c r="C63" s="421">
        <v>4.0000000000000001E-3</v>
      </c>
      <c r="D63" s="406">
        <v>1.71</v>
      </c>
      <c r="E63" s="403">
        <v>0.93</v>
      </c>
      <c r="F63" s="422">
        <v>0.96</v>
      </c>
      <c r="G63" s="384"/>
      <c r="H63" s="423"/>
      <c r="I63" s="424"/>
      <c r="J63" s="251"/>
      <c r="K63" s="378"/>
      <c r="L63" s="368">
        <v>17.399999999999999</v>
      </c>
      <c r="M63" s="689">
        <f t="shared" ref="M63:O64" si="11">60.8333333333333/1000</f>
        <v>6.0833333333333302E-2</v>
      </c>
      <c r="N63" s="689">
        <f t="shared" si="11"/>
        <v>6.0833333333333302E-2</v>
      </c>
      <c r="O63" s="705">
        <f t="shared" si="11"/>
        <v>6.0833333333333302E-2</v>
      </c>
      <c r="P63" s="713">
        <v>50</v>
      </c>
      <c r="Q63" s="442">
        <v>0</v>
      </c>
      <c r="R63" s="428">
        <v>0</v>
      </c>
      <c r="S63" s="725"/>
      <c r="T63" s="377">
        <v>40</v>
      </c>
      <c r="U63" s="368">
        <v>40</v>
      </c>
      <c r="V63" s="843">
        <v>0.7</v>
      </c>
      <c r="W63" s="686">
        <v>4.34</v>
      </c>
      <c r="X63" s="686">
        <v>4.34</v>
      </c>
      <c r="Y63" s="686">
        <v>4.34</v>
      </c>
      <c r="Z63" s="693">
        <v>5</v>
      </c>
      <c r="AA63" s="693">
        <v>5</v>
      </c>
      <c r="AB63" s="364"/>
    </row>
    <row r="64" spans="1:28" x14ac:dyDescent="0.2">
      <c r="A64" s="87"/>
      <c r="B64" s="145" t="s">
        <v>132</v>
      </c>
      <c r="C64" s="421">
        <v>4.0000000000000001E-3</v>
      </c>
      <c r="D64" s="406">
        <v>1.62</v>
      </c>
      <c r="E64" s="403">
        <v>0.66</v>
      </c>
      <c r="F64" s="422">
        <v>0.92</v>
      </c>
      <c r="G64" s="384"/>
      <c r="H64" s="423"/>
      <c r="I64" s="424"/>
      <c r="J64" s="251"/>
      <c r="K64" s="378"/>
      <c r="L64" s="368">
        <v>17.399999999999999</v>
      </c>
      <c r="M64" s="689">
        <f t="shared" si="11"/>
        <v>6.0833333333333302E-2</v>
      </c>
      <c r="N64" s="689">
        <f t="shared" si="11"/>
        <v>6.0833333333333302E-2</v>
      </c>
      <c r="O64" s="705">
        <f t="shared" si="11"/>
        <v>6.0833333333333302E-2</v>
      </c>
      <c r="P64" s="713">
        <v>50</v>
      </c>
      <c r="Q64" s="442">
        <v>0</v>
      </c>
      <c r="R64" s="428">
        <v>0</v>
      </c>
      <c r="S64" s="725"/>
      <c r="T64" s="377">
        <v>40</v>
      </c>
      <c r="U64" s="368">
        <v>40</v>
      </c>
      <c r="V64" s="843">
        <v>0.7</v>
      </c>
      <c r="W64" s="686">
        <v>4.34</v>
      </c>
      <c r="X64" s="686">
        <v>4.34</v>
      </c>
      <c r="Y64" s="686">
        <v>4.34</v>
      </c>
      <c r="Z64" s="693">
        <v>5</v>
      </c>
      <c r="AA64" s="693">
        <v>5</v>
      </c>
    </row>
    <row r="65" spans="1:28" x14ac:dyDescent="0.2">
      <c r="A65" s="108"/>
      <c r="B65" s="96" t="s">
        <v>133</v>
      </c>
      <c r="C65" s="421">
        <v>4.0000000000000001E-3</v>
      </c>
      <c r="D65" s="406">
        <v>1.87</v>
      </c>
      <c r="E65" s="403">
        <v>0.57999999999999996</v>
      </c>
      <c r="F65" s="422">
        <v>1.79</v>
      </c>
      <c r="G65" s="384"/>
      <c r="H65" s="423"/>
      <c r="I65" s="424"/>
      <c r="J65" s="251"/>
      <c r="K65" s="378"/>
      <c r="L65" s="368">
        <v>53.3</v>
      </c>
      <c r="M65" s="690">
        <f>105.328571428571/1000</f>
        <v>0.10532857142857099</v>
      </c>
      <c r="N65" s="690">
        <f>105.328571428571/1000</f>
        <v>0.10532857142857099</v>
      </c>
      <c r="O65" s="708">
        <f>105.328571428571/1000</f>
        <v>0.10532857142857099</v>
      </c>
      <c r="P65" s="713">
        <v>30</v>
      </c>
      <c r="Q65" s="442">
        <v>0</v>
      </c>
      <c r="R65" s="428">
        <v>0</v>
      </c>
      <c r="S65" s="725"/>
      <c r="T65" s="377">
        <v>40</v>
      </c>
      <c r="U65" s="368">
        <v>40</v>
      </c>
      <c r="V65" s="843">
        <v>0.7</v>
      </c>
      <c r="W65" s="686">
        <v>13.33</v>
      </c>
      <c r="X65" s="686">
        <v>13.33</v>
      </c>
      <c r="Y65" s="686">
        <v>13.33</v>
      </c>
      <c r="Z65" s="693">
        <v>5</v>
      </c>
      <c r="AA65" s="693">
        <v>5</v>
      </c>
      <c r="AB65" s="364"/>
    </row>
    <row r="66" spans="1:28" x14ac:dyDescent="0.2">
      <c r="A66" s="108"/>
      <c r="B66" s="145" t="s">
        <v>135</v>
      </c>
      <c r="C66" s="421">
        <v>4.0000000000000001E-3</v>
      </c>
      <c r="D66" s="406">
        <v>0.71</v>
      </c>
      <c r="E66" s="403">
        <v>0.4</v>
      </c>
      <c r="F66" s="422">
        <v>0.38</v>
      </c>
      <c r="G66" s="384"/>
      <c r="H66" s="423"/>
      <c r="I66" s="424"/>
      <c r="J66" s="251"/>
      <c r="K66" s="378"/>
      <c r="L66" s="368">
        <v>6.4</v>
      </c>
      <c r="M66" s="689">
        <f>67.3846153846154/1000</f>
        <v>6.7384615384615404E-2</v>
      </c>
      <c r="N66" s="689">
        <f>67.3846153846154/1000</f>
        <v>6.7384615384615404E-2</v>
      </c>
      <c r="O66" s="705">
        <f>67.3846153846154/1000</f>
        <v>6.7384615384615404E-2</v>
      </c>
      <c r="P66" s="713">
        <v>30</v>
      </c>
      <c r="Q66" s="442">
        <v>0</v>
      </c>
      <c r="R66" s="428">
        <v>0</v>
      </c>
      <c r="S66" s="725"/>
      <c r="T66" s="377">
        <v>40</v>
      </c>
      <c r="U66" s="368">
        <v>40</v>
      </c>
      <c r="V66" s="843">
        <v>0.7</v>
      </c>
      <c r="W66" s="686">
        <v>1.6</v>
      </c>
      <c r="X66" s="686">
        <v>1.6</v>
      </c>
      <c r="Y66" s="686">
        <v>1.6</v>
      </c>
      <c r="Z66" s="693">
        <v>5</v>
      </c>
      <c r="AA66" s="693">
        <v>5</v>
      </c>
    </row>
    <row r="67" spans="1:28" x14ac:dyDescent="0.2">
      <c r="A67" s="108"/>
      <c r="B67" s="145" t="s">
        <v>137</v>
      </c>
      <c r="C67" s="421">
        <v>4.0000000000000001E-3</v>
      </c>
      <c r="D67" s="406">
        <v>0.63</v>
      </c>
      <c r="E67" s="403">
        <v>0.4</v>
      </c>
      <c r="F67" s="422">
        <v>0.31</v>
      </c>
      <c r="G67" s="384"/>
      <c r="H67" s="423"/>
      <c r="I67" s="424"/>
      <c r="J67" s="251"/>
      <c r="K67" s="378"/>
      <c r="L67" s="368">
        <v>6</v>
      </c>
      <c r="M67" s="689">
        <f>49.9702380952381/1000</f>
        <v>4.9970238095238102E-2</v>
      </c>
      <c r="N67" s="689">
        <f>49.9702380952381/1000</f>
        <v>4.9970238095238102E-2</v>
      </c>
      <c r="O67" s="705">
        <f>49.9702380952381/1000</f>
        <v>4.9970238095238102E-2</v>
      </c>
      <c r="P67" s="713">
        <v>30</v>
      </c>
      <c r="Q67" s="442">
        <v>0</v>
      </c>
      <c r="R67" s="428">
        <v>0</v>
      </c>
      <c r="S67" s="725"/>
      <c r="T67" s="377">
        <v>40</v>
      </c>
      <c r="U67" s="368">
        <v>40</v>
      </c>
      <c r="V67" s="843">
        <v>0.7</v>
      </c>
      <c r="W67" s="686">
        <v>1.49</v>
      </c>
      <c r="X67" s="686">
        <v>1.49</v>
      </c>
      <c r="Y67" s="686">
        <v>1.49</v>
      </c>
      <c r="Z67" s="693">
        <v>5</v>
      </c>
      <c r="AA67" s="693">
        <v>5</v>
      </c>
      <c r="AB67" s="364"/>
    </row>
    <row r="68" spans="1:28" x14ac:dyDescent="0.2">
      <c r="A68" s="146"/>
      <c r="B68" s="96" t="s">
        <v>138</v>
      </c>
      <c r="C68" s="421">
        <v>3.0000000000000001E-3</v>
      </c>
      <c r="D68" s="406">
        <v>0.64</v>
      </c>
      <c r="E68" s="403">
        <v>0.28000000000000003</v>
      </c>
      <c r="F68" s="422">
        <v>0.21</v>
      </c>
      <c r="G68" s="384"/>
      <c r="H68" s="423"/>
      <c r="I68" s="424"/>
      <c r="J68" s="251"/>
      <c r="K68" s="378"/>
      <c r="L68" s="368">
        <v>1</v>
      </c>
      <c r="M68" s="434">
        <f>9.4/1000</f>
        <v>9.4000000000000004E-3</v>
      </c>
      <c r="N68" s="434">
        <f>9.4/1000</f>
        <v>9.4000000000000004E-3</v>
      </c>
      <c r="O68" s="709">
        <f>9.4/1000</f>
        <v>9.4000000000000004E-3</v>
      </c>
      <c r="P68" s="713">
        <v>30</v>
      </c>
      <c r="Q68" s="442">
        <v>0</v>
      </c>
      <c r="R68" s="428">
        <v>0</v>
      </c>
      <c r="S68" s="725"/>
      <c r="T68" s="377">
        <v>40</v>
      </c>
      <c r="U68" s="368">
        <v>40</v>
      </c>
      <c r="V68" s="843">
        <v>0.7</v>
      </c>
      <c r="W68" s="691">
        <v>0.33</v>
      </c>
      <c r="X68" s="691">
        <v>0.33</v>
      </c>
      <c r="Y68" s="691">
        <v>0.33</v>
      </c>
      <c r="Z68" s="693">
        <v>5</v>
      </c>
      <c r="AA68" s="693">
        <v>5</v>
      </c>
    </row>
    <row r="69" spans="1:28" x14ac:dyDescent="0.2">
      <c r="A69" s="108"/>
      <c r="B69" s="96" t="s">
        <v>139</v>
      </c>
      <c r="C69" s="360">
        <v>0.1</v>
      </c>
      <c r="D69" s="377">
        <v>5.9</v>
      </c>
      <c r="E69" s="362">
        <v>1.9</v>
      </c>
      <c r="F69" s="363">
        <v>6.5</v>
      </c>
      <c r="G69" s="384"/>
      <c r="H69" s="423"/>
      <c r="I69" s="424"/>
      <c r="J69" s="251"/>
      <c r="K69" s="378"/>
      <c r="L69" s="368">
        <v>0.2</v>
      </c>
      <c r="M69" s="368">
        <v>0.4</v>
      </c>
      <c r="N69" s="368">
        <v>0.4</v>
      </c>
      <c r="O69" s="364">
        <v>0.4</v>
      </c>
      <c r="P69" s="713">
        <v>30</v>
      </c>
      <c r="Q69" s="442">
        <v>0</v>
      </c>
      <c r="R69" s="428">
        <v>0</v>
      </c>
      <c r="S69" s="725"/>
      <c r="T69" s="377">
        <v>45</v>
      </c>
      <c r="U69" s="368">
        <v>45</v>
      </c>
      <c r="V69" s="843">
        <v>0.9</v>
      </c>
      <c r="W69" s="686">
        <v>4</v>
      </c>
      <c r="X69" s="685">
        <v>4</v>
      </c>
      <c r="Y69" s="684">
        <v>4</v>
      </c>
      <c r="Z69" s="693">
        <v>1</v>
      </c>
      <c r="AA69" s="693">
        <v>2</v>
      </c>
      <c r="AB69" s="364"/>
    </row>
    <row r="70" spans="1:28" x14ac:dyDescent="0.2">
      <c r="A70" s="108"/>
      <c r="B70" s="96" t="s">
        <v>140</v>
      </c>
      <c r="C70" s="360">
        <v>0.1</v>
      </c>
      <c r="D70" s="377">
        <v>14.2</v>
      </c>
      <c r="E70" s="362">
        <v>4.3</v>
      </c>
      <c r="F70" s="363">
        <v>15.5</v>
      </c>
      <c r="G70" s="384"/>
      <c r="H70" s="423"/>
      <c r="I70" s="424"/>
      <c r="J70" s="251"/>
      <c r="K70" s="378"/>
      <c r="L70" s="368">
        <v>0.4</v>
      </c>
      <c r="M70" s="368">
        <v>1.1000000000000001</v>
      </c>
      <c r="N70" s="368">
        <v>1.1000000000000001</v>
      </c>
      <c r="O70" s="364">
        <v>1.1000000000000001</v>
      </c>
      <c r="P70" s="713">
        <v>30</v>
      </c>
      <c r="Q70" s="442">
        <v>0</v>
      </c>
      <c r="R70" s="428">
        <v>0</v>
      </c>
      <c r="S70" s="725"/>
      <c r="T70" s="377">
        <v>45</v>
      </c>
      <c r="U70" s="368">
        <v>45</v>
      </c>
      <c r="V70" s="843">
        <v>0.9</v>
      </c>
      <c r="W70" s="686">
        <v>4</v>
      </c>
      <c r="X70" s="685">
        <v>4</v>
      </c>
      <c r="Y70" s="684">
        <v>4</v>
      </c>
      <c r="Z70" s="693">
        <v>1</v>
      </c>
      <c r="AA70" s="693">
        <v>2</v>
      </c>
    </row>
    <row r="71" spans="1:28" x14ac:dyDescent="0.2">
      <c r="A71" s="108"/>
      <c r="B71" s="145" t="s">
        <v>142</v>
      </c>
      <c r="C71" s="360">
        <v>0.1</v>
      </c>
      <c r="D71" s="400">
        <v>15.2</v>
      </c>
      <c r="E71" s="362">
        <v>5.7</v>
      </c>
      <c r="F71" s="363">
        <v>18</v>
      </c>
      <c r="G71" s="384"/>
      <c r="H71" s="423"/>
      <c r="I71" s="424"/>
      <c r="J71" s="251"/>
      <c r="K71" s="378"/>
      <c r="L71" s="368">
        <v>0.6</v>
      </c>
      <c r="M71" s="100">
        <v>1</v>
      </c>
      <c r="N71" s="100">
        <v>1</v>
      </c>
      <c r="O71" s="559">
        <v>1</v>
      </c>
      <c r="P71" s="713">
        <v>30</v>
      </c>
      <c r="Q71" s="442">
        <v>0</v>
      </c>
      <c r="R71" s="428">
        <v>0</v>
      </c>
      <c r="S71" s="725"/>
      <c r="T71" s="377">
        <v>45</v>
      </c>
      <c r="U71" s="368">
        <v>45</v>
      </c>
      <c r="V71" s="843">
        <v>0.9</v>
      </c>
      <c r="W71" s="563">
        <v>6</v>
      </c>
      <c r="X71" s="564">
        <v>6</v>
      </c>
      <c r="Y71" s="565">
        <v>6</v>
      </c>
      <c r="Z71" s="693">
        <v>1</v>
      </c>
      <c r="AA71" s="693">
        <v>2</v>
      </c>
      <c r="AB71" s="364"/>
    </row>
    <row r="72" spans="1:28" x14ac:dyDescent="0.2">
      <c r="A72" s="108"/>
      <c r="B72" s="145" t="s">
        <v>144</v>
      </c>
      <c r="C72" s="360">
        <v>0.7</v>
      </c>
      <c r="D72" s="400">
        <v>33.4</v>
      </c>
      <c r="E72" s="362">
        <v>15.3</v>
      </c>
      <c r="F72" s="363">
        <v>51</v>
      </c>
      <c r="G72" s="384"/>
      <c r="H72" s="423"/>
      <c r="I72" s="424"/>
      <c r="J72" s="251"/>
      <c r="K72" s="378"/>
      <c r="L72" s="368">
        <v>4</v>
      </c>
      <c r="M72" s="100">
        <v>6.8</v>
      </c>
      <c r="N72" s="100">
        <v>6.8</v>
      </c>
      <c r="O72" s="559">
        <v>6.8</v>
      </c>
      <c r="P72" s="713">
        <v>30</v>
      </c>
      <c r="Q72" s="442">
        <v>0</v>
      </c>
      <c r="R72" s="428">
        <v>0</v>
      </c>
      <c r="S72" s="725"/>
      <c r="T72" s="377">
        <v>45</v>
      </c>
      <c r="U72" s="368">
        <v>45</v>
      </c>
      <c r="V72" s="843">
        <v>0.7</v>
      </c>
      <c r="W72" s="563">
        <v>5.7</v>
      </c>
      <c r="X72" s="564">
        <v>5.7</v>
      </c>
      <c r="Y72" s="565">
        <v>5.7</v>
      </c>
      <c r="Z72" s="693">
        <v>1</v>
      </c>
      <c r="AA72" s="693">
        <v>2</v>
      </c>
    </row>
    <row r="73" spans="1:28" x14ac:dyDescent="0.2">
      <c r="A73" s="108"/>
      <c r="B73" s="145" t="s">
        <v>146</v>
      </c>
      <c r="C73" s="360">
        <v>0.7</v>
      </c>
      <c r="D73" s="400">
        <v>53.6</v>
      </c>
      <c r="E73" s="362">
        <v>23.4</v>
      </c>
      <c r="F73" s="363">
        <v>67</v>
      </c>
      <c r="G73" s="384"/>
      <c r="H73" s="423"/>
      <c r="I73" s="424"/>
      <c r="J73" s="251"/>
      <c r="K73" s="378"/>
      <c r="L73" s="368">
        <v>6</v>
      </c>
      <c r="M73" s="100">
        <v>11.2</v>
      </c>
      <c r="N73" s="100">
        <v>11.2</v>
      </c>
      <c r="O73" s="559">
        <v>11.2</v>
      </c>
      <c r="P73" s="713">
        <v>30</v>
      </c>
      <c r="Q73" s="442">
        <v>0</v>
      </c>
      <c r="R73" s="428">
        <v>0</v>
      </c>
      <c r="S73" s="725"/>
      <c r="T73" s="377">
        <v>45</v>
      </c>
      <c r="U73" s="368">
        <v>45</v>
      </c>
      <c r="V73" s="843">
        <v>0.7</v>
      </c>
      <c r="W73" s="563">
        <v>8.6</v>
      </c>
      <c r="X73" s="564">
        <v>8.6</v>
      </c>
      <c r="Y73" s="565">
        <v>8.6</v>
      </c>
      <c r="Z73" s="693">
        <v>1</v>
      </c>
      <c r="AA73" s="693">
        <v>2</v>
      </c>
      <c r="AB73" s="364"/>
    </row>
    <row r="74" spans="1:28" x14ac:dyDescent="0.2">
      <c r="A74" s="108"/>
      <c r="B74" s="96" t="s">
        <v>148</v>
      </c>
      <c r="C74" s="421">
        <v>3.0000000000000001E-3</v>
      </c>
      <c r="D74" s="377">
        <v>9.6999999999999993</v>
      </c>
      <c r="E74" s="362">
        <v>5.4</v>
      </c>
      <c r="F74" s="363">
        <v>8.3000000000000007</v>
      </c>
      <c r="G74" s="384"/>
      <c r="H74" s="423"/>
      <c r="I74" s="424"/>
      <c r="J74" s="361"/>
      <c r="K74" s="360"/>
      <c r="L74" s="368">
        <v>0.3</v>
      </c>
      <c r="M74" s="100">
        <v>0.8</v>
      </c>
      <c r="N74" s="100">
        <v>0.8</v>
      </c>
      <c r="O74" s="559">
        <v>0.8</v>
      </c>
      <c r="P74" s="713">
        <v>30</v>
      </c>
      <c r="Q74" s="442">
        <v>0</v>
      </c>
      <c r="R74" s="428">
        <v>0</v>
      </c>
      <c r="S74" s="725"/>
      <c r="T74" s="377">
        <v>45</v>
      </c>
      <c r="U74" s="368">
        <v>45</v>
      </c>
      <c r="V74" s="843">
        <v>0.9</v>
      </c>
      <c r="W74" s="563">
        <v>106.7</v>
      </c>
      <c r="X74" s="564">
        <v>106.7</v>
      </c>
      <c r="Y74" s="565">
        <v>106.7</v>
      </c>
      <c r="Z74" s="693">
        <v>5</v>
      </c>
      <c r="AA74" s="693">
        <v>5</v>
      </c>
    </row>
    <row r="75" spans="1:28" x14ac:dyDescent="0.2">
      <c r="A75" s="148"/>
      <c r="B75" s="96" t="s">
        <v>149</v>
      </c>
      <c r="C75" s="402">
        <v>0.15</v>
      </c>
      <c r="D75" s="377">
        <v>15.8</v>
      </c>
      <c r="E75" s="362">
        <v>4.5</v>
      </c>
      <c r="F75" s="363">
        <v>17.600000000000001</v>
      </c>
      <c r="G75" s="384"/>
      <c r="H75" s="423"/>
      <c r="I75" s="424"/>
      <c r="J75" s="251"/>
      <c r="K75" s="378"/>
      <c r="L75" s="368"/>
      <c r="M75" s="431"/>
      <c r="N75" s="426"/>
      <c r="O75" s="559"/>
      <c r="P75" s="713"/>
      <c r="Q75" s="442">
        <v>0</v>
      </c>
      <c r="R75" s="428">
        <v>0</v>
      </c>
      <c r="S75" s="725"/>
      <c r="T75" s="377">
        <v>45</v>
      </c>
      <c r="U75" s="368">
        <v>45</v>
      </c>
      <c r="V75" s="843">
        <v>0.9</v>
      </c>
      <c r="W75" s="566"/>
      <c r="X75" s="558"/>
      <c r="Y75" s="567"/>
      <c r="Z75" s="693">
        <v>1</v>
      </c>
      <c r="AA75" s="693">
        <v>2</v>
      </c>
      <c r="AB75" s="364"/>
    </row>
    <row r="76" spans="1:28" x14ac:dyDescent="0.2">
      <c r="A76" s="148"/>
      <c r="B76" s="96" t="s">
        <v>150</v>
      </c>
      <c r="C76" s="402">
        <v>0.05</v>
      </c>
      <c r="D76" s="377">
        <v>5.8</v>
      </c>
      <c r="E76" s="362">
        <v>1.7</v>
      </c>
      <c r="F76" s="363">
        <v>6.4</v>
      </c>
      <c r="G76" s="384"/>
      <c r="H76" s="423"/>
      <c r="I76" s="443"/>
      <c r="J76" s="251"/>
      <c r="K76" s="378"/>
      <c r="L76" s="368"/>
      <c r="M76" s="431"/>
      <c r="N76" s="426"/>
      <c r="O76" s="559"/>
      <c r="P76" s="713"/>
      <c r="Q76" s="442"/>
      <c r="R76" s="428"/>
      <c r="S76" s="725"/>
      <c r="T76" s="377">
        <v>45</v>
      </c>
      <c r="U76" s="368">
        <v>45</v>
      </c>
      <c r="V76" s="843">
        <v>0.9</v>
      </c>
      <c r="W76" s="566"/>
      <c r="X76" s="558"/>
      <c r="Y76" s="567"/>
      <c r="Z76" s="693">
        <v>1</v>
      </c>
      <c r="AA76" s="693">
        <v>2</v>
      </c>
    </row>
    <row r="77" spans="1:28" x14ac:dyDescent="0.2">
      <c r="A77" s="146"/>
      <c r="B77" s="96" t="s">
        <v>151</v>
      </c>
      <c r="C77" s="360">
        <v>0.3</v>
      </c>
      <c r="D77" s="377">
        <v>22.7</v>
      </c>
      <c r="E77" s="362">
        <v>7.2</v>
      </c>
      <c r="F77" s="363">
        <v>27</v>
      </c>
      <c r="G77" s="384"/>
      <c r="H77" s="423"/>
      <c r="I77" s="424"/>
      <c r="J77" s="251"/>
      <c r="K77" s="378"/>
      <c r="L77" s="368"/>
      <c r="M77" s="431"/>
      <c r="N77" s="426"/>
      <c r="O77" s="559"/>
      <c r="P77" s="713"/>
      <c r="Q77" s="442">
        <v>0</v>
      </c>
      <c r="R77" s="428">
        <v>0</v>
      </c>
      <c r="S77" s="725"/>
      <c r="T77" s="377">
        <v>45</v>
      </c>
      <c r="U77" s="368">
        <v>45</v>
      </c>
      <c r="V77" s="843">
        <v>0.9</v>
      </c>
      <c r="W77" s="566"/>
      <c r="X77" s="558"/>
      <c r="Y77" s="567"/>
      <c r="Z77" s="693">
        <v>1</v>
      </c>
      <c r="AA77" s="693">
        <v>2</v>
      </c>
      <c r="AB77" s="364"/>
    </row>
    <row r="78" spans="1:28" x14ac:dyDescent="0.2">
      <c r="A78" s="146"/>
      <c r="B78" s="96" t="s">
        <v>152</v>
      </c>
      <c r="C78" s="402">
        <v>0.1</v>
      </c>
      <c r="D78" s="377">
        <v>8.3000000000000007</v>
      </c>
      <c r="E78" s="362">
        <v>2.7</v>
      </c>
      <c r="F78" s="363">
        <v>9.9</v>
      </c>
      <c r="G78" s="384"/>
      <c r="H78" s="423"/>
      <c r="I78" s="443"/>
      <c r="J78" s="251"/>
      <c r="K78" s="378"/>
      <c r="L78" s="368"/>
      <c r="M78" s="431"/>
      <c r="N78" s="426"/>
      <c r="O78" s="559"/>
      <c r="P78" s="713"/>
      <c r="Q78" s="442"/>
      <c r="R78" s="428"/>
      <c r="S78" s="725"/>
      <c r="T78" s="377">
        <v>45</v>
      </c>
      <c r="U78" s="368">
        <v>45</v>
      </c>
      <c r="V78" s="843">
        <v>0.9</v>
      </c>
      <c r="W78" s="566"/>
      <c r="X78" s="558"/>
      <c r="Y78" s="567"/>
      <c r="Z78" s="693">
        <v>1</v>
      </c>
      <c r="AA78" s="693">
        <v>2</v>
      </c>
    </row>
    <row r="79" spans="1:28" ht="13.5" thickBot="1" x14ac:dyDescent="0.25">
      <c r="A79" s="155"/>
      <c r="B79" s="89" t="s">
        <v>153</v>
      </c>
      <c r="C79" s="338">
        <v>0.3</v>
      </c>
      <c r="D79" s="444">
        <v>22.7</v>
      </c>
      <c r="E79" s="445">
        <v>7.2</v>
      </c>
      <c r="F79" s="446">
        <v>27</v>
      </c>
      <c r="G79" s="447"/>
      <c r="H79" s="448"/>
      <c r="I79" s="449"/>
      <c r="J79" s="349"/>
      <c r="K79" s="450"/>
      <c r="L79" s="704">
        <v>2</v>
      </c>
      <c r="M79" s="453">
        <v>3.4</v>
      </c>
      <c r="N79" s="453">
        <v>3.4</v>
      </c>
      <c r="O79" s="710">
        <v>3.4</v>
      </c>
      <c r="P79" s="713">
        <v>30</v>
      </c>
      <c r="Q79" s="454">
        <v>0</v>
      </c>
      <c r="R79" s="455">
        <v>0</v>
      </c>
      <c r="S79" s="726"/>
      <c r="T79" s="444">
        <v>45</v>
      </c>
      <c r="U79" s="453">
        <v>45</v>
      </c>
      <c r="V79" s="843">
        <v>0.9</v>
      </c>
      <c r="W79" s="681">
        <v>6.7</v>
      </c>
      <c r="X79" s="682">
        <v>6.7</v>
      </c>
      <c r="Y79" s="683">
        <v>6.7</v>
      </c>
      <c r="Z79" s="693">
        <v>1</v>
      </c>
      <c r="AA79" s="693">
        <v>2</v>
      </c>
      <c r="AB79" s="364"/>
    </row>
    <row r="83" spans="4:4" x14ac:dyDescent="0.2">
      <c r="D83" s="166" t="s">
        <v>27</v>
      </c>
    </row>
    <row r="84" spans="4:4" x14ac:dyDescent="0.2">
      <c r="D84" s="167" t="s">
        <v>80</v>
      </c>
    </row>
    <row r="85" spans="4:4" x14ac:dyDescent="0.2">
      <c r="D85" s="167" t="s">
        <v>154</v>
      </c>
    </row>
    <row r="86" spans="4:4" x14ac:dyDescent="0.2">
      <c r="D86" s="167" t="s">
        <v>155</v>
      </c>
    </row>
    <row r="87" spans="4:4" x14ac:dyDescent="0.2">
      <c r="D87" s="162" t="s">
        <v>156</v>
      </c>
    </row>
    <row r="90" spans="4:4" x14ac:dyDescent="0.2">
      <c r="D90" s="320" t="s">
        <v>382</v>
      </c>
    </row>
  </sheetData>
  <mergeCells count="9">
    <mergeCell ref="M7:O7"/>
    <mergeCell ref="G5:J5"/>
    <mergeCell ref="M5:O5"/>
    <mergeCell ref="T5:U5"/>
    <mergeCell ref="W5:Y5"/>
    <mergeCell ref="G6:J6"/>
    <mergeCell ref="M6:O6"/>
    <mergeCell ref="T6:U6"/>
    <mergeCell ref="W6:Y6"/>
  </mergeCells>
  <pageMargins left="0.7" right="0.7" top="0.78740157499999996" bottom="0.78740157499999996"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C55"/>
  <sheetViews>
    <sheetView topLeftCell="H1" zoomScale="70" zoomScaleNormal="70" workbookViewId="0">
      <selection activeCell="W59" sqref="W59"/>
    </sheetView>
  </sheetViews>
  <sheetFormatPr baseColWidth="10" defaultRowHeight="12.75" x14ac:dyDescent="0.2"/>
  <cols>
    <col min="2" max="3" width="11.42578125" style="961"/>
    <col min="4" max="7" width="18" style="961" customWidth="1"/>
    <col min="8" max="15" width="8.42578125" style="961" customWidth="1"/>
    <col min="16" max="17" width="11.42578125" style="961"/>
    <col min="29" max="29" width="11.42578125" style="460"/>
  </cols>
  <sheetData>
    <row r="1" spans="1:28" x14ac:dyDescent="0.2">
      <c r="A1" t="s">
        <v>510</v>
      </c>
    </row>
    <row r="3" spans="1:28" x14ac:dyDescent="0.2">
      <c r="M3" s="961" t="s">
        <v>511</v>
      </c>
      <c r="O3" s="963" t="s">
        <v>512</v>
      </c>
      <c r="R3" s="961"/>
      <c r="S3" s="961"/>
      <c r="T3" s="961"/>
      <c r="U3" s="961"/>
      <c r="V3" s="961"/>
      <c r="W3" s="961"/>
      <c r="X3" s="961"/>
      <c r="Y3" s="961"/>
      <c r="Z3" s="961"/>
      <c r="AA3" s="961"/>
      <c r="AB3" s="961"/>
    </row>
    <row r="4" spans="1:28" x14ac:dyDescent="0.2">
      <c r="M4" s="961" t="s">
        <v>515</v>
      </c>
      <c r="O4" s="963">
        <v>1</v>
      </c>
      <c r="P4" s="961">
        <v>2</v>
      </c>
      <c r="Q4" s="961">
        <v>3</v>
      </c>
      <c r="R4" s="961">
        <v>4</v>
      </c>
      <c r="S4" s="961">
        <v>5</v>
      </c>
      <c r="T4" s="961">
        <v>6</v>
      </c>
      <c r="U4" s="961">
        <v>7</v>
      </c>
      <c r="V4" s="961">
        <v>8</v>
      </c>
      <c r="W4" s="961">
        <v>9</v>
      </c>
      <c r="X4" s="961">
        <v>10</v>
      </c>
      <c r="Y4" s="961">
        <v>11</v>
      </c>
      <c r="Z4" s="965">
        <v>12</v>
      </c>
      <c r="AA4" s="961" t="s">
        <v>398</v>
      </c>
      <c r="AB4" s="961" t="s">
        <v>2</v>
      </c>
    </row>
    <row r="5" spans="1:28" x14ac:dyDescent="0.2">
      <c r="M5" s="983">
        <v>170</v>
      </c>
      <c r="O5" s="964">
        <f>+M5/12</f>
        <v>14.166666666666666</v>
      </c>
      <c r="P5" s="32">
        <f>+O5</f>
        <v>14.166666666666666</v>
      </c>
      <c r="Q5" s="32">
        <f t="shared" ref="Q5:Z5" si="0">+P5</f>
        <v>14.166666666666666</v>
      </c>
      <c r="R5" s="32">
        <f t="shared" si="0"/>
        <v>14.166666666666666</v>
      </c>
      <c r="S5" s="32">
        <f t="shared" si="0"/>
        <v>14.166666666666666</v>
      </c>
      <c r="T5" s="32">
        <f t="shared" si="0"/>
        <v>14.166666666666666</v>
      </c>
      <c r="U5" s="32">
        <f t="shared" si="0"/>
        <v>14.166666666666666</v>
      </c>
      <c r="V5" s="32">
        <f t="shared" si="0"/>
        <v>14.166666666666666</v>
      </c>
      <c r="W5" s="32">
        <f t="shared" si="0"/>
        <v>14.166666666666666</v>
      </c>
      <c r="X5" s="32">
        <f t="shared" si="0"/>
        <v>14.166666666666666</v>
      </c>
      <c r="Y5" s="32">
        <f t="shared" si="0"/>
        <v>14.166666666666666</v>
      </c>
      <c r="Z5" s="966">
        <f t="shared" si="0"/>
        <v>14.166666666666666</v>
      </c>
      <c r="AA5" s="32">
        <f>SUM(O5:Z5)</f>
        <v>170</v>
      </c>
      <c r="AB5" s="961">
        <v>100</v>
      </c>
    </row>
    <row r="6" spans="1:28" x14ac:dyDescent="0.2">
      <c r="D6" s="1578" t="s">
        <v>523</v>
      </c>
      <c r="E6" s="1578"/>
      <c r="F6" s="1578"/>
      <c r="G6" s="1578"/>
      <c r="O6" s="963"/>
      <c r="R6" s="961"/>
      <c r="S6" s="961"/>
      <c r="T6" s="961"/>
      <c r="U6" s="961"/>
      <c r="V6" s="961"/>
      <c r="W6" s="961"/>
      <c r="X6" s="961"/>
      <c r="Y6" s="961"/>
      <c r="Z6" s="965"/>
      <c r="AA6" s="961"/>
      <c r="AB6" s="961"/>
    </row>
    <row r="7" spans="1:28" x14ac:dyDescent="0.2">
      <c r="D7" s="961" t="s">
        <v>516</v>
      </c>
      <c r="E7" s="961" t="s">
        <v>524</v>
      </c>
      <c r="F7" s="58" t="s">
        <v>527</v>
      </c>
      <c r="G7" s="961" t="s">
        <v>519</v>
      </c>
      <c r="M7" s="967" t="s">
        <v>50</v>
      </c>
      <c r="N7" s="967" t="s">
        <v>409</v>
      </c>
      <c r="O7" s="968">
        <f>+O5</f>
        <v>14.166666666666666</v>
      </c>
      <c r="P7" s="969">
        <f>+P5</f>
        <v>14.166666666666666</v>
      </c>
      <c r="Q7" s="970"/>
      <c r="R7" s="971"/>
      <c r="S7" s="971"/>
      <c r="T7" s="969">
        <f t="shared" ref="T7:Z7" si="1">+T5</f>
        <v>14.166666666666666</v>
      </c>
      <c r="U7" s="969">
        <f t="shared" si="1"/>
        <v>14.166666666666666</v>
      </c>
      <c r="V7" s="969">
        <f t="shared" si="1"/>
        <v>14.166666666666666</v>
      </c>
      <c r="W7" s="969">
        <f t="shared" si="1"/>
        <v>14.166666666666666</v>
      </c>
      <c r="X7" s="969">
        <f t="shared" si="1"/>
        <v>14.166666666666666</v>
      </c>
      <c r="Y7" s="969">
        <f t="shared" si="1"/>
        <v>14.166666666666666</v>
      </c>
      <c r="Z7" s="972">
        <f t="shared" si="1"/>
        <v>14.166666666666666</v>
      </c>
      <c r="AA7" s="969">
        <f>SUM(O7:Z7)</f>
        <v>127.50000000000001</v>
      </c>
      <c r="AB7" s="973">
        <f>+AA7/AA$5*100</f>
        <v>75.000000000000014</v>
      </c>
    </row>
    <row r="8" spans="1:28" x14ac:dyDescent="0.2">
      <c r="D8" s="961" t="s">
        <v>517</v>
      </c>
      <c r="E8" s="961" t="s">
        <v>525</v>
      </c>
      <c r="F8" s="58" t="s">
        <v>528</v>
      </c>
      <c r="G8" s="58" t="s">
        <v>526</v>
      </c>
      <c r="M8" s="974"/>
      <c r="N8" s="974" t="s">
        <v>514</v>
      </c>
      <c r="O8" s="975"/>
      <c r="P8" s="976"/>
      <c r="Q8" s="977">
        <v>14.2</v>
      </c>
      <c r="R8" s="978">
        <v>14.2</v>
      </c>
      <c r="S8" s="978">
        <v>14.2</v>
      </c>
      <c r="T8" s="976"/>
      <c r="U8" s="976"/>
      <c r="V8" s="976"/>
      <c r="W8" s="976"/>
      <c r="X8" s="976"/>
      <c r="Y8" s="976"/>
      <c r="Z8" s="979"/>
      <c r="AA8" s="976"/>
      <c r="AB8" s="977"/>
    </row>
    <row r="9" spans="1:28" x14ac:dyDescent="0.2">
      <c r="C9" s="961" t="s">
        <v>520</v>
      </c>
      <c r="D9" s="961">
        <v>3</v>
      </c>
      <c r="E9" s="961">
        <v>3</v>
      </c>
      <c r="F9" s="961">
        <v>1.5</v>
      </c>
      <c r="G9" s="961">
        <v>4.5</v>
      </c>
      <c r="O9" s="963"/>
      <c r="R9" s="961"/>
      <c r="S9" s="961"/>
      <c r="T9" s="961"/>
      <c r="U9" s="961"/>
      <c r="V9" s="961"/>
      <c r="W9" s="961"/>
      <c r="X9" s="961"/>
      <c r="Y9" s="961"/>
      <c r="Z9" s="965"/>
      <c r="AA9" s="961"/>
      <c r="AB9" s="961"/>
    </row>
    <row r="10" spans="1:28" x14ac:dyDescent="0.2">
      <c r="M10" s="967" t="s">
        <v>49</v>
      </c>
      <c r="N10" s="967" t="s">
        <v>409</v>
      </c>
      <c r="O10" s="968">
        <f>+O7</f>
        <v>14.166666666666666</v>
      </c>
      <c r="P10" s="969">
        <f>+P7</f>
        <v>14.166666666666666</v>
      </c>
      <c r="Q10" s="971"/>
      <c r="R10" s="971"/>
      <c r="S10" s="971"/>
      <c r="T10" s="982"/>
      <c r="U10" s="982"/>
      <c r="V10" s="982"/>
      <c r="W10" s="982"/>
      <c r="X10" s="982"/>
      <c r="Y10" s="969">
        <f>+Y7</f>
        <v>14.166666666666666</v>
      </c>
      <c r="Z10" s="972">
        <f>+Z7</f>
        <v>14.166666666666666</v>
      </c>
      <c r="AA10" s="969">
        <f>SUM(O10:Z10)</f>
        <v>56.666666666666664</v>
      </c>
      <c r="AB10" s="973">
        <f>+AA10/AA$5*100</f>
        <v>33.333333333333329</v>
      </c>
    </row>
    <row r="11" spans="1:28" x14ac:dyDescent="0.2">
      <c r="C11" s="961" t="s">
        <v>50</v>
      </c>
      <c r="D11" s="984"/>
      <c r="E11" s="987"/>
      <c r="F11" s="985"/>
      <c r="G11" s="985"/>
      <c r="I11" s="986"/>
      <c r="M11" s="974"/>
      <c r="N11" s="974" t="s">
        <v>514</v>
      </c>
      <c r="O11" s="980"/>
      <c r="P11" s="974"/>
      <c r="Q11" s="974">
        <v>14.2</v>
      </c>
      <c r="R11" s="974">
        <v>14.2</v>
      </c>
      <c r="S11" s="974">
        <v>14.2</v>
      </c>
      <c r="T11" s="974">
        <v>14.2</v>
      </c>
      <c r="U11" s="974">
        <v>14.2</v>
      </c>
      <c r="V11" s="974">
        <v>14.2</v>
      </c>
      <c r="W11" s="974">
        <v>14.2</v>
      </c>
      <c r="X11" s="974">
        <v>14.2</v>
      </c>
      <c r="Y11" s="974"/>
      <c r="Z11" s="981"/>
      <c r="AA11" s="974"/>
      <c r="AB11" s="974"/>
    </row>
    <row r="12" spans="1:28" x14ac:dyDescent="0.2">
      <c r="C12" s="961" t="s">
        <v>49</v>
      </c>
      <c r="D12" s="984"/>
      <c r="E12" s="984"/>
      <c r="F12" s="987"/>
      <c r="G12" s="985"/>
      <c r="O12" s="963"/>
      <c r="R12" s="961"/>
      <c r="S12" s="961"/>
      <c r="T12" s="961"/>
      <c r="U12" s="961"/>
      <c r="V12" s="961"/>
      <c r="W12" s="961"/>
      <c r="X12" s="961"/>
      <c r="Y12" s="961"/>
      <c r="Z12" s="965"/>
      <c r="AA12" s="961"/>
      <c r="AB12" s="961"/>
    </row>
    <row r="13" spans="1:28" x14ac:dyDescent="0.2">
      <c r="O13" s="963"/>
      <c r="R13" s="961"/>
      <c r="S13" s="961"/>
      <c r="T13" s="961"/>
      <c r="U13" s="961"/>
      <c r="V13" s="961"/>
      <c r="W13" s="961"/>
      <c r="X13" s="961"/>
      <c r="Y13" s="961"/>
      <c r="Z13" s="965"/>
      <c r="AA13" s="961"/>
      <c r="AB13" s="961"/>
    </row>
    <row r="14" spans="1:28" x14ac:dyDescent="0.2">
      <c r="O14" s="963"/>
      <c r="R14" s="961"/>
      <c r="S14" s="961"/>
      <c r="T14" s="961"/>
      <c r="U14" s="961"/>
      <c r="V14" s="961"/>
      <c r="W14" s="961"/>
      <c r="X14" s="961"/>
      <c r="Y14" s="961"/>
      <c r="Z14" s="965"/>
      <c r="AA14" s="961"/>
      <c r="AB14" s="961"/>
    </row>
    <row r="15" spans="1:28" x14ac:dyDescent="0.2">
      <c r="O15" s="963"/>
      <c r="R15" s="961"/>
      <c r="S15" s="961"/>
      <c r="T15" s="961"/>
      <c r="U15" s="961"/>
      <c r="V15" s="961"/>
      <c r="W15" s="961"/>
      <c r="X15" s="961"/>
      <c r="Y15" s="961"/>
      <c r="Z15" s="965"/>
      <c r="AA15" s="961"/>
      <c r="AB15" s="961"/>
    </row>
    <row r="16" spans="1:28" x14ac:dyDescent="0.2">
      <c r="C16" s="58" t="s">
        <v>521</v>
      </c>
      <c r="D16" s="984"/>
      <c r="I16" s="986" t="s">
        <v>522</v>
      </c>
      <c r="M16" s="961" t="s">
        <v>511</v>
      </c>
      <c r="O16" s="963" t="s">
        <v>512</v>
      </c>
      <c r="R16" s="961"/>
      <c r="S16" s="961"/>
      <c r="T16" s="961"/>
      <c r="U16" s="961"/>
      <c r="V16" s="961"/>
      <c r="W16" s="961"/>
      <c r="X16" s="961"/>
      <c r="Y16" s="961"/>
      <c r="Z16" s="965"/>
      <c r="AA16" s="961"/>
      <c r="AB16" s="961"/>
    </row>
    <row r="17" spans="1:29" x14ac:dyDescent="0.2">
      <c r="C17" s="988" t="s">
        <v>529</v>
      </c>
      <c r="D17" s="984"/>
      <c r="E17" s="987"/>
      <c r="I17" s="962" t="s">
        <v>530</v>
      </c>
      <c r="M17" s="961" t="s">
        <v>513</v>
      </c>
      <c r="O17" s="963">
        <v>1</v>
      </c>
      <c r="P17" s="961">
        <v>2</v>
      </c>
      <c r="Q17" s="961">
        <v>3</v>
      </c>
      <c r="R17" s="961">
        <v>4</v>
      </c>
      <c r="S17" s="961">
        <v>5</v>
      </c>
      <c r="T17" s="961">
        <v>6</v>
      </c>
      <c r="U17" s="961">
        <v>7</v>
      </c>
      <c r="V17" s="961">
        <v>8</v>
      </c>
      <c r="W17" s="961">
        <v>9</v>
      </c>
      <c r="X17" s="961">
        <v>10</v>
      </c>
      <c r="Y17" s="961">
        <v>11</v>
      </c>
      <c r="Z17" s="965">
        <v>12</v>
      </c>
      <c r="AA17" s="961" t="s">
        <v>398</v>
      </c>
      <c r="AB17" s="961" t="s">
        <v>2</v>
      </c>
    </row>
    <row r="18" spans="1:29" x14ac:dyDescent="0.2">
      <c r="C18" s="988" t="s">
        <v>531</v>
      </c>
      <c r="D18" s="984"/>
      <c r="E18" s="984"/>
      <c r="F18" s="987"/>
      <c r="I18" s="962" t="s">
        <v>532</v>
      </c>
      <c r="M18" s="983">
        <v>340</v>
      </c>
      <c r="O18" s="964">
        <f>+M18/12</f>
        <v>28.333333333333332</v>
      </c>
      <c r="P18" s="32">
        <f>+O18</f>
        <v>28.333333333333332</v>
      </c>
      <c r="Q18" s="32">
        <f t="shared" ref="Q18:Z18" si="2">+P18</f>
        <v>28.333333333333332</v>
      </c>
      <c r="R18" s="32">
        <f t="shared" si="2"/>
        <v>28.333333333333332</v>
      </c>
      <c r="S18" s="32">
        <f t="shared" si="2"/>
        <v>28.333333333333332</v>
      </c>
      <c r="T18" s="32">
        <f t="shared" si="2"/>
        <v>28.333333333333332</v>
      </c>
      <c r="U18" s="32">
        <f t="shared" si="2"/>
        <v>28.333333333333332</v>
      </c>
      <c r="V18" s="32">
        <f t="shared" si="2"/>
        <v>28.333333333333332</v>
      </c>
      <c r="W18" s="32">
        <f t="shared" si="2"/>
        <v>28.333333333333332</v>
      </c>
      <c r="X18" s="32">
        <f t="shared" si="2"/>
        <v>28.333333333333332</v>
      </c>
      <c r="Y18" s="32">
        <f t="shared" si="2"/>
        <v>28.333333333333332</v>
      </c>
      <c r="Z18" s="966">
        <f t="shared" si="2"/>
        <v>28.333333333333332</v>
      </c>
      <c r="AA18" s="32">
        <f>SUM(O18:Z18)</f>
        <v>340</v>
      </c>
      <c r="AB18" s="961">
        <v>100</v>
      </c>
    </row>
    <row r="19" spans="1:29" x14ac:dyDescent="0.2">
      <c r="O19" s="963"/>
      <c r="R19" s="961"/>
      <c r="S19" s="961"/>
      <c r="T19" s="961"/>
      <c r="U19" s="961"/>
      <c r="V19" s="961"/>
      <c r="W19" s="961"/>
      <c r="X19" s="961"/>
      <c r="Y19" s="961"/>
      <c r="Z19" s="965"/>
      <c r="AA19" s="961"/>
      <c r="AB19" s="961"/>
    </row>
    <row r="20" spans="1:29" x14ac:dyDescent="0.2">
      <c r="A20" s="989"/>
      <c r="B20" s="967"/>
      <c r="C20" s="967"/>
      <c r="D20" s="967"/>
      <c r="E20" s="1000" t="s">
        <v>520</v>
      </c>
      <c r="F20" s="991" t="s">
        <v>2</v>
      </c>
      <c r="O20" s="963"/>
      <c r="R20" s="961"/>
      <c r="S20" s="961"/>
      <c r="T20" s="961"/>
      <c r="U20" s="961"/>
      <c r="V20" s="961"/>
      <c r="W20" s="961"/>
      <c r="X20" s="961"/>
      <c r="Y20" s="961"/>
      <c r="Z20" s="965"/>
      <c r="AA20" s="961"/>
      <c r="AB20" s="961"/>
    </row>
    <row r="21" spans="1:29" x14ac:dyDescent="0.2">
      <c r="A21" s="989"/>
      <c r="B21" s="967"/>
      <c r="C21" s="990" t="s">
        <v>64</v>
      </c>
      <c r="D21" s="967">
        <v>340</v>
      </c>
      <c r="E21" s="1001"/>
      <c r="F21" s="997">
        <v>100</v>
      </c>
      <c r="M21" s="967" t="s">
        <v>50</v>
      </c>
      <c r="N21" s="967" t="s">
        <v>409</v>
      </c>
      <c r="O21" s="968">
        <f>+O18</f>
        <v>28.333333333333332</v>
      </c>
      <c r="P21" s="969">
        <f>+P18</f>
        <v>28.333333333333332</v>
      </c>
      <c r="Q21" s="971"/>
      <c r="R21" s="971"/>
      <c r="S21" s="971"/>
      <c r="T21" s="969">
        <f t="shared" ref="T21:Z21" si="3">+T18</f>
        <v>28.333333333333332</v>
      </c>
      <c r="U21" s="969">
        <f t="shared" si="3"/>
        <v>28.333333333333332</v>
      </c>
      <c r="V21" s="969">
        <f t="shared" si="3"/>
        <v>28.333333333333332</v>
      </c>
      <c r="W21" s="969">
        <f t="shared" si="3"/>
        <v>28.333333333333332</v>
      </c>
      <c r="X21" s="969">
        <f t="shared" si="3"/>
        <v>28.333333333333332</v>
      </c>
      <c r="Y21" s="969">
        <f t="shared" si="3"/>
        <v>28.333333333333332</v>
      </c>
      <c r="Z21" s="972">
        <f t="shared" si="3"/>
        <v>28.333333333333332</v>
      </c>
      <c r="AA21" s="969">
        <f>SUM(O21:Z21)</f>
        <v>255.00000000000003</v>
      </c>
      <c r="AB21" s="973">
        <f>+AA21/AA$18*100</f>
        <v>75.000000000000014</v>
      </c>
    </row>
    <row r="22" spans="1:29" x14ac:dyDescent="0.2">
      <c r="A22" s="524"/>
      <c r="B22" s="992"/>
      <c r="C22" s="993" t="s">
        <v>521</v>
      </c>
      <c r="D22" s="992">
        <v>170</v>
      </c>
      <c r="E22" s="1002">
        <v>9</v>
      </c>
      <c r="F22" s="994">
        <f>+D22/D$21</f>
        <v>0.5</v>
      </c>
      <c r="M22" s="974"/>
      <c r="N22" s="974" t="s">
        <v>514</v>
      </c>
      <c r="O22" s="980"/>
      <c r="P22" s="974"/>
      <c r="Q22" s="974">
        <v>28.3</v>
      </c>
      <c r="R22" s="974">
        <v>28.3</v>
      </c>
      <c r="S22" s="974">
        <v>28.3</v>
      </c>
      <c r="T22" s="974"/>
      <c r="U22" s="974"/>
      <c r="V22" s="974"/>
      <c r="W22" s="974"/>
      <c r="X22" s="974"/>
      <c r="Y22" s="974"/>
      <c r="Z22" s="981"/>
      <c r="AA22" s="974">
        <f>SUM(O22:Z22)</f>
        <v>84.9</v>
      </c>
      <c r="AB22" s="974"/>
    </row>
    <row r="23" spans="1:29" x14ac:dyDescent="0.2">
      <c r="A23" s="524"/>
      <c r="B23" s="992"/>
      <c r="C23" s="995" t="s">
        <v>529</v>
      </c>
      <c r="D23" s="992">
        <v>0</v>
      </c>
      <c r="E23" s="1002">
        <v>6</v>
      </c>
      <c r="F23" s="994">
        <f>+D23/D$21</f>
        <v>0</v>
      </c>
      <c r="O23" s="963"/>
      <c r="R23" s="961"/>
      <c r="S23" s="961"/>
      <c r="T23" s="961"/>
      <c r="U23" s="961"/>
      <c r="V23" s="961"/>
      <c r="W23" s="961"/>
      <c r="X23" s="961"/>
      <c r="Y23" s="961"/>
      <c r="Z23" s="965"/>
      <c r="AA23" s="961"/>
      <c r="AB23" s="961"/>
    </row>
    <row r="24" spans="1:29" x14ac:dyDescent="0.2">
      <c r="A24" s="996"/>
      <c r="B24" s="974"/>
      <c r="C24" s="998" t="s">
        <v>531</v>
      </c>
      <c r="D24" s="974">
        <f>+D21-D22-D23</f>
        <v>170</v>
      </c>
      <c r="E24" s="1003">
        <v>4.5</v>
      </c>
      <c r="F24" s="999">
        <f>+D24/D$21</f>
        <v>0.5</v>
      </c>
      <c r="O24" s="963"/>
      <c r="R24" s="961"/>
      <c r="S24" s="961"/>
      <c r="T24" s="961"/>
      <c r="U24" s="961"/>
      <c r="V24" s="961"/>
      <c r="W24" s="961"/>
      <c r="X24" s="961"/>
      <c r="Y24" s="961"/>
      <c r="Z24" s="965"/>
      <c r="AA24" s="961"/>
      <c r="AB24" s="961"/>
    </row>
    <row r="25" spans="1:29" x14ac:dyDescent="0.2">
      <c r="A25" s="996"/>
      <c r="B25" s="974"/>
      <c r="C25" s="974"/>
      <c r="D25" s="974" t="str">
        <f>IF((D22+D23+D24)=D21," ","Fehler")</f>
        <v xml:space="preserve"> </v>
      </c>
      <c r="E25" s="1004">
        <f>+F22*E22+F23*E23+F24*E24</f>
        <v>6.75</v>
      </c>
      <c r="F25" s="981"/>
      <c r="M25" s="967" t="s">
        <v>49</v>
      </c>
      <c r="N25" s="967" t="s">
        <v>409</v>
      </c>
      <c r="O25" s="968">
        <f>+O21</f>
        <v>28.333333333333332</v>
      </c>
      <c r="P25" s="969">
        <f>+P21</f>
        <v>28.333333333333332</v>
      </c>
      <c r="Q25" s="970">
        <f t="shared" ref="Q25:X25" si="4">IF(Q18&gt;(170/8),Q18-(170/8),0)</f>
        <v>7.0833333333333321</v>
      </c>
      <c r="R25" s="970">
        <f t="shared" si="4"/>
        <v>7.0833333333333321</v>
      </c>
      <c r="S25" s="970">
        <f t="shared" si="4"/>
        <v>7.0833333333333321</v>
      </c>
      <c r="T25" s="970">
        <f t="shared" si="4"/>
        <v>7.0833333333333321</v>
      </c>
      <c r="U25" s="970">
        <f t="shared" si="4"/>
        <v>7.0833333333333321</v>
      </c>
      <c r="V25" s="970">
        <f t="shared" si="4"/>
        <v>7.0833333333333321</v>
      </c>
      <c r="W25" s="970">
        <f t="shared" si="4"/>
        <v>7.0833333333333321</v>
      </c>
      <c r="X25" s="970">
        <f t="shared" si="4"/>
        <v>7.0833333333333321</v>
      </c>
      <c r="Y25" s="969">
        <f>+Y21</f>
        <v>28.333333333333332</v>
      </c>
      <c r="Z25" s="972">
        <f>+Z21</f>
        <v>28.333333333333332</v>
      </c>
      <c r="AA25" s="969">
        <f>SUM(O25:Z25)</f>
        <v>169.99999999999997</v>
      </c>
      <c r="AB25" s="973">
        <f>+AA25/AA$18*100</f>
        <v>49.999999999999986</v>
      </c>
    </row>
    <row r="26" spans="1:29" x14ac:dyDescent="0.2">
      <c r="M26" s="974"/>
      <c r="N26" s="974" t="s">
        <v>514</v>
      </c>
      <c r="O26" s="980"/>
      <c r="P26" s="974"/>
      <c r="Q26" s="976">
        <f>+Q18-Q25</f>
        <v>21.25</v>
      </c>
      <c r="R26" s="976">
        <f t="shared" ref="R26:X26" si="5">+R18-R25</f>
        <v>21.25</v>
      </c>
      <c r="S26" s="976">
        <f t="shared" si="5"/>
        <v>21.25</v>
      </c>
      <c r="T26" s="976">
        <f t="shared" si="5"/>
        <v>21.25</v>
      </c>
      <c r="U26" s="976">
        <f t="shared" si="5"/>
        <v>21.25</v>
      </c>
      <c r="V26" s="976">
        <f t="shared" si="5"/>
        <v>21.25</v>
      </c>
      <c r="W26" s="976">
        <f t="shared" si="5"/>
        <v>21.25</v>
      </c>
      <c r="X26" s="976">
        <f t="shared" si="5"/>
        <v>21.25</v>
      </c>
      <c r="Y26" s="974"/>
      <c r="Z26" s="981"/>
      <c r="AA26" s="974">
        <f>SUM(O26:Z26)</f>
        <v>170</v>
      </c>
      <c r="AB26" s="974"/>
    </row>
    <row r="27" spans="1:29" x14ac:dyDescent="0.2">
      <c r="R27" s="961"/>
      <c r="S27" s="961"/>
      <c r="T27" s="961"/>
      <c r="U27" s="961"/>
      <c r="V27" s="961"/>
      <c r="W27" s="961"/>
      <c r="X27" s="961"/>
      <c r="Y27" s="961"/>
      <c r="Z27" s="961"/>
      <c r="AA27" s="961"/>
      <c r="AB27" s="961"/>
    </row>
    <row r="31" spans="1:29" x14ac:dyDescent="0.2">
      <c r="M31" s="961" t="s">
        <v>511</v>
      </c>
      <c r="O31" s="963" t="s">
        <v>512</v>
      </c>
      <c r="R31" s="961"/>
      <c r="S31" s="961"/>
      <c r="T31" s="961"/>
      <c r="U31" s="961"/>
      <c r="V31" s="961"/>
      <c r="W31" s="961"/>
      <c r="X31" s="961"/>
      <c r="Y31" s="961"/>
      <c r="Z31" s="965"/>
      <c r="AA31" s="961"/>
      <c r="AB31" s="961"/>
    </row>
    <row r="32" spans="1:29" x14ac:dyDescent="0.2">
      <c r="M32" s="961" t="s">
        <v>513</v>
      </c>
      <c r="O32" s="963">
        <v>1</v>
      </c>
      <c r="P32" s="961">
        <v>2</v>
      </c>
      <c r="Q32" s="961">
        <v>3</v>
      </c>
      <c r="R32" s="961">
        <v>4</v>
      </c>
      <c r="S32" s="961">
        <v>5</v>
      </c>
      <c r="T32" s="961">
        <v>6</v>
      </c>
      <c r="U32" s="961">
        <v>7</v>
      </c>
      <c r="V32" s="961">
        <v>8</v>
      </c>
      <c r="W32" s="961">
        <v>9</v>
      </c>
      <c r="X32" s="961">
        <v>10</v>
      </c>
      <c r="Y32" s="961">
        <v>11</v>
      </c>
      <c r="Z32" s="965">
        <v>12</v>
      </c>
      <c r="AA32" s="961" t="s">
        <v>398</v>
      </c>
      <c r="AB32" s="961" t="s">
        <v>2</v>
      </c>
      <c r="AC32" s="1011" t="s">
        <v>520</v>
      </c>
    </row>
    <row r="33" spans="11:29" x14ac:dyDescent="0.2">
      <c r="M33" s="983">
        <v>170</v>
      </c>
      <c r="O33" s="964">
        <f>+M33/12</f>
        <v>14.166666666666666</v>
      </c>
      <c r="P33" s="32">
        <f t="shared" ref="P33:Z33" si="6">+O33</f>
        <v>14.166666666666666</v>
      </c>
      <c r="Q33" s="32">
        <f t="shared" si="6"/>
        <v>14.166666666666666</v>
      </c>
      <c r="R33" s="32">
        <f t="shared" si="6"/>
        <v>14.166666666666666</v>
      </c>
      <c r="S33" s="32">
        <f t="shared" si="6"/>
        <v>14.166666666666666</v>
      </c>
      <c r="T33" s="32">
        <f t="shared" si="6"/>
        <v>14.166666666666666</v>
      </c>
      <c r="U33" s="32">
        <f t="shared" si="6"/>
        <v>14.166666666666666</v>
      </c>
      <c r="V33" s="32">
        <f t="shared" si="6"/>
        <v>14.166666666666666</v>
      </c>
      <c r="W33" s="32">
        <f t="shared" si="6"/>
        <v>14.166666666666666</v>
      </c>
      <c r="X33" s="32">
        <f t="shared" si="6"/>
        <v>14.166666666666666</v>
      </c>
      <c r="Y33" s="32">
        <f t="shared" si="6"/>
        <v>14.166666666666666</v>
      </c>
      <c r="Z33" s="966">
        <f t="shared" si="6"/>
        <v>14.166666666666666</v>
      </c>
      <c r="AA33" s="32">
        <f>SUM(O33:Z33)</f>
        <v>170</v>
      </c>
      <c r="AB33" s="961">
        <v>100</v>
      </c>
    </row>
    <row r="34" spans="11:29" x14ac:dyDescent="0.2">
      <c r="O34" s="963"/>
      <c r="R34" s="961"/>
      <c r="S34" s="961"/>
      <c r="T34" s="961"/>
      <c r="U34" s="961"/>
      <c r="V34" s="961"/>
      <c r="W34" s="961"/>
      <c r="X34" s="961"/>
      <c r="Y34" s="961"/>
      <c r="Z34" s="965"/>
      <c r="AA34" s="961"/>
      <c r="AB34" s="961"/>
    </row>
    <row r="35" spans="11:29" x14ac:dyDescent="0.2">
      <c r="O35" s="963"/>
      <c r="R35" s="961"/>
      <c r="S35" s="961"/>
      <c r="T35" s="961"/>
      <c r="U35" s="961"/>
      <c r="V35" s="961"/>
      <c r="W35" s="961"/>
      <c r="X35" s="961"/>
      <c r="Y35" s="961"/>
      <c r="Z35" s="965"/>
      <c r="AA35" s="961"/>
      <c r="AB35" s="961"/>
    </row>
    <row r="36" spans="11:29" x14ac:dyDescent="0.2">
      <c r="K36" s="983">
        <v>0</v>
      </c>
      <c r="M36" s="967"/>
      <c r="N36" s="967" t="s">
        <v>409</v>
      </c>
      <c r="O36" s="1009">
        <f>+O33+Z36-O38</f>
        <v>-14.166666666666442</v>
      </c>
      <c r="P36" s="1013">
        <f>+P33+O36-P38</f>
        <v>2.2382096176443156E-13</v>
      </c>
      <c r="Q36" s="1009">
        <f>+Q33+K36-Q38</f>
        <v>-28.333333333333286</v>
      </c>
      <c r="R36" s="1009">
        <f t="shared" ref="R36:Z36" si="7">+R33+Q36-R38</f>
        <v>-56.666666666666572</v>
      </c>
      <c r="S36" s="1009">
        <f t="shared" si="7"/>
        <v>-84.999999999999858</v>
      </c>
      <c r="T36" s="1009">
        <f t="shared" si="7"/>
        <v>-84.999999999999829</v>
      </c>
      <c r="U36" s="1009">
        <f t="shared" si="7"/>
        <v>-84.999999999999801</v>
      </c>
      <c r="V36" s="1009">
        <f t="shared" si="7"/>
        <v>-84.999999999999773</v>
      </c>
      <c r="W36" s="1009">
        <f t="shared" si="7"/>
        <v>-70.833333333333101</v>
      </c>
      <c r="X36" s="1009">
        <f t="shared" si="7"/>
        <v>-56.666666666666437</v>
      </c>
      <c r="Y36" s="1009">
        <f t="shared" si="7"/>
        <v>-42.499999999999773</v>
      </c>
      <c r="Z36" s="1009">
        <f t="shared" si="7"/>
        <v>-28.333333333333108</v>
      </c>
      <c r="AA36" s="969">
        <f>MIN(O36:Z36)</f>
        <v>-84.999999999999858</v>
      </c>
      <c r="AB36" s="1006"/>
    </row>
    <row r="37" spans="11:29" x14ac:dyDescent="0.2">
      <c r="M37" s="993" t="s">
        <v>409</v>
      </c>
      <c r="N37" s="993">
        <f>+AA36*-1</f>
        <v>84.999999999999858</v>
      </c>
      <c r="O37" s="1008">
        <f>+O36+$N$37</f>
        <v>70.833333333333414</v>
      </c>
      <c r="P37" s="1008">
        <f t="shared" ref="P37:Z37" si="8">+P36+$N$37</f>
        <v>85.000000000000085</v>
      </c>
      <c r="Q37" s="1008">
        <f t="shared" si="8"/>
        <v>56.666666666666572</v>
      </c>
      <c r="R37" s="1008">
        <f t="shared" si="8"/>
        <v>28.333333333333286</v>
      </c>
      <c r="S37" s="1008">
        <f t="shared" si="8"/>
        <v>0</v>
      </c>
      <c r="T37" s="1008">
        <f t="shared" si="8"/>
        <v>0</v>
      </c>
      <c r="U37" s="1008">
        <f t="shared" si="8"/>
        <v>0</v>
      </c>
      <c r="V37" s="1008">
        <f t="shared" si="8"/>
        <v>0</v>
      </c>
      <c r="W37" s="1008">
        <f t="shared" si="8"/>
        <v>14.166666666666757</v>
      </c>
      <c r="X37" s="1008">
        <f t="shared" si="8"/>
        <v>28.333333333333421</v>
      </c>
      <c r="Y37" s="1008">
        <f t="shared" si="8"/>
        <v>42.500000000000085</v>
      </c>
      <c r="Z37" s="1008">
        <f t="shared" si="8"/>
        <v>56.66666666666675</v>
      </c>
      <c r="AA37" s="1008">
        <f>MAX(O37:Z37)</f>
        <v>85.000000000000085</v>
      </c>
      <c r="AB37" s="1010">
        <f>+AA37/M33</f>
        <v>0.50000000000000056</v>
      </c>
      <c r="AC37" s="460">
        <f>12*AB37</f>
        <v>6.0000000000000071</v>
      </c>
    </row>
    <row r="38" spans="11:29" x14ac:dyDescent="0.2">
      <c r="M38" s="974"/>
      <c r="N38" s="1005" t="s">
        <v>534</v>
      </c>
      <c r="O38" s="975">
        <f>SUM(O40:O42)</f>
        <v>0</v>
      </c>
      <c r="P38" s="975">
        <f t="shared" ref="P38:Z38" si="9">SUM(P40:P42)</f>
        <v>0</v>
      </c>
      <c r="Q38" s="975">
        <f t="shared" si="9"/>
        <v>42.49999999999995</v>
      </c>
      <c r="R38" s="975">
        <f t="shared" si="9"/>
        <v>42.49999999999995</v>
      </c>
      <c r="S38" s="975">
        <f t="shared" si="9"/>
        <v>42.49999999999995</v>
      </c>
      <c r="T38" s="975">
        <f t="shared" si="9"/>
        <v>14.16666666666665</v>
      </c>
      <c r="U38" s="975">
        <f t="shared" si="9"/>
        <v>14.16666666666665</v>
      </c>
      <c r="V38" s="975">
        <f t="shared" si="9"/>
        <v>14.16666666666665</v>
      </c>
      <c r="W38" s="975">
        <f t="shared" si="9"/>
        <v>0</v>
      </c>
      <c r="X38" s="975">
        <f t="shared" si="9"/>
        <v>0</v>
      </c>
      <c r="Y38" s="975">
        <f t="shared" si="9"/>
        <v>0</v>
      </c>
      <c r="Z38" s="975">
        <f t="shared" si="9"/>
        <v>0</v>
      </c>
      <c r="AA38" s="974">
        <f>SUM(O38:Z38)</f>
        <v>169.99999999999983</v>
      </c>
      <c r="AB38" s="974"/>
    </row>
    <row r="39" spans="11:29" x14ac:dyDescent="0.2">
      <c r="O39" s="963"/>
      <c r="R39" s="961"/>
      <c r="S39" s="961"/>
      <c r="T39" s="961"/>
      <c r="U39" s="961"/>
      <c r="V39" s="961"/>
      <c r="W39" s="961"/>
      <c r="X39" s="961"/>
      <c r="Y39" s="961"/>
      <c r="Z39" s="965"/>
      <c r="AA39" s="961"/>
      <c r="AB39" s="961"/>
    </row>
    <row r="40" spans="11:29" x14ac:dyDescent="0.2">
      <c r="N40" s="58" t="s">
        <v>533</v>
      </c>
      <c r="O40" s="963"/>
      <c r="Q40" s="1007">
        <f>+K36/3</f>
        <v>0</v>
      </c>
      <c r="R40" s="1007">
        <f>+Q40</f>
        <v>0</v>
      </c>
      <c r="S40" s="1007">
        <f>+R40</f>
        <v>0</v>
      </c>
      <c r="T40" s="961"/>
      <c r="U40" s="961"/>
      <c r="V40" s="961"/>
      <c r="W40" s="961"/>
      <c r="X40" s="961"/>
      <c r="Y40" s="961"/>
      <c r="Z40" s="965"/>
      <c r="AA40" s="961"/>
      <c r="AB40" s="961"/>
    </row>
    <row r="41" spans="11:29" x14ac:dyDescent="0.2">
      <c r="L41" s="58" t="s">
        <v>39</v>
      </c>
      <c r="M41" s="967">
        <v>1</v>
      </c>
      <c r="N41" s="990" t="s">
        <v>50</v>
      </c>
      <c r="O41" s="968"/>
      <c r="P41" s="969"/>
      <c r="Q41" s="970">
        <f>28.3333333333333*1.5*$M$41</f>
        <v>42.49999999999995</v>
      </c>
      <c r="R41" s="970">
        <f>28.3333333333333*1.5*$M$41</f>
        <v>42.49999999999995</v>
      </c>
      <c r="S41" s="970">
        <f>28.3333333333333*1.5*$M$41</f>
        <v>42.49999999999995</v>
      </c>
      <c r="T41" s="970">
        <f>28.3333333333333/2*$M$41</f>
        <v>14.16666666666665</v>
      </c>
      <c r="U41" s="970">
        <f>28.3333333333333/2*$M$41</f>
        <v>14.16666666666665</v>
      </c>
      <c r="V41" s="970">
        <f>28.3333333333333/2*$M$41</f>
        <v>14.16666666666665</v>
      </c>
      <c r="W41" s="1006"/>
      <c r="X41" s="1006"/>
      <c r="Y41" s="969"/>
      <c r="Z41" s="972"/>
      <c r="AA41" s="969">
        <f>SUM(O41:Z41)</f>
        <v>169.99999999999983</v>
      </c>
      <c r="AB41" s="1006"/>
    </row>
    <row r="42" spans="11:29" x14ac:dyDescent="0.2">
      <c r="M42" s="974">
        <v>0</v>
      </c>
      <c r="N42" s="1005" t="s">
        <v>518</v>
      </c>
      <c r="O42" s="980"/>
      <c r="P42" s="977"/>
      <c r="Q42" s="1012">
        <f>35*$M$42</f>
        <v>0</v>
      </c>
      <c r="R42" s="1012">
        <f>36*$M$42</f>
        <v>0</v>
      </c>
      <c r="S42" s="1012">
        <f>35*$M$42</f>
        <v>0</v>
      </c>
      <c r="T42" s="1012">
        <f>22.5*$M$42</f>
        <v>0</v>
      </c>
      <c r="U42" s="1012">
        <f>17.5*$M$42</f>
        <v>0</v>
      </c>
      <c r="V42" s="1012">
        <f>10*$M$42</f>
        <v>0</v>
      </c>
      <c r="W42" s="1012">
        <f>9*$M$42</f>
        <v>0</v>
      </c>
      <c r="X42" s="1012">
        <f>5*$M$42</f>
        <v>0</v>
      </c>
      <c r="Y42" s="1012">
        <v>0</v>
      </c>
      <c r="Z42" s="981"/>
      <c r="AA42" s="974">
        <f>SUM(O42:Z42)</f>
        <v>0</v>
      </c>
      <c r="AB42" s="974"/>
    </row>
    <row r="55" spans="1:17" x14ac:dyDescent="0.2">
      <c r="A55" s="961"/>
      <c r="Q55"/>
    </row>
  </sheetData>
  <mergeCells count="1">
    <mergeCell ref="D6:G6"/>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
  <sheetViews>
    <sheetView workbookViewId="0"/>
  </sheetViews>
  <sheetFormatPr baseColWidth="10" defaultRowHeight="12.7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CE154"/>
  <sheetViews>
    <sheetView topLeftCell="A19" zoomScaleNormal="100" zoomScaleSheetLayoutView="85" workbookViewId="0">
      <selection activeCell="P5" sqref="P5"/>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1" style="15" customWidth="1"/>
    <col min="12" max="12" width="4.85546875" style="15" customWidth="1"/>
    <col min="13" max="13" width="12.42578125" style="594" customWidth="1"/>
    <col min="14" max="14" width="8.85546875" style="594" customWidth="1"/>
    <col min="15" max="15" width="2.7109375" style="594" customWidth="1"/>
    <col min="16" max="17" width="10" style="594" customWidth="1"/>
    <col min="18" max="18" width="6.28515625" style="594" customWidth="1"/>
    <col min="19" max="19" width="8.85546875" style="594" customWidth="1"/>
    <col min="20" max="20" width="5.28515625" style="594" customWidth="1"/>
    <col min="21" max="21" width="6.42578125" style="594" customWidth="1"/>
    <col min="22" max="23" width="12.28515625" style="594" customWidth="1"/>
    <col min="24" max="26" width="8.7109375" style="594" customWidth="1"/>
    <col min="27" max="27" width="11.140625" style="594" customWidth="1"/>
    <col min="28" max="30" width="6.28515625" style="594" customWidth="1"/>
    <col min="31" max="31" width="7" style="594" customWidth="1"/>
    <col min="32" max="33" width="5.28515625" style="594" customWidth="1"/>
    <col min="34" max="35" width="5.85546875" style="594" customWidth="1"/>
    <col min="36" max="36" width="6.140625" style="594" customWidth="1"/>
    <col min="37" max="38" width="5.28515625" style="594" customWidth="1"/>
    <col min="39" max="39" width="8.5703125" style="594" customWidth="1"/>
    <col min="40" max="40" width="5.28515625" style="594" customWidth="1"/>
    <col min="41" max="41" width="6.28515625" style="594" customWidth="1"/>
    <col min="42" max="42" width="9.85546875" style="594" customWidth="1"/>
    <col min="43" max="45" width="5.7109375" style="594" customWidth="1"/>
    <col min="46" max="46" width="7" style="594" customWidth="1"/>
    <col min="47" max="55" width="5.7109375" style="594" customWidth="1"/>
    <col min="56" max="56" width="11" style="594" customWidth="1"/>
    <col min="57" max="68" width="11.85546875" style="594" customWidth="1"/>
    <col min="69" max="69" width="12.42578125" style="594" customWidth="1"/>
    <col min="70" max="73" width="11.85546875" style="594" customWidth="1"/>
    <col min="74" max="83" width="11.85546875" style="847" customWidth="1"/>
    <col min="84" max="93" width="11.42578125" style="847" customWidth="1"/>
    <col min="94" max="16384" width="11.42578125" style="847"/>
  </cols>
  <sheetData>
    <row r="1" spans="1:50" ht="20.25" customHeight="1" x14ac:dyDescent="0.2">
      <c r="A1" s="1393" t="s">
        <v>54</v>
      </c>
      <c r="B1" s="1393"/>
      <c r="C1" s="1393"/>
      <c r="D1" s="1393"/>
      <c r="E1" s="1393"/>
      <c r="F1" s="1393"/>
      <c r="G1" s="1393"/>
      <c r="H1" s="1393"/>
      <c r="I1" s="14"/>
      <c r="J1" s="13"/>
    </row>
    <row r="2" spans="1:50" ht="15.75" customHeight="1" x14ac:dyDescent="0.2">
      <c r="A2" s="13"/>
      <c r="B2" s="16"/>
      <c r="C2" s="14" t="s">
        <v>555</v>
      </c>
      <c r="D2" s="16"/>
      <c r="E2" s="16"/>
      <c r="F2" s="16"/>
      <c r="G2" s="16"/>
      <c r="H2" s="16"/>
      <c r="I2" s="17"/>
      <c r="J2" s="13"/>
    </row>
    <row r="3" spans="1:50" ht="15" customHeight="1" x14ac:dyDescent="0.2">
      <c r="A3" s="550" t="s">
        <v>554</v>
      </c>
      <c r="B3" s="550"/>
      <c r="C3" s="550"/>
      <c r="D3" s="550"/>
      <c r="E3" s="1016"/>
      <c r="F3" s="1016"/>
      <c r="G3" s="1016"/>
      <c r="H3" s="1016"/>
      <c r="I3" s="1016"/>
      <c r="J3" s="13"/>
    </row>
    <row r="4" spans="1:50" x14ac:dyDescent="0.2">
      <c r="A4" s="13"/>
      <c r="B4" s="13"/>
      <c r="C4" s="13"/>
      <c r="D4" s="13"/>
      <c r="E4" s="13"/>
      <c r="F4" s="13"/>
      <c r="G4" s="13"/>
      <c r="H4" s="13"/>
      <c r="I4" s="18"/>
      <c r="J4" s="13"/>
    </row>
    <row r="5" spans="1:50" ht="21" customHeight="1" x14ac:dyDescent="0.2">
      <c r="A5" s="19" t="s">
        <v>18</v>
      </c>
      <c r="B5" s="51"/>
      <c r="C5" s="20" t="s">
        <v>23</v>
      </c>
      <c r="D5" s="531">
        <v>2018</v>
      </c>
      <c r="E5" s="21"/>
      <c r="F5" s="22"/>
      <c r="G5" s="23" t="s">
        <v>29</v>
      </c>
      <c r="H5" s="13"/>
      <c r="I5" s="13"/>
    </row>
    <row r="6" spans="1:50" ht="21" customHeight="1" x14ac:dyDescent="0.2">
      <c r="A6" s="19" t="s">
        <v>19</v>
      </c>
      <c r="B6" s="1408"/>
      <c r="C6" s="1409"/>
      <c r="D6" s="1409"/>
      <c r="E6" s="672"/>
      <c r="F6" s="22"/>
      <c r="G6" s="23" t="s">
        <v>30</v>
      </c>
      <c r="H6" s="13"/>
      <c r="I6" s="13"/>
    </row>
    <row r="7" spans="1:50" ht="21" customHeight="1" x14ac:dyDescent="0.2">
      <c r="A7" s="19" t="s">
        <v>20</v>
      </c>
      <c r="B7" s="1394"/>
      <c r="C7" s="1395"/>
      <c r="D7" s="1395"/>
      <c r="E7" s="672"/>
      <c r="F7" s="13"/>
      <c r="G7" s="22"/>
      <c r="H7" s="23" t="s">
        <v>32</v>
      </c>
      <c r="I7" s="13"/>
    </row>
    <row r="8" spans="1:50" ht="21" customHeight="1" x14ac:dyDescent="0.2">
      <c r="A8" s="19" t="s">
        <v>21</v>
      </c>
      <c r="B8" s="1394"/>
      <c r="C8" s="1395"/>
      <c r="D8" s="1395"/>
      <c r="E8" s="672"/>
      <c r="F8" s="22"/>
      <c r="G8" s="23" t="s">
        <v>31</v>
      </c>
      <c r="H8" s="13"/>
      <c r="I8" s="13"/>
    </row>
    <row r="9" spans="1:50" ht="21" customHeight="1" x14ac:dyDescent="0.2">
      <c r="A9" s="19" t="s">
        <v>22</v>
      </c>
      <c r="B9" s="1394"/>
      <c r="C9" s="1395"/>
      <c r="D9" s="1395"/>
      <c r="E9" s="672"/>
      <c r="F9" s="13"/>
      <c r="G9" s="22"/>
      <c r="H9" s="23" t="s">
        <v>33</v>
      </c>
      <c r="I9" s="13"/>
    </row>
    <row r="10" spans="1:50" ht="9" customHeight="1" x14ac:dyDescent="0.2">
      <c r="A10" s="19"/>
      <c r="B10" s="671"/>
      <c r="C10" s="672"/>
      <c r="D10" s="672"/>
      <c r="E10" s="672"/>
      <c r="F10" s="673" t="str">
        <f>IF(F6+F8&lt;&gt;F5,"Flächenangaben nicht plausibel",IF(G7&gt;F6,"Flächenangaben nicht plausibel",IF(G9&gt;F8,"Flächenangaben nicht plausibel"," ")))</f>
        <v xml:space="preserve"> </v>
      </c>
      <c r="G10" s="29"/>
      <c r="H10" s="23"/>
      <c r="I10" s="13"/>
      <c r="J10" s="13"/>
    </row>
    <row r="11" spans="1:50" ht="10.5" customHeight="1" x14ac:dyDescent="0.2">
      <c r="A11" s="19"/>
      <c r="B11" s="676" t="str">
        <f>IF(AP41=2,IF(F5&lt;0.001,"Flächenangaben nicht plausibel"," ")," ")</f>
        <v xml:space="preserve"> </v>
      </c>
      <c r="C11" s="672"/>
      <c r="D11" s="672"/>
      <c r="E11" s="672"/>
      <c r="F11" s="1396"/>
      <c r="G11" s="1410" t="s">
        <v>53</v>
      </c>
      <c r="H11" s="1410"/>
      <c r="I11" s="1410"/>
      <c r="J11" s="1410"/>
    </row>
    <row r="12" spans="1:50" ht="10.5" customHeight="1" thickBot="1" x14ac:dyDescent="0.25">
      <c r="A12" s="19"/>
      <c r="B12" s="676" t="str">
        <f>IF(AP41=2,IF(B13&lt;3000,"Milchleistung nicht plausibel"," ")," ")</f>
        <v xml:space="preserve"> </v>
      </c>
      <c r="C12" s="672"/>
      <c r="D12" s="672"/>
      <c r="E12" s="672"/>
      <c r="F12" s="1490"/>
      <c r="G12" s="1410"/>
      <c r="H12" s="1410"/>
      <c r="I12" s="1410"/>
      <c r="J12" s="1410"/>
    </row>
    <row r="13" spans="1:50" ht="21" customHeight="1" thickBot="1" x14ac:dyDescent="0.25">
      <c r="A13" s="19" t="s">
        <v>24</v>
      </c>
      <c r="B13" s="25">
        <v>10000</v>
      </c>
      <c r="C13" s="13" t="s">
        <v>25</v>
      </c>
      <c r="D13" s="13"/>
      <c r="E13" s="19"/>
      <c r="F13" s="57"/>
      <c r="G13" s="551" t="s">
        <v>537</v>
      </c>
      <c r="I13" s="23"/>
      <c r="J13" s="13"/>
      <c r="N13" s="551" t="s">
        <v>454</v>
      </c>
      <c r="T13" s="1014">
        <f>IF(W13=1,0,100)</f>
        <v>100</v>
      </c>
      <c r="W13" s="594">
        <v>2</v>
      </c>
      <c r="X13" s="1015" t="s">
        <v>508</v>
      </c>
      <c r="AU13" s="595">
        <f>IF(F5=0,0,+(F8-G9)/(F5-G7-G9))</f>
        <v>0</v>
      </c>
      <c r="AV13" s="595"/>
      <c r="AW13" s="595"/>
      <c r="AX13" s="594" t="s">
        <v>38</v>
      </c>
    </row>
    <row r="14" spans="1:50" ht="21" customHeight="1" x14ac:dyDescent="0.2">
      <c r="A14" s="19" t="s">
        <v>35</v>
      </c>
      <c r="B14" s="778"/>
      <c r="C14" s="19" t="s">
        <v>36</v>
      </c>
      <c r="D14" s="13"/>
      <c r="E14" s="13"/>
      <c r="F14" s="13"/>
      <c r="G14" s="13"/>
      <c r="H14" s="13"/>
      <c r="I14" s="13"/>
      <c r="J14" s="13"/>
      <c r="X14" s="1015" t="s">
        <v>507</v>
      </c>
    </row>
    <row r="15" spans="1:50" ht="12.75" customHeight="1" x14ac:dyDescent="0.2">
      <c r="A15" s="55"/>
      <c r="B15" s="867"/>
      <c r="E15" s="13"/>
      <c r="F15" s="13"/>
      <c r="G15" s="13"/>
      <c r="H15" s="13"/>
      <c r="I15" s="13"/>
      <c r="J15" s="13"/>
    </row>
    <row r="16" spans="1:50" ht="15" customHeight="1" thickBot="1" x14ac:dyDescent="0.25">
      <c r="A16" s="19"/>
      <c r="B16" s="54" t="str">
        <f>IF((G42+G43+G44)&gt;1,IF(B14&lt;10,"Bitte Niederschlag eingeben"," ")," ")</f>
        <v xml:space="preserve"> </v>
      </c>
      <c r="C16" s="19"/>
      <c r="D16" s="13"/>
      <c r="E16" s="13"/>
      <c r="F16" s="13"/>
      <c r="G16" s="24"/>
      <c r="H16" s="13"/>
      <c r="I16" s="13"/>
      <c r="J16" s="13"/>
      <c r="AB16" s="596"/>
      <c r="AC16" s="596"/>
      <c r="AD16" s="596"/>
      <c r="AE16" s="596"/>
    </row>
    <row r="17" spans="1:83" s="848" customFormat="1" ht="15.75" thickBot="1" x14ac:dyDescent="0.25">
      <c r="A17" s="940" t="s">
        <v>488</v>
      </c>
      <c r="B17" s="941"/>
      <c r="C17" s="941"/>
      <c r="D17" s="941"/>
      <c r="E17" s="941"/>
      <c r="F17" s="941"/>
      <c r="G17" s="941"/>
      <c r="H17" s="941"/>
      <c r="I17" s="941"/>
      <c r="J17" s="942"/>
      <c r="K17" s="27"/>
      <c r="L17" s="2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597"/>
      <c r="AN17" s="597"/>
      <c r="AO17" s="597"/>
      <c r="AP17" s="597"/>
      <c r="AQ17" s="597"/>
      <c r="AR17" s="597"/>
      <c r="AS17" s="597"/>
      <c r="AT17" s="597"/>
      <c r="AU17" s="597"/>
      <c r="AV17" s="597"/>
      <c r="AW17" s="597"/>
      <c r="AX17" s="597"/>
      <c r="AY17" s="597"/>
      <c r="AZ17" s="597"/>
      <c r="BA17" s="597"/>
      <c r="BB17" s="597"/>
      <c r="BC17" s="597"/>
      <c r="BD17" s="597"/>
      <c r="BE17" s="597"/>
      <c r="BF17" s="597"/>
      <c r="BG17" s="597"/>
      <c r="BH17" s="597"/>
      <c r="BI17" s="597"/>
      <c r="BJ17" s="597"/>
      <c r="BK17" s="597"/>
      <c r="BL17" s="597"/>
      <c r="BM17" s="597"/>
      <c r="BN17" s="597"/>
      <c r="BO17" s="597"/>
      <c r="BP17" s="597"/>
      <c r="BQ17" s="597"/>
      <c r="BR17" s="597"/>
      <c r="BS17" s="597"/>
      <c r="BT17" s="597"/>
      <c r="BU17" s="597"/>
    </row>
    <row r="18" spans="1:83" s="848" customFormat="1" ht="0.75" customHeight="1" x14ac:dyDescent="0.2">
      <c r="A18" s="1"/>
      <c r="B18" s="26"/>
      <c r="C18" s="26"/>
      <c r="D18" s="26"/>
      <c r="E18" s="26"/>
      <c r="F18" s="26"/>
      <c r="G18" s="26"/>
      <c r="H18" s="26"/>
      <c r="I18" s="26"/>
      <c r="J18" s="26"/>
      <c r="K18" s="27"/>
      <c r="L18" s="2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c r="AN18" s="597"/>
      <c r="AO18" s="597"/>
      <c r="AP18" s="597"/>
      <c r="AQ18" s="597"/>
      <c r="AR18" s="597"/>
      <c r="AS18" s="597"/>
      <c r="AT18" s="597"/>
      <c r="AU18" s="597"/>
      <c r="AV18" s="597"/>
      <c r="AW18" s="597"/>
      <c r="AX18" s="597"/>
      <c r="AY18" s="597"/>
      <c r="AZ18" s="597"/>
      <c r="BA18" s="597"/>
      <c r="BB18" s="597"/>
      <c r="BC18" s="597"/>
      <c r="BD18" s="597"/>
      <c r="BE18" s="597"/>
      <c r="BF18" s="597"/>
      <c r="BG18" s="597"/>
      <c r="BH18" s="597"/>
      <c r="BI18" s="597"/>
      <c r="BJ18" s="597"/>
      <c r="BK18" s="597"/>
      <c r="BL18" s="597"/>
      <c r="BM18" s="597"/>
      <c r="BN18" s="597"/>
      <c r="BO18" s="597"/>
      <c r="BP18" s="597"/>
      <c r="BQ18" s="597"/>
      <c r="BR18" s="597"/>
      <c r="BS18" s="597"/>
      <c r="BT18" s="597"/>
      <c r="BU18" s="597"/>
    </row>
    <row r="19" spans="1:83" s="849" customFormat="1" ht="6.75" customHeight="1" thickBot="1" x14ac:dyDescent="0.25">
      <c r="A19" s="28"/>
      <c r="B19" s="1"/>
      <c r="C19" s="1"/>
      <c r="D19" s="1"/>
      <c r="E19" s="1"/>
      <c r="F19" s="1"/>
      <c r="G19" s="1"/>
      <c r="H19" s="1"/>
      <c r="I19" s="1"/>
      <c r="J19" s="1"/>
      <c r="K19" s="28"/>
      <c r="L19" s="28"/>
      <c r="M19" s="598"/>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598"/>
      <c r="AN19" s="598"/>
      <c r="AO19" s="598"/>
      <c r="AP19" s="598"/>
      <c r="AQ19" s="598"/>
      <c r="AR19" s="598"/>
      <c r="AS19" s="598"/>
      <c r="AT19" s="598"/>
      <c r="AU19" s="598"/>
      <c r="AV19" s="598"/>
      <c r="AW19" s="598"/>
      <c r="AX19" s="598"/>
      <c r="AY19" s="598"/>
      <c r="AZ19" s="598"/>
      <c r="BA19" s="598"/>
      <c r="BB19" s="598"/>
      <c r="BC19" s="598"/>
      <c r="BD19" s="598"/>
      <c r="BE19" s="598"/>
      <c r="BF19" s="598"/>
      <c r="BG19" s="598"/>
      <c r="BH19" s="598"/>
      <c r="BI19" s="598"/>
      <c r="BJ19" s="598"/>
      <c r="BK19" s="598"/>
      <c r="BL19" s="598"/>
      <c r="BM19" s="598"/>
      <c r="BN19" s="598"/>
      <c r="BO19" s="598"/>
      <c r="BP19" s="598"/>
      <c r="BQ19" s="598"/>
      <c r="BR19" s="598"/>
      <c r="BS19" s="598"/>
      <c r="BT19" s="598"/>
      <c r="BU19" s="598"/>
    </row>
    <row r="20" spans="1:83" x14ac:dyDescent="0.2">
      <c r="A20" s="868" t="s">
        <v>48</v>
      </c>
      <c r="B20" s="876"/>
      <c r="C20" s="876"/>
      <c r="D20" s="1360" t="s">
        <v>405</v>
      </c>
      <c r="E20" s="1359"/>
      <c r="F20" s="1359"/>
      <c r="G20" s="1359"/>
      <c r="H20" s="1359"/>
      <c r="I20" s="1362" t="s">
        <v>64</v>
      </c>
      <c r="J20" s="1363"/>
      <c r="K20" s="29"/>
      <c r="L20" s="29"/>
      <c r="M20" s="57"/>
      <c r="N20" s="599" t="s">
        <v>364</v>
      </c>
      <c r="O20" s="57"/>
      <c r="P20" s="57"/>
      <c r="Q20" s="57"/>
      <c r="R20" s="600" t="s">
        <v>371</v>
      </c>
      <c r="S20" s="600"/>
      <c r="T20" s="601"/>
      <c r="U20" s="601"/>
      <c r="V20" s="601"/>
      <c r="W20" s="601"/>
      <c r="X20" s="601"/>
      <c r="Y20" s="57"/>
      <c r="Z20" s="57"/>
      <c r="AA20" s="57"/>
      <c r="AB20" s="57"/>
      <c r="AC20" s="57"/>
      <c r="AD20" s="57"/>
      <c r="AE20" s="57"/>
      <c r="AF20" s="57"/>
      <c r="AG20" s="57"/>
      <c r="AH20" s="57"/>
      <c r="AI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34"/>
      <c r="BW20" s="34"/>
      <c r="BX20" s="34"/>
      <c r="BY20" s="34"/>
      <c r="BZ20" s="34"/>
      <c r="CA20" s="34"/>
      <c r="CB20" s="34"/>
      <c r="CC20" s="34"/>
    </row>
    <row r="21" spans="1:83" x14ac:dyDescent="0.2">
      <c r="A21" s="877"/>
      <c r="B21" s="878"/>
      <c r="C21" s="878"/>
      <c r="D21" s="879" t="s">
        <v>0</v>
      </c>
      <c r="E21" s="1364" t="s">
        <v>67</v>
      </c>
      <c r="F21" s="1365"/>
      <c r="G21" s="1398" t="s">
        <v>55</v>
      </c>
      <c r="H21" s="1399"/>
      <c r="I21" s="880" t="s">
        <v>63</v>
      </c>
      <c r="J21" s="880" t="s">
        <v>61</v>
      </c>
      <c r="K21" s="29"/>
      <c r="L21" s="29"/>
      <c r="M21" s="57"/>
      <c r="N21" s="599" t="s">
        <v>407</v>
      </c>
      <c r="O21" s="57"/>
      <c r="P21" s="1485" t="s">
        <v>455</v>
      </c>
      <c r="Q21" s="1486"/>
      <c r="R21" s="1487" t="s">
        <v>376</v>
      </c>
      <c r="S21" s="1488"/>
      <c r="T21" s="1488"/>
      <c r="U21" s="1489"/>
      <c r="V21" s="722" t="s">
        <v>0</v>
      </c>
      <c r="W21" s="722" t="s">
        <v>12</v>
      </c>
      <c r="X21" s="1487" t="s">
        <v>372</v>
      </c>
      <c r="Y21" s="1488"/>
      <c r="Z21" s="1489"/>
      <c r="AA21" s="722" t="s">
        <v>372</v>
      </c>
      <c r="AB21" s="1487" t="s">
        <v>363</v>
      </c>
      <c r="AC21" s="1488"/>
      <c r="AD21" s="1489"/>
      <c r="AE21" s="57"/>
      <c r="AF21" s="602" t="s">
        <v>60</v>
      </c>
      <c r="AG21" s="603" t="s">
        <v>60</v>
      </c>
      <c r="AH21" s="605">
        <v>170</v>
      </c>
      <c r="AI21" s="606">
        <v>170</v>
      </c>
      <c r="AJ21" s="602" t="s">
        <v>364</v>
      </c>
      <c r="AK21" s="604" t="s">
        <v>364</v>
      </c>
      <c r="AL21" s="602"/>
      <c r="AM21" s="603"/>
      <c r="AN21" s="604"/>
      <c r="AO21" s="607"/>
      <c r="AP21" s="608"/>
      <c r="AQ21" s="608"/>
      <c r="AR21" s="608"/>
      <c r="AS21" s="608"/>
      <c r="AT21" s="608"/>
      <c r="AU21" s="1487" t="s">
        <v>381</v>
      </c>
      <c r="AV21" s="1488"/>
      <c r="AW21" s="1489"/>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34"/>
      <c r="BW21" s="34"/>
      <c r="BX21" s="34"/>
      <c r="BY21" s="34"/>
      <c r="BZ21" s="34"/>
      <c r="CA21" s="34"/>
      <c r="CB21" s="34"/>
      <c r="CC21" s="34"/>
      <c r="CD21" s="1428"/>
      <c r="CE21" s="1429"/>
    </row>
    <row r="22" spans="1:83" x14ac:dyDescent="0.2">
      <c r="A22" s="877"/>
      <c r="B22" s="878"/>
      <c r="C22" s="878"/>
      <c r="D22" s="881"/>
      <c r="E22" s="882"/>
      <c r="F22" s="883" t="s">
        <v>68</v>
      </c>
      <c r="G22" s="884" t="s">
        <v>66</v>
      </c>
      <c r="H22" s="885" t="s">
        <v>65</v>
      </c>
      <c r="I22" s="880" t="s">
        <v>12</v>
      </c>
      <c r="J22" s="880" t="s">
        <v>62</v>
      </c>
      <c r="K22" s="29"/>
      <c r="L22" s="29"/>
      <c r="M22" s="57"/>
      <c r="N22" s="57"/>
      <c r="O22" s="57"/>
      <c r="P22" s="599" t="s">
        <v>0</v>
      </c>
      <c r="Q22" s="599" t="s">
        <v>16</v>
      </c>
      <c r="R22" s="609" t="s">
        <v>5</v>
      </c>
      <c r="S22" s="599" t="s">
        <v>5</v>
      </c>
      <c r="T22" s="599" t="s">
        <v>373</v>
      </c>
      <c r="U22" s="610" t="s">
        <v>7</v>
      </c>
      <c r="V22" s="720" t="s">
        <v>468</v>
      </c>
      <c r="W22" s="720" t="s">
        <v>468</v>
      </c>
      <c r="X22" s="609" t="s">
        <v>5</v>
      </c>
      <c r="Y22" s="599" t="s">
        <v>373</v>
      </c>
      <c r="Z22" s="610" t="s">
        <v>7</v>
      </c>
      <c r="AA22" s="714" t="s">
        <v>468</v>
      </c>
      <c r="AB22" s="609" t="s">
        <v>5</v>
      </c>
      <c r="AC22" s="599" t="s">
        <v>373</v>
      </c>
      <c r="AD22" s="610" t="s">
        <v>7</v>
      </c>
      <c r="AE22" s="57"/>
      <c r="AF22" s="609" t="s">
        <v>0</v>
      </c>
      <c r="AG22" s="599" t="s">
        <v>16</v>
      </c>
      <c r="AH22" s="599" t="s">
        <v>0</v>
      </c>
      <c r="AI22" s="610" t="s">
        <v>16</v>
      </c>
      <c r="AJ22" s="609" t="s">
        <v>12</v>
      </c>
      <c r="AK22" s="610" t="s">
        <v>16</v>
      </c>
      <c r="AL22" s="1484" t="s">
        <v>375</v>
      </c>
      <c r="AM22" s="1485"/>
      <c r="AN22" s="1486"/>
      <c r="AO22" s="611"/>
      <c r="AP22" s="612"/>
      <c r="AQ22" s="612"/>
      <c r="AR22" s="611" t="s">
        <v>281</v>
      </c>
      <c r="AS22" s="611" t="s">
        <v>281</v>
      </c>
      <c r="AT22" s="611" t="s">
        <v>281</v>
      </c>
      <c r="AU22" s="613"/>
      <c r="AV22" s="614"/>
      <c r="AW22" s="615"/>
      <c r="AX22" s="602" t="s">
        <v>0</v>
      </c>
      <c r="AY22" s="604" t="s">
        <v>12</v>
      </c>
      <c r="AZ22" s="1487" t="s">
        <v>16</v>
      </c>
      <c r="BA22" s="1488"/>
      <c r="BB22" s="1489"/>
      <c r="BC22" s="1487" t="s">
        <v>365</v>
      </c>
      <c r="BD22" s="1489"/>
      <c r="BE22" s="607" t="s">
        <v>406</v>
      </c>
      <c r="BF22" s="1487" t="s">
        <v>443</v>
      </c>
      <c r="BG22" s="1488"/>
      <c r="BH22" s="1489"/>
      <c r="BI22" s="1487" t="s">
        <v>440</v>
      </c>
      <c r="BJ22" s="1488"/>
      <c r="BK22" s="1489"/>
      <c r="BL22" s="599" t="s">
        <v>461</v>
      </c>
      <c r="BM22" s="57"/>
      <c r="BN22" s="1485" t="s">
        <v>465</v>
      </c>
      <c r="BO22" s="1485"/>
      <c r="BP22" s="732" t="s">
        <v>472</v>
      </c>
      <c r="BQ22" s="606" t="s">
        <v>474</v>
      </c>
      <c r="BR22" s="57"/>
      <c r="BS22" s="57"/>
      <c r="BT22" s="57"/>
      <c r="BU22" s="57"/>
      <c r="BV22" s="34"/>
      <c r="BW22" s="34"/>
      <c r="BX22" s="34"/>
      <c r="BY22" s="34"/>
      <c r="BZ22" s="34"/>
      <c r="CA22" s="34"/>
      <c r="CB22" s="34"/>
      <c r="CC22" s="34"/>
      <c r="CD22" s="850"/>
      <c r="CE22" s="851"/>
    </row>
    <row r="23" spans="1:83" ht="13.5" thickBot="1" x14ac:dyDescent="0.25">
      <c r="A23" s="886"/>
      <c r="B23" s="887"/>
      <c r="C23" s="887"/>
      <c r="D23" s="888" t="s">
        <v>17</v>
      </c>
      <c r="E23" s="889" t="s">
        <v>17</v>
      </c>
      <c r="F23" s="890" t="s">
        <v>52</v>
      </c>
      <c r="G23" s="891" t="s">
        <v>56</v>
      </c>
      <c r="H23" s="892" t="s">
        <v>56</v>
      </c>
      <c r="I23" s="893" t="s">
        <v>369</v>
      </c>
      <c r="J23" s="893" t="s">
        <v>370</v>
      </c>
      <c r="K23" s="29"/>
      <c r="L23" s="29"/>
      <c r="M23" s="57"/>
      <c r="N23" s="599" t="s">
        <v>369</v>
      </c>
      <c r="O23" s="57"/>
      <c r="P23" s="599" t="s">
        <v>17</v>
      </c>
      <c r="Q23" s="599" t="s">
        <v>17</v>
      </c>
      <c r="R23" s="528"/>
      <c r="S23" s="599" t="s">
        <v>296</v>
      </c>
      <c r="T23" s="57"/>
      <c r="U23" s="458"/>
      <c r="V23" s="723"/>
      <c r="W23" s="723"/>
      <c r="X23" s="528"/>
      <c r="Y23" s="57"/>
      <c r="Z23" s="458"/>
      <c r="AA23" s="720"/>
      <c r="AB23" s="528"/>
      <c r="AC23" s="57"/>
      <c r="AD23" s="458"/>
      <c r="AE23" s="57"/>
      <c r="AF23" s="1484" t="s">
        <v>368</v>
      </c>
      <c r="AG23" s="1485"/>
      <c r="AH23" s="1485"/>
      <c r="AI23" s="1486"/>
      <c r="AJ23" s="609"/>
      <c r="AK23" s="610"/>
      <c r="AL23" s="609" t="s">
        <v>5</v>
      </c>
      <c r="AM23" s="599" t="s">
        <v>373</v>
      </c>
      <c r="AN23" s="610" t="s">
        <v>7</v>
      </c>
      <c r="AO23" s="611" t="s">
        <v>374</v>
      </c>
      <c r="AP23" s="611" t="s">
        <v>367</v>
      </c>
      <c r="AQ23" s="611" t="s">
        <v>363</v>
      </c>
      <c r="AR23" s="611"/>
      <c r="AS23" s="611"/>
      <c r="AT23" s="611" t="s">
        <v>383</v>
      </c>
      <c r="AU23" s="609" t="s">
        <v>5</v>
      </c>
      <c r="AV23" s="599" t="s">
        <v>373</v>
      </c>
      <c r="AW23" s="610" t="s">
        <v>7</v>
      </c>
      <c r="AX23" s="617" t="s">
        <v>364</v>
      </c>
      <c r="AY23" s="619" t="s">
        <v>364</v>
      </c>
      <c r="AZ23" s="617" t="s">
        <v>57</v>
      </c>
      <c r="BA23" s="618" t="s">
        <v>58</v>
      </c>
      <c r="BB23" s="619" t="s">
        <v>59</v>
      </c>
      <c r="BC23" s="617" t="s">
        <v>0</v>
      </c>
      <c r="BD23" s="619" t="s">
        <v>366</v>
      </c>
      <c r="BE23" s="616" t="s">
        <v>16</v>
      </c>
      <c r="BF23" s="617" t="s">
        <v>439</v>
      </c>
      <c r="BG23" s="618" t="s">
        <v>58</v>
      </c>
      <c r="BH23" s="619" t="s">
        <v>59</v>
      </c>
      <c r="BI23" s="617" t="s">
        <v>5</v>
      </c>
      <c r="BJ23" s="618" t="s">
        <v>373</v>
      </c>
      <c r="BK23" s="619" t="s">
        <v>7</v>
      </c>
      <c r="BL23" s="599" t="s">
        <v>462</v>
      </c>
      <c r="BM23" s="599" t="s">
        <v>463</v>
      </c>
      <c r="BN23" s="599" t="s">
        <v>462</v>
      </c>
      <c r="BO23" s="599" t="s">
        <v>463</v>
      </c>
      <c r="BP23" s="528" t="s">
        <v>473</v>
      </c>
      <c r="BQ23" s="458" t="s">
        <v>475</v>
      </c>
      <c r="BR23" s="57"/>
      <c r="BS23" s="57"/>
      <c r="BT23" s="57"/>
      <c r="BU23" s="57"/>
      <c r="BV23" s="34"/>
      <c r="BW23" s="34"/>
      <c r="BX23" s="34"/>
      <c r="BY23" s="34"/>
      <c r="BZ23" s="34"/>
      <c r="CA23" s="34"/>
      <c r="CB23" s="34"/>
      <c r="CC23" s="34"/>
    </row>
    <row r="24" spans="1:83" ht="2.25" customHeight="1" x14ac:dyDescent="0.2">
      <c r="A24" s="61"/>
      <c r="B24" s="30"/>
      <c r="C24" s="30"/>
      <c r="D24" s="31"/>
      <c r="E24" s="64"/>
      <c r="F24" s="63"/>
      <c r="G24" s="65"/>
      <c r="H24" s="58"/>
      <c r="I24" s="457"/>
      <c r="J24" s="60"/>
      <c r="K24" s="29"/>
      <c r="L24" s="29"/>
      <c r="M24" s="57"/>
      <c r="N24" s="57"/>
      <c r="O24" s="57"/>
      <c r="P24" s="57"/>
      <c r="Q24" s="57"/>
      <c r="R24" s="528"/>
      <c r="S24" s="57"/>
      <c r="T24" s="57"/>
      <c r="U24" s="458"/>
      <c r="V24" s="720"/>
      <c r="W24" s="720"/>
      <c r="X24" s="528"/>
      <c r="Y24" s="57"/>
      <c r="Z24" s="458"/>
      <c r="AA24" s="720"/>
      <c r="AB24" s="528"/>
      <c r="AC24" s="57"/>
      <c r="AD24" s="458"/>
      <c r="AE24" s="57"/>
      <c r="AF24" s="528"/>
      <c r="AG24" s="57"/>
      <c r="AH24" s="57"/>
      <c r="AI24" s="458"/>
      <c r="AJ24" s="528"/>
      <c r="AK24" s="458"/>
      <c r="AL24" s="528"/>
      <c r="AM24" s="57"/>
      <c r="AN24" s="458"/>
      <c r="AO24" s="612"/>
      <c r="AP24" s="611"/>
      <c r="AQ24" s="611"/>
      <c r="AR24" s="611"/>
      <c r="AS24" s="611"/>
      <c r="AT24" s="611"/>
      <c r="AU24" s="609"/>
      <c r="AV24" s="599"/>
      <c r="AW24" s="610"/>
      <c r="AX24" s="599"/>
      <c r="AY24" s="599"/>
      <c r="AZ24" s="609"/>
      <c r="BA24" s="599"/>
      <c r="BB24" s="610"/>
      <c r="BC24" s="609"/>
      <c r="BD24" s="610"/>
      <c r="BE24" s="57"/>
      <c r="BF24" s="57"/>
      <c r="BG24" s="57"/>
      <c r="BH24" s="57"/>
      <c r="BI24" s="57"/>
      <c r="BJ24" s="57"/>
      <c r="BK24" s="57"/>
      <c r="BL24" s="57"/>
      <c r="BM24" s="57"/>
      <c r="BN24" s="57"/>
      <c r="BO24" s="57"/>
      <c r="BP24" s="528"/>
      <c r="BQ24" s="458"/>
      <c r="BR24" s="57"/>
      <c r="BS24" s="57"/>
      <c r="BT24" s="57"/>
      <c r="BU24" s="57"/>
      <c r="BV24" s="34"/>
      <c r="BW24" s="34"/>
      <c r="BX24" s="34"/>
      <c r="BY24" s="34"/>
      <c r="BZ24" s="34"/>
      <c r="CA24" s="34"/>
      <c r="CB24" s="34"/>
      <c r="CC24" s="34"/>
    </row>
    <row r="25" spans="1:83" ht="15.75" customHeight="1" x14ac:dyDescent="0.2">
      <c r="A25" s="1354"/>
      <c r="B25" s="1355"/>
      <c r="C25" s="1411"/>
      <c r="D25" s="927"/>
      <c r="E25" s="928"/>
      <c r="F25" s="674"/>
      <c r="G25" s="927"/>
      <c r="H25" s="931"/>
      <c r="I25" s="934" t="str">
        <f>IF(BS25=FALSE," ",IF(P25+Q25=0," ",IF(AF25*AX25+AG25*AJ25=0," ",AF25*AX25+AG25*AJ25)))</f>
        <v xml:space="preserve"> </v>
      </c>
      <c r="J25" s="934" t="str">
        <f>IF(BS25=FALSE," ",IF(Q25=0," ",IF(AG25*AK25=0," ",IF(AO25=4,AG25*AK25-(D25*(1-H25/100)*AK25)*0.3,AG25*AK25))))</f>
        <v xml:space="preserve"> </v>
      </c>
      <c r="K25" s="33"/>
      <c r="L25" s="33"/>
      <c r="M25" s="620"/>
      <c r="N25" s="620" t="str">
        <f>IF(J25=" "," ",(J25*(1/BE25)))</f>
        <v xml:space="preserve"> </v>
      </c>
      <c r="O25" s="620"/>
      <c r="P25" s="679">
        <f>IF(AX25=0,0,D25)</f>
        <v>0</v>
      </c>
      <c r="Q25" s="680">
        <f>IF(AX25=0,D25+E25,E25)</f>
        <v>0</v>
      </c>
      <c r="R25" s="621">
        <f>+(AF25*AU25*(100-BC25)/100)+(AJ25*AL25*AG25*(100-BD25)/100)</f>
        <v>0</v>
      </c>
      <c r="S25" s="620">
        <f>IF(AO25=2,R25,0)</f>
        <v>0</v>
      </c>
      <c r="T25" s="620">
        <f>AF25*AV25+AG25*AJ25*AM25</f>
        <v>0</v>
      </c>
      <c r="U25" s="622">
        <f>AF25*AW25+AG25*AJ25*AN25</f>
        <v>0</v>
      </c>
      <c r="V25" s="717">
        <f>INDEX(Tiere2!K$30:K$79,'Betriebe mit Separation'!$AP25)</f>
        <v>0</v>
      </c>
      <c r="W25" s="717">
        <f>INDEX(Tiere2!S$30:S$79,'Betriebe mit Separation'!AP25)</f>
        <v>0</v>
      </c>
      <c r="X25" s="621">
        <f>+(AG25*AU25*(100-BD25)/100)-AJ25*AG25*AL25</f>
        <v>0</v>
      </c>
      <c r="Y25" s="620">
        <f>AG25*AV25-AG25*AJ25*AM25</f>
        <v>0</v>
      </c>
      <c r="Z25" s="622">
        <f>AG25*AW25-AG25*AJ25*AN25</f>
        <v>0</v>
      </c>
      <c r="AA25" s="717">
        <f>INDEX(Tiere2!P$30:P$79,'Betriebe mit Separation'!$AP25)</f>
        <v>0</v>
      </c>
      <c r="AB25" s="621">
        <f>IF(AQ25=1,AG25*BF25*AS25*365/1000*BI25,IF(AQ25=2,AG25*BG25*AS25*365/1000*BI25,AG25*BH25*AS25*365/1000*BI25))</f>
        <v>0</v>
      </c>
      <c r="AC25" s="620">
        <f>IF(AQ25=1,AG25*BF25*AS25*365/1000*BJ25,IF(AQ25=2,AG25*BG25*AS25*365/1000*BJ25,AG25*BH25*AS25*365/1000*BJ25))</f>
        <v>0</v>
      </c>
      <c r="AD25" s="622">
        <f>IF(AQ25=1,AG25*BF25*AS25*365/1000*BK25,IF(AQ25=2,AG25*BG25*AS25*365/1000*BK25,AG25*BH25*AS25*365/1000*BK25))</f>
        <v>0</v>
      </c>
      <c r="AE25" s="620"/>
      <c r="AF25" s="621">
        <f>+P25*(100-$H25)/100</f>
        <v>0</v>
      </c>
      <c r="AG25" s="620">
        <f t="shared" ref="AG25:AG35" si="0">+Q25*(100-$H25)/100</f>
        <v>0</v>
      </c>
      <c r="AH25" s="623">
        <f t="shared" ref="AH25:AH36" si="1">+P25-(P25*((G25+H25)/2))/100</f>
        <v>0</v>
      </c>
      <c r="AI25" s="624">
        <f t="shared" ref="AI25:AI36" si="2">+Q25+P25-AH25</f>
        <v>0</v>
      </c>
      <c r="AJ25" s="1017">
        <f>IF(AQ25=1,AY25,IF(AQ25=2,AY25/2,0))</f>
        <v>0</v>
      </c>
      <c r="AK25" s="1018">
        <f>IF(AQ25=1,AZ25,IF(AQ25=2,BA25,BB25))</f>
        <v>0</v>
      </c>
      <c r="AL25" s="625">
        <f>IF(AO25=2,3.2,IF(AO25=3,3.3,0))</f>
        <v>0</v>
      </c>
      <c r="AM25" s="625">
        <f>IF(AO25=2,0,IF(AO25=3,0,0))</f>
        <v>0</v>
      </c>
      <c r="AN25" s="625">
        <f>IF(AO25=2,7.9,IF(AO25=3,3.1,0))</f>
        <v>0</v>
      </c>
      <c r="AO25" s="626">
        <f>IF(AP25&lt;2,1,IF(AP25&lt;11,2,IF(AP25&lt;26,3,IF(AP25&lt;40,4,5))))</f>
        <v>1</v>
      </c>
      <c r="AP25" s="627">
        <v>1</v>
      </c>
      <c r="AQ25" s="627">
        <v>1</v>
      </c>
      <c r="AR25" s="626">
        <f>INDEX(Tiere2!C$30:C$79,'Betriebe mit Separation'!$AP25)</f>
        <v>0</v>
      </c>
      <c r="AS25" s="626" t="str">
        <f>IF(AR25&gt;0.001,AR25,"1")</f>
        <v>1</v>
      </c>
      <c r="AT25" s="626">
        <f>P25*AR25+Q25*AR25</f>
        <v>0</v>
      </c>
      <c r="AU25" s="625">
        <f>INDEX(Tiere2!D$30:D$79,'Betriebe mit Separation'!$AP25)</f>
        <v>0</v>
      </c>
      <c r="AV25" s="623">
        <f>INDEX(Tiere2!E$30:E$79,'Betriebe mit Separation'!$AP25)</f>
        <v>0</v>
      </c>
      <c r="AW25" s="624">
        <f>INDEX(Tiere2!F$30:F$79,'Betriebe mit Separation'!$AP25)</f>
        <v>0</v>
      </c>
      <c r="AX25" s="623">
        <f>INDEX(Tiere2!J$30:J$79,'Betriebe mit Separation'!$AP25)</f>
        <v>0</v>
      </c>
      <c r="AY25" s="623">
        <f>INDEX(Tiere2!R$30:R$79,'Betriebe mit Separation'!$AP25)</f>
        <v>0</v>
      </c>
      <c r="AZ25" s="625">
        <f>INDEX(Tiere2!M$30:M$79,'Betriebe mit Separation'!$AP25)</f>
        <v>0</v>
      </c>
      <c r="BA25" s="623">
        <f>INDEX(Tiere2!N$30:N$79,'Betriebe mit Separation'!$AP25)</f>
        <v>0</v>
      </c>
      <c r="BB25" s="624">
        <f>INDEX(Tiere2!O$30:O$79,'Betriebe mit Separation'!$AP25)</f>
        <v>0</v>
      </c>
      <c r="BC25" s="625">
        <f>INDEX(Tiere2!T$30:T$79,'Betriebe mit Separation'!$AP25)</f>
        <v>0</v>
      </c>
      <c r="BD25" s="624">
        <f>INDEX(Tiere2!U$30:U$79,'Betriebe mit Separation'!$AP25)</f>
        <v>0</v>
      </c>
      <c r="BE25" s="864">
        <f>INDEX(Tiere2!V$30:V$79,'Betriebe mit Separation'!$AP25)</f>
        <v>0</v>
      </c>
      <c r="BF25" s="624">
        <f>INDEX(Tiere2!W$30:W$79,'Betriebe mit Separation'!$AP25)</f>
        <v>0</v>
      </c>
      <c r="BG25" s="624">
        <f>INDEX(Tiere2!X$30:X$79,'Betriebe mit Separation'!$AP25)</f>
        <v>0</v>
      </c>
      <c r="BH25" s="624">
        <f>INDEX(Tiere2!Y$30:Y$79,'Betriebe mit Separation'!$AP25)</f>
        <v>0</v>
      </c>
      <c r="BI25" s="620">
        <v>5</v>
      </c>
      <c r="BJ25" s="620">
        <v>3</v>
      </c>
      <c r="BK25" s="622">
        <v>17</v>
      </c>
      <c r="BL25" s="622">
        <f>INDEX(Tiere2!Z$30:Z$79,'Betriebe mit Separation'!$AP25)</f>
        <v>0</v>
      </c>
      <c r="BM25" s="622">
        <f>INDEX(Tiere2!AA$30:AA$79,'Betriebe mit Separation'!$AP25)</f>
        <v>0</v>
      </c>
      <c r="BN25" s="620">
        <f>IF(N25=" ",0,BL25*N25)</f>
        <v>0</v>
      </c>
      <c r="BO25" s="620">
        <f t="shared" ref="BO25:BO36" si="3">IF(N25=" ",0,BM25*N25)</f>
        <v>0</v>
      </c>
      <c r="BP25" s="621">
        <f>AF25*AX25</f>
        <v>0</v>
      </c>
      <c r="BQ25" s="622">
        <f>AG25*AJ25</f>
        <v>0</v>
      </c>
      <c r="BR25" s="620"/>
      <c r="BS25" s="620" t="b">
        <f>AND(AP25&gt;1)</f>
        <v>0</v>
      </c>
      <c r="BT25" s="620"/>
      <c r="BU25" s="620"/>
      <c r="BV25" s="33"/>
      <c r="BW25" s="33"/>
      <c r="BX25" s="852"/>
      <c r="BY25" s="33"/>
      <c r="BZ25" s="33"/>
      <c r="CA25" s="33"/>
      <c r="CB25" s="33"/>
      <c r="CC25" s="33"/>
    </row>
    <row r="26" spans="1:83" ht="15.75" customHeight="1" x14ac:dyDescent="0.2">
      <c r="A26" s="1354"/>
      <c r="B26" s="1355"/>
      <c r="C26" s="1411"/>
      <c r="D26" s="923"/>
      <c r="E26" s="929"/>
      <c r="F26" s="674"/>
      <c r="G26" s="923"/>
      <c r="H26" s="932"/>
      <c r="I26" s="934" t="str">
        <f t="shared" ref="I26:I36" si="4">IF(BS26=FALSE," ",IF(P26+Q26=0," ",IF(AF26*AX26+AG26*AJ26=0," ",AF26*AX26+AG26*AJ26)))</f>
        <v xml:space="preserve"> </v>
      </c>
      <c r="J26" s="934" t="str">
        <f t="shared" ref="J26:J40" si="5">IF(BS26=FALSE," ",IF(Q26=0," ",IF(AG26*AK26=0," ",IF(AO26=4,AG26*AK26-(D26*(1-H26/100)*AK26)*0.3,AG26*AK26))))</f>
        <v xml:space="preserve"> </v>
      </c>
      <c r="K26" s="33"/>
      <c r="L26" s="33"/>
      <c r="M26" s="620"/>
      <c r="N26" s="620" t="str">
        <f t="shared" ref="N26:N40" si="6">IF(J26=" "," ",(J26*(1/BE26)))</f>
        <v xml:space="preserve"> </v>
      </c>
      <c r="O26" s="620"/>
      <c r="P26" s="679">
        <f t="shared" ref="P26:P40" si="7">IF(AX26=0,0,D26)</f>
        <v>0</v>
      </c>
      <c r="Q26" s="680">
        <f>IF(AX26=0,D26+E26,E26)</f>
        <v>0</v>
      </c>
      <c r="R26" s="621">
        <f t="shared" ref="R26:R36" si="8">+(AF26*AU26*(100-BC26)/100)+(AJ26*AL26*AG26*(100-BD26)/100)</f>
        <v>0</v>
      </c>
      <c r="S26" s="620">
        <f t="shared" ref="S26:S36" si="9">IF(AO26=2,R26,0)</f>
        <v>0</v>
      </c>
      <c r="T26" s="620">
        <f t="shared" ref="T26:T36" si="10">AF26*AV26+AG26*AJ26*AM26</f>
        <v>0</v>
      </c>
      <c r="U26" s="622">
        <f t="shared" ref="U26:U36" si="11">AF26*AW26+AG26*AJ26*AN26</f>
        <v>0</v>
      </c>
      <c r="V26" s="717">
        <f>INDEX(Tiere2!K$30:K$79,'Betriebe mit Separation'!$AP26)</f>
        <v>0</v>
      </c>
      <c r="W26" s="717">
        <f>INDEX(Tiere2!S$30:S$79,'Betriebe mit Separation'!AP26)</f>
        <v>0</v>
      </c>
      <c r="X26" s="621">
        <f t="shared" ref="X26:X36" si="12">+(AG26*AU26*(100-BD26)/100)-AJ26*AG26*AL26*(100-BD26)/100</f>
        <v>0</v>
      </c>
      <c r="Y26" s="620">
        <f t="shared" ref="Y26:Y35" si="13">AG26*AV26-AG26*AJ26*AM26</f>
        <v>0</v>
      </c>
      <c r="Z26" s="622">
        <f t="shared" ref="Z26:Z35" si="14">AG26*AW26-AG26*AJ26*AN26</f>
        <v>0</v>
      </c>
      <c r="AA26" s="717">
        <f>INDEX(Tiere2!P$30:P$79,'Betriebe mit Separation'!$AP26)</f>
        <v>0</v>
      </c>
      <c r="AB26" s="621">
        <f t="shared" ref="AB26:AB36" si="15">IF(AQ26=1,AG26*BF26*AS26*365/1000*BI26,IF(AQ26=2,AG26*BG26*AS26*365/1000*BI26,AG26*BH26*AS26*365/1000*BI26))</f>
        <v>0</v>
      </c>
      <c r="AC26" s="620">
        <f t="shared" ref="AC26:AC36" si="16">IF(AQ26=1,AG26*BF26*AS26*365/1000*BJ26,IF(AQ26=2,AG26*BG26*AS26*365/1000*BJ26,AG26*BH26*AS26*365/1000*BJ26))</f>
        <v>0</v>
      </c>
      <c r="AD26" s="622">
        <f t="shared" ref="AD26:AD36" si="17">IF(AQ26=1,AG26*BF26*AS26*365/1000*BK26,IF(AQ26=2,AG26*BG26*AS26*365/1000*BK26,AG26*BH26*AS26*365/1000*BK26))</f>
        <v>0</v>
      </c>
      <c r="AE26" s="620"/>
      <c r="AF26" s="621">
        <f t="shared" ref="AF26:AF36" si="18">+P26*(100-$H26)/100</f>
        <v>0</v>
      </c>
      <c r="AG26" s="620">
        <f>+Q26*(100-$H26)/100</f>
        <v>0</v>
      </c>
      <c r="AH26" s="623">
        <f t="shared" si="1"/>
        <v>0</v>
      </c>
      <c r="AI26" s="624">
        <f t="shared" si="2"/>
        <v>0</v>
      </c>
      <c r="AJ26" s="1017">
        <f t="shared" ref="AJ26:AJ36" si="19">IF(AQ26=1,AY26,IF(AQ26=2,AY26/2,0))</f>
        <v>0</v>
      </c>
      <c r="AK26" s="1018">
        <f t="shared" ref="AK26:AK36" si="20">IF(AQ26=1,AZ26,IF(AQ26=2,BA26,BB26))</f>
        <v>0</v>
      </c>
      <c r="AL26" s="625">
        <f>IF(AO26=2,3.2,IF(AO26=3,3.3,0))</f>
        <v>0</v>
      </c>
      <c r="AM26" s="625">
        <f t="shared" ref="AM26:AM36" si="21">IF(AO26=2,0,IF(AO26=3,0,0))</f>
        <v>0</v>
      </c>
      <c r="AN26" s="625">
        <f t="shared" ref="AN26:AN36" si="22">IF(AO26=2,7.9,IF(AO26=3,3.1,0))</f>
        <v>0</v>
      </c>
      <c r="AO26" s="626">
        <f t="shared" ref="AO26:AO36" si="23">IF(AP26&lt;2,1,IF(AP26&lt;11,2,IF(AP26&lt;26,3,IF(AP26&lt;40,4,5))))</f>
        <v>1</v>
      </c>
      <c r="AP26" s="627">
        <v>1</v>
      </c>
      <c r="AQ26" s="627">
        <v>1</v>
      </c>
      <c r="AR26" s="626">
        <f>INDEX(Tiere2!C$30:C$79,'Betriebe mit Separation'!$AP26)</f>
        <v>0</v>
      </c>
      <c r="AS26" s="626" t="str">
        <f t="shared" ref="AS26:AS40" si="24">IF(AR26&gt;0.001,AR26,"1")</f>
        <v>1</v>
      </c>
      <c r="AT26" s="626">
        <f t="shared" ref="AT26:AT36" si="25">D26*AR26+E26*AR26</f>
        <v>0</v>
      </c>
      <c r="AU26" s="625">
        <f>INDEX(Tiere2!D$30:D$79,'Betriebe mit Separation'!$AP26)</f>
        <v>0</v>
      </c>
      <c r="AV26" s="623">
        <f>INDEX(Tiere2!E$30:E$79,'Betriebe mit Separation'!$AP26)</f>
        <v>0</v>
      </c>
      <c r="AW26" s="624">
        <f>INDEX(Tiere2!F$30:F$79,'Betriebe mit Separation'!$AP26)</f>
        <v>0</v>
      </c>
      <c r="AX26" s="623">
        <f>INDEX(Tiere2!J$30:J$79,'Betriebe mit Separation'!$AP26)</f>
        <v>0</v>
      </c>
      <c r="AY26" s="623">
        <f>INDEX(Tiere2!R$30:R$79,'Betriebe mit Separation'!$AP26)</f>
        <v>0</v>
      </c>
      <c r="AZ26" s="625">
        <f>INDEX(Tiere2!M$30:M$79,'Betriebe mit Separation'!$AP26)</f>
        <v>0</v>
      </c>
      <c r="BA26" s="623">
        <f>INDEX(Tiere2!N$30:N$79,'Betriebe mit Separation'!$AP26)</f>
        <v>0</v>
      </c>
      <c r="BB26" s="624">
        <f>INDEX(Tiere2!O$30:O$79,'Betriebe mit Separation'!$AP26)</f>
        <v>0</v>
      </c>
      <c r="BC26" s="625">
        <f>INDEX(Tiere2!T$30:T$79,'Betriebe mit Separation'!$AP26)</f>
        <v>0</v>
      </c>
      <c r="BD26" s="624">
        <f>INDEX(Tiere2!U$30:U$79,'Betriebe mit Separation'!$AP26)</f>
        <v>0</v>
      </c>
      <c r="BE26" s="864">
        <f>INDEX(Tiere2!V$30:V$79,'Betriebe mit Separation'!$AP26)</f>
        <v>0</v>
      </c>
      <c r="BF26" s="624">
        <f>INDEX(Tiere2!W$30:W$79,'Betriebe mit Separation'!$AP26)</f>
        <v>0</v>
      </c>
      <c r="BG26" s="624">
        <f>INDEX(Tiere2!X$30:X$79,'Betriebe mit Separation'!$AP26)</f>
        <v>0</v>
      </c>
      <c r="BH26" s="624">
        <f>INDEX(Tiere2!Y$30:Y$79,'Betriebe mit Separation'!$AP26)</f>
        <v>0</v>
      </c>
      <c r="BI26" s="620">
        <v>5</v>
      </c>
      <c r="BJ26" s="620">
        <v>3</v>
      </c>
      <c r="BK26" s="622">
        <v>17</v>
      </c>
      <c r="BL26" s="622">
        <f>INDEX(Tiere2!Z$30:Z$79,'Betriebe mit Separation'!$AP26)</f>
        <v>0</v>
      </c>
      <c r="BM26" s="622">
        <f>INDEX(Tiere2!AA$30:AA$79,'Betriebe mit Separation'!$AP26)</f>
        <v>0</v>
      </c>
      <c r="BN26" s="620">
        <f t="shared" ref="BN26:BN36" si="26">IF(N26=" ",0,BL26*N26)</f>
        <v>0</v>
      </c>
      <c r="BO26" s="620">
        <f t="shared" si="3"/>
        <v>0</v>
      </c>
      <c r="BP26" s="621">
        <f t="shared" ref="BP26:BP40" si="27">AF26*AX26</f>
        <v>0</v>
      </c>
      <c r="BQ26" s="622">
        <f t="shared" ref="BQ26:BQ40" si="28">AG26*AJ26</f>
        <v>0</v>
      </c>
      <c r="BR26" s="620"/>
      <c r="BS26" s="620" t="b">
        <f t="shared" ref="BS26:BS36" si="29">AND(AP26&gt;1)</f>
        <v>0</v>
      </c>
      <c r="BT26" s="620"/>
      <c r="BU26" s="620"/>
      <c r="BV26" s="33"/>
      <c r="BW26" s="33"/>
      <c r="BX26" s="33"/>
      <c r="BY26" s="33"/>
      <c r="BZ26" s="33"/>
      <c r="CA26" s="33"/>
      <c r="CB26" s="33"/>
      <c r="CC26" s="33"/>
    </row>
    <row r="27" spans="1:83" ht="15.75" customHeight="1" x14ac:dyDescent="0.2">
      <c r="A27" s="1354"/>
      <c r="B27" s="1355"/>
      <c r="C27" s="1355"/>
      <c r="D27" s="923"/>
      <c r="E27" s="929"/>
      <c r="F27" s="674"/>
      <c r="G27" s="923"/>
      <c r="H27" s="932"/>
      <c r="I27" s="934" t="str">
        <f t="shared" si="4"/>
        <v xml:space="preserve"> </v>
      </c>
      <c r="J27" s="934" t="str">
        <f t="shared" si="5"/>
        <v xml:space="preserve"> </v>
      </c>
      <c r="K27" s="33"/>
      <c r="L27" s="33"/>
      <c r="M27" s="620"/>
      <c r="N27" s="620" t="str">
        <f t="shared" si="6"/>
        <v xml:space="preserve"> </v>
      </c>
      <c r="O27" s="620"/>
      <c r="P27" s="679">
        <f t="shared" si="7"/>
        <v>0</v>
      </c>
      <c r="Q27" s="680">
        <f t="shared" ref="Q27:Q35" si="30">IF(AX27=0,D27+E27,E27)</f>
        <v>0</v>
      </c>
      <c r="R27" s="621">
        <f t="shared" si="8"/>
        <v>0</v>
      </c>
      <c r="S27" s="620">
        <f t="shared" si="9"/>
        <v>0</v>
      </c>
      <c r="T27" s="620">
        <f t="shared" si="10"/>
        <v>0</v>
      </c>
      <c r="U27" s="622">
        <f t="shared" si="11"/>
        <v>0</v>
      </c>
      <c r="V27" s="717">
        <f>INDEX(Tiere2!K$30:K$79,'Betriebe mit Separation'!$AP27)</f>
        <v>0</v>
      </c>
      <c r="W27" s="717">
        <f>INDEX(Tiere2!S$30:S$79,'Betriebe mit Separation'!AP27)</f>
        <v>0</v>
      </c>
      <c r="X27" s="621">
        <f t="shared" si="12"/>
        <v>0</v>
      </c>
      <c r="Y27" s="620">
        <f t="shared" si="13"/>
        <v>0</v>
      </c>
      <c r="Z27" s="622">
        <f t="shared" si="14"/>
        <v>0</v>
      </c>
      <c r="AA27" s="717">
        <f>INDEX(Tiere2!P$30:P$79,'Betriebe mit Separation'!$AP27)</f>
        <v>0</v>
      </c>
      <c r="AB27" s="621">
        <f t="shared" si="15"/>
        <v>0</v>
      </c>
      <c r="AC27" s="620">
        <f t="shared" si="16"/>
        <v>0</v>
      </c>
      <c r="AD27" s="622">
        <f t="shared" si="17"/>
        <v>0</v>
      </c>
      <c r="AE27" s="620"/>
      <c r="AF27" s="621">
        <f t="shared" si="18"/>
        <v>0</v>
      </c>
      <c r="AG27" s="620">
        <f t="shared" si="0"/>
        <v>0</v>
      </c>
      <c r="AH27" s="623">
        <f t="shared" si="1"/>
        <v>0</v>
      </c>
      <c r="AI27" s="624">
        <f t="shared" si="2"/>
        <v>0</v>
      </c>
      <c r="AJ27" s="625">
        <f t="shared" si="19"/>
        <v>0</v>
      </c>
      <c r="AK27" s="624">
        <f t="shared" si="20"/>
        <v>0</v>
      </c>
      <c r="AL27" s="625">
        <f t="shared" ref="AL27:AL36" si="31">IF(AO27=2,3.2,IF(AO27=3,3.3,0))</f>
        <v>0</v>
      </c>
      <c r="AM27" s="625">
        <f t="shared" si="21"/>
        <v>0</v>
      </c>
      <c r="AN27" s="625">
        <f t="shared" si="22"/>
        <v>0</v>
      </c>
      <c r="AO27" s="626">
        <f t="shared" si="23"/>
        <v>1</v>
      </c>
      <c r="AP27" s="627">
        <v>1</v>
      </c>
      <c r="AQ27" s="627">
        <v>1</v>
      </c>
      <c r="AR27" s="626">
        <f>INDEX(Tiere2!C$30:C$79,'Betriebe mit Separation'!$AP27)</f>
        <v>0</v>
      </c>
      <c r="AS27" s="626" t="str">
        <f t="shared" si="24"/>
        <v>1</v>
      </c>
      <c r="AT27" s="626">
        <f t="shared" si="25"/>
        <v>0</v>
      </c>
      <c r="AU27" s="625">
        <f>INDEX(Tiere2!D$30:D$79,'Betriebe mit Separation'!$AP27)</f>
        <v>0</v>
      </c>
      <c r="AV27" s="623">
        <f>INDEX(Tiere2!E$30:E$79,'Betriebe mit Separation'!$AP27)</f>
        <v>0</v>
      </c>
      <c r="AW27" s="624">
        <f>INDEX(Tiere2!F$30:F$79,'Betriebe mit Separation'!$AP27)</f>
        <v>0</v>
      </c>
      <c r="AX27" s="623">
        <f>INDEX(Tiere2!J$30:J$79,'Betriebe mit Separation'!$AP27)</f>
        <v>0</v>
      </c>
      <c r="AY27" s="623">
        <f>INDEX(Tiere2!R$30:R$79,'Betriebe mit Separation'!$AP27)</f>
        <v>0</v>
      </c>
      <c r="AZ27" s="625">
        <f>INDEX(Tiere2!M$30:M$79,'Betriebe mit Separation'!$AP27)</f>
        <v>0</v>
      </c>
      <c r="BA27" s="623">
        <f>INDEX(Tiere2!N$30:N$79,'Betriebe mit Separation'!$AP27)</f>
        <v>0</v>
      </c>
      <c r="BB27" s="624">
        <f>INDEX(Tiere2!O$30:O$79,'Betriebe mit Separation'!$AP27)</f>
        <v>0</v>
      </c>
      <c r="BC27" s="625">
        <f>INDEX(Tiere2!T$30:T$79,'Betriebe mit Separation'!$AP27)</f>
        <v>0</v>
      </c>
      <c r="BD27" s="624">
        <f>INDEX(Tiere2!U$30:U$79,'Betriebe mit Separation'!$AP27)</f>
        <v>0</v>
      </c>
      <c r="BE27" s="864">
        <f>INDEX(Tiere2!V$30:V$79,'Betriebe mit Separation'!$AP27)</f>
        <v>0</v>
      </c>
      <c r="BF27" s="624">
        <f>INDEX(Tiere2!W$30:W$79,'Betriebe mit Separation'!$AP27)</f>
        <v>0</v>
      </c>
      <c r="BG27" s="624">
        <f>INDEX(Tiere2!X$30:X$79,'Betriebe mit Separation'!$AP27)</f>
        <v>0</v>
      </c>
      <c r="BH27" s="624">
        <f>INDEX(Tiere2!Y$30:Y$79,'Betriebe mit Separation'!$AP27)</f>
        <v>0</v>
      </c>
      <c r="BI27" s="620">
        <v>5</v>
      </c>
      <c r="BJ27" s="620">
        <v>3</v>
      </c>
      <c r="BK27" s="622">
        <v>17</v>
      </c>
      <c r="BL27" s="622">
        <f>INDEX(Tiere2!Z$30:Z$79,'Betriebe mit Separation'!$AP27)</f>
        <v>0</v>
      </c>
      <c r="BM27" s="622">
        <f>INDEX(Tiere2!AA$30:AA$79,'Betriebe mit Separation'!$AP27)</f>
        <v>0</v>
      </c>
      <c r="BN27" s="620">
        <f t="shared" si="26"/>
        <v>0</v>
      </c>
      <c r="BO27" s="620">
        <f t="shared" si="3"/>
        <v>0</v>
      </c>
      <c r="BP27" s="621">
        <f t="shared" si="27"/>
        <v>0</v>
      </c>
      <c r="BQ27" s="622">
        <f t="shared" si="28"/>
        <v>0</v>
      </c>
      <c r="BR27" s="620"/>
      <c r="BS27" s="620" t="b">
        <f t="shared" si="29"/>
        <v>0</v>
      </c>
      <c r="BT27" s="620"/>
      <c r="BU27" s="620"/>
      <c r="BV27" s="33"/>
      <c r="BW27" s="33"/>
      <c r="BX27" s="33"/>
      <c r="BY27" s="33"/>
      <c r="BZ27" s="33"/>
      <c r="CA27" s="33"/>
      <c r="CB27" s="33"/>
      <c r="CC27" s="33"/>
    </row>
    <row r="28" spans="1:83" ht="15.75" customHeight="1" x14ac:dyDescent="0.2">
      <c r="A28" s="1354"/>
      <c r="B28" s="1355"/>
      <c r="C28" s="1355"/>
      <c r="D28" s="923"/>
      <c r="E28" s="929"/>
      <c r="F28" s="674"/>
      <c r="G28" s="923"/>
      <c r="H28" s="932"/>
      <c r="I28" s="934" t="str">
        <f t="shared" si="4"/>
        <v xml:space="preserve"> </v>
      </c>
      <c r="J28" s="934" t="str">
        <f t="shared" si="5"/>
        <v xml:space="preserve"> </v>
      </c>
      <c r="K28" s="33"/>
      <c r="L28" s="33"/>
      <c r="M28" s="620"/>
      <c r="N28" s="620" t="str">
        <f t="shared" si="6"/>
        <v xml:space="preserve"> </v>
      </c>
      <c r="O28" s="620"/>
      <c r="P28" s="679">
        <f t="shared" si="7"/>
        <v>0</v>
      </c>
      <c r="Q28" s="680">
        <f t="shared" si="30"/>
        <v>0</v>
      </c>
      <c r="R28" s="621">
        <f t="shared" si="8"/>
        <v>0</v>
      </c>
      <c r="S28" s="620">
        <f t="shared" si="9"/>
        <v>0</v>
      </c>
      <c r="T28" s="620">
        <f t="shared" si="10"/>
        <v>0</v>
      </c>
      <c r="U28" s="622">
        <f t="shared" si="11"/>
        <v>0</v>
      </c>
      <c r="V28" s="717">
        <f>INDEX(Tiere2!K$30:K$79,'Betriebe mit Separation'!$AP28)</f>
        <v>0</v>
      </c>
      <c r="W28" s="717">
        <f>INDEX(Tiere2!S$30:S$79,'Betriebe mit Separation'!AP28)</f>
        <v>0</v>
      </c>
      <c r="X28" s="621">
        <f t="shared" si="12"/>
        <v>0</v>
      </c>
      <c r="Y28" s="620">
        <f t="shared" si="13"/>
        <v>0</v>
      </c>
      <c r="Z28" s="622">
        <f t="shared" si="14"/>
        <v>0</v>
      </c>
      <c r="AA28" s="717">
        <f>INDEX(Tiere2!P$30:P$79,'Betriebe mit Separation'!$AP28)</f>
        <v>0</v>
      </c>
      <c r="AB28" s="621">
        <f t="shared" si="15"/>
        <v>0</v>
      </c>
      <c r="AC28" s="620">
        <f t="shared" si="16"/>
        <v>0</v>
      </c>
      <c r="AD28" s="622">
        <f t="shared" si="17"/>
        <v>0</v>
      </c>
      <c r="AE28" s="620"/>
      <c r="AF28" s="621">
        <f t="shared" si="18"/>
        <v>0</v>
      </c>
      <c r="AG28" s="620">
        <f t="shared" si="0"/>
        <v>0</v>
      </c>
      <c r="AH28" s="623">
        <f t="shared" si="1"/>
        <v>0</v>
      </c>
      <c r="AI28" s="624">
        <f t="shared" si="2"/>
        <v>0</v>
      </c>
      <c r="AJ28" s="625">
        <f t="shared" si="19"/>
        <v>0</v>
      </c>
      <c r="AK28" s="624">
        <f t="shared" si="20"/>
        <v>0</v>
      </c>
      <c r="AL28" s="625">
        <f t="shared" si="31"/>
        <v>0</v>
      </c>
      <c r="AM28" s="625">
        <f t="shared" si="21"/>
        <v>0</v>
      </c>
      <c r="AN28" s="625">
        <f t="shared" si="22"/>
        <v>0</v>
      </c>
      <c r="AO28" s="626">
        <f t="shared" si="23"/>
        <v>1</v>
      </c>
      <c r="AP28" s="627">
        <v>1</v>
      </c>
      <c r="AQ28" s="627">
        <v>1</v>
      </c>
      <c r="AR28" s="626">
        <f>INDEX(Tiere2!C$30:C$79,'Betriebe mit Separation'!$AP28)</f>
        <v>0</v>
      </c>
      <c r="AS28" s="626" t="str">
        <f t="shared" si="24"/>
        <v>1</v>
      </c>
      <c r="AT28" s="626">
        <f t="shared" si="25"/>
        <v>0</v>
      </c>
      <c r="AU28" s="625">
        <f>INDEX(Tiere2!D$30:D$79,'Betriebe mit Separation'!$AP28)</f>
        <v>0</v>
      </c>
      <c r="AV28" s="623">
        <f>INDEX(Tiere2!E$30:E$79,'Betriebe mit Separation'!$AP28)</f>
        <v>0</v>
      </c>
      <c r="AW28" s="624">
        <f>INDEX(Tiere2!F$30:F$79,'Betriebe mit Separation'!$AP28)</f>
        <v>0</v>
      </c>
      <c r="AX28" s="623">
        <f>INDEX(Tiere2!J$30:J$79,'Betriebe mit Separation'!$AP28)</f>
        <v>0</v>
      </c>
      <c r="AY28" s="623">
        <f>INDEX(Tiere2!R$30:R$79,'Betriebe mit Separation'!$AP28)</f>
        <v>0</v>
      </c>
      <c r="AZ28" s="625">
        <f>INDEX(Tiere2!M$30:M$79,'Betriebe mit Separation'!$AP28)</f>
        <v>0</v>
      </c>
      <c r="BA28" s="623">
        <f>INDEX(Tiere2!N$30:N$79,'Betriebe mit Separation'!$AP28)</f>
        <v>0</v>
      </c>
      <c r="BB28" s="624">
        <f>INDEX(Tiere2!O$30:O$79,'Betriebe mit Separation'!$AP28)</f>
        <v>0</v>
      </c>
      <c r="BC28" s="625">
        <f>INDEX(Tiere2!T$30:T$79,'Betriebe mit Separation'!$AP28)</f>
        <v>0</v>
      </c>
      <c r="BD28" s="624">
        <f>INDEX(Tiere2!U$30:U$79,'Betriebe mit Separation'!$AP28)</f>
        <v>0</v>
      </c>
      <c r="BE28" s="864">
        <f>INDEX(Tiere2!V$30:V$79,'Betriebe mit Separation'!$AP28)</f>
        <v>0</v>
      </c>
      <c r="BF28" s="624">
        <f>INDEX(Tiere2!W$30:W$79,'Betriebe mit Separation'!$AP28)</f>
        <v>0</v>
      </c>
      <c r="BG28" s="624">
        <f>INDEX(Tiere2!X$30:X$79,'Betriebe mit Separation'!$AP28)</f>
        <v>0</v>
      </c>
      <c r="BH28" s="624">
        <f>INDEX(Tiere2!Y$30:Y$79,'Betriebe mit Separation'!$AP28)</f>
        <v>0</v>
      </c>
      <c r="BI28" s="620">
        <v>5</v>
      </c>
      <c r="BJ28" s="620">
        <v>3</v>
      </c>
      <c r="BK28" s="622">
        <v>17</v>
      </c>
      <c r="BL28" s="622">
        <f>INDEX(Tiere2!Z$30:Z$79,'Betriebe mit Separation'!$AP28)</f>
        <v>0</v>
      </c>
      <c r="BM28" s="622">
        <f>INDEX(Tiere2!AA$30:AA$79,'Betriebe mit Separation'!$AP28)</f>
        <v>0</v>
      </c>
      <c r="BN28" s="620">
        <f t="shared" si="26"/>
        <v>0</v>
      </c>
      <c r="BO28" s="620">
        <f t="shared" si="3"/>
        <v>0</v>
      </c>
      <c r="BP28" s="621">
        <f t="shared" si="27"/>
        <v>0</v>
      </c>
      <c r="BQ28" s="622">
        <f t="shared" si="28"/>
        <v>0</v>
      </c>
      <c r="BR28" s="620"/>
      <c r="BS28" s="620" t="b">
        <f t="shared" si="29"/>
        <v>0</v>
      </c>
      <c r="BT28" s="620"/>
      <c r="BU28" s="620"/>
      <c r="BV28" s="33"/>
      <c r="BW28" s="33"/>
      <c r="BX28" s="33"/>
      <c r="BY28" s="33"/>
      <c r="BZ28" s="33"/>
      <c r="CA28" s="33"/>
      <c r="CB28" s="33"/>
      <c r="CC28" s="33"/>
    </row>
    <row r="29" spans="1:83" ht="15.75" customHeight="1" x14ac:dyDescent="0.2">
      <c r="A29" s="1354"/>
      <c r="B29" s="1355"/>
      <c r="C29" s="1355"/>
      <c r="D29" s="923"/>
      <c r="E29" s="929"/>
      <c r="F29" s="674"/>
      <c r="G29" s="923"/>
      <c r="H29" s="932"/>
      <c r="I29" s="934" t="str">
        <f t="shared" si="4"/>
        <v xml:space="preserve"> </v>
      </c>
      <c r="J29" s="934" t="str">
        <f t="shared" si="5"/>
        <v xml:space="preserve"> </v>
      </c>
      <c r="K29" s="34"/>
      <c r="L29" s="34"/>
      <c r="M29" s="57"/>
      <c r="N29" s="620" t="str">
        <f t="shared" si="6"/>
        <v xml:space="preserve"> </v>
      </c>
      <c r="O29" s="620"/>
      <c r="P29" s="679">
        <f>IF(AX29=0,0,D29)</f>
        <v>0</v>
      </c>
      <c r="Q29" s="680">
        <f t="shared" si="30"/>
        <v>0</v>
      </c>
      <c r="R29" s="621">
        <f t="shared" si="8"/>
        <v>0</v>
      </c>
      <c r="S29" s="620">
        <f t="shared" si="9"/>
        <v>0</v>
      </c>
      <c r="T29" s="620">
        <f t="shared" si="10"/>
        <v>0</v>
      </c>
      <c r="U29" s="622">
        <f t="shared" si="11"/>
        <v>0</v>
      </c>
      <c r="V29" s="717">
        <f>INDEX(Tiere2!K$30:K$79,'Betriebe mit Separation'!$AP29)</f>
        <v>0</v>
      </c>
      <c r="W29" s="717">
        <f>INDEX(Tiere2!S$30:S$79,'Betriebe mit Separation'!AP29)</f>
        <v>0</v>
      </c>
      <c r="X29" s="621">
        <f t="shared" si="12"/>
        <v>0</v>
      </c>
      <c r="Y29" s="620">
        <f t="shared" si="13"/>
        <v>0</v>
      </c>
      <c r="Z29" s="622">
        <f t="shared" si="14"/>
        <v>0</v>
      </c>
      <c r="AA29" s="717">
        <f>INDEX(Tiere2!P$30:P$79,'Betriebe mit Separation'!$AP29)</f>
        <v>0</v>
      </c>
      <c r="AB29" s="621">
        <f t="shared" si="15"/>
        <v>0</v>
      </c>
      <c r="AC29" s="620">
        <f t="shared" si="16"/>
        <v>0</v>
      </c>
      <c r="AD29" s="622">
        <f t="shared" si="17"/>
        <v>0</v>
      </c>
      <c r="AE29" s="620"/>
      <c r="AF29" s="621">
        <f t="shared" si="18"/>
        <v>0</v>
      </c>
      <c r="AG29" s="620">
        <f t="shared" si="0"/>
        <v>0</v>
      </c>
      <c r="AH29" s="623">
        <f t="shared" si="1"/>
        <v>0</v>
      </c>
      <c r="AI29" s="624">
        <f t="shared" si="2"/>
        <v>0</v>
      </c>
      <c r="AJ29" s="625">
        <f t="shared" si="19"/>
        <v>0</v>
      </c>
      <c r="AK29" s="624">
        <f t="shared" si="20"/>
        <v>0</v>
      </c>
      <c r="AL29" s="625">
        <f t="shared" si="31"/>
        <v>0</v>
      </c>
      <c r="AM29" s="625">
        <f t="shared" si="21"/>
        <v>0</v>
      </c>
      <c r="AN29" s="625">
        <f t="shared" si="22"/>
        <v>0</v>
      </c>
      <c r="AO29" s="626">
        <f t="shared" si="23"/>
        <v>1</v>
      </c>
      <c r="AP29" s="627">
        <v>1</v>
      </c>
      <c r="AQ29" s="627">
        <v>1</v>
      </c>
      <c r="AR29" s="626">
        <f>INDEX(Tiere2!C$30:C$79,'Betriebe mit Separation'!$AP29)</f>
        <v>0</v>
      </c>
      <c r="AS29" s="626" t="str">
        <f t="shared" si="24"/>
        <v>1</v>
      </c>
      <c r="AT29" s="626">
        <f t="shared" si="25"/>
        <v>0</v>
      </c>
      <c r="AU29" s="625">
        <f>INDEX(Tiere2!D$30:D$79,'Betriebe mit Separation'!$AP29)</f>
        <v>0</v>
      </c>
      <c r="AV29" s="623">
        <f>INDEX(Tiere2!E$30:E$79,'Betriebe mit Separation'!$AP29)</f>
        <v>0</v>
      </c>
      <c r="AW29" s="624">
        <f>INDEX(Tiere2!F$30:F$79,'Betriebe mit Separation'!$AP29)</f>
        <v>0</v>
      </c>
      <c r="AX29" s="623">
        <f>INDEX(Tiere2!J$30:J$79,'Betriebe mit Separation'!$AP29)</f>
        <v>0</v>
      </c>
      <c r="AY29" s="623">
        <f>INDEX(Tiere2!R$30:R$79,'Betriebe mit Separation'!$AP29)</f>
        <v>0</v>
      </c>
      <c r="AZ29" s="625">
        <f>INDEX(Tiere2!M$30:M$79,'Betriebe mit Separation'!$AP29)</f>
        <v>0</v>
      </c>
      <c r="BA29" s="623">
        <f>INDEX(Tiere2!N$30:N$79,'Betriebe mit Separation'!$AP29)</f>
        <v>0</v>
      </c>
      <c r="BB29" s="624">
        <f>INDEX(Tiere2!O$30:O$79,'Betriebe mit Separation'!$AP29)</f>
        <v>0</v>
      </c>
      <c r="BC29" s="625">
        <f>INDEX(Tiere2!T$30:T$79,'Betriebe mit Separation'!$AP29)</f>
        <v>0</v>
      </c>
      <c r="BD29" s="624">
        <f>INDEX(Tiere2!U$30:U$79,'Betriebe mit Separation'!$AP29)</f>
        <v>0</v>
      </c>
      <c r="BE29" s="864">
        <f>INDEX(Tiere2!V$30:V$79,'Betriebe mit Separation'!$AP29)</f>
        <v>0</v>
      </c>
      <c r="BF29" s="624">
        <f>INDEX(Tiere2!W$30:W$79,'Betriebe mit Separation'!$AP29)</f>
        <v>0</v>
      </c>
      <c r="BG29" s="624">
        <f>INDEX(Tiere2!X$30:X$79,'Betriebe mit Separation'!$AP29)</f>
        <v>0</v>
      </c>
      <c r="BH29" s="624">
        <f>INDEX(Tiere2!Y$30:Y$79,'Betriebe mit Separation'!$AP29)</f>
        <v>0</v>
      </c>
      <c r="BI29" s="57">
        <v>5</v>
      </c>
      <c r="BJ29" s="57">
        <v>3</v>
      </c>
      <c r="BK29" s="458">
        <v>17</v>
      </c>
      <c r="BL29" s="622">
        <f>INDEX(Tiere2!Z$30:Z$79,'Betriebe mit Separation'!$AP29)</f>
        <v>0</v>
      </c>
      <c r="BM29" s="622">
        <f>INDEX(Tiere2!AA$30:AA$79,'Betriebe mit Separation'!$AP29)</f>
        <v>0</v>
      </c>
      <c r="BN29" s="620">
        <f t="shared" si="26"/>
        <v>0</v>
      </c>
      <c r="BO29" s="620">
        <f t="shared" si="3"/>
        <v>0</v>
      </c>
      <c r="BP29" s="621">
        <f t="shared" si="27"/>
        <v>0</v>
      </c>
      <c r="BQ29" s="622">
        <f t="shared" si="28"/>
        <v>0</v>
      </c>
      <c r="BR29" s="57"/>
      <c r="BS29" s="620" t="b">
        <f t="shared" si="29"/>
        <v>0</v>
      </c>
      <c r="BT29" s="57"/>
      <c r="BU29" s="57"/>
      <c r="BV29" s="34"/>
      <c r="BW29" s="34"/>
      <c r="BX29" s="34"/>
      <c r="BY29" s="34"/>
      <c r="BZ29" s="34"/>
      <c r="CA29" s="34"/>
      <c r="CB29" s="34"/>
      <c r="CC29" s="33"/>
      <c r="CD29" s="53"/>
    </row>
    <row r="30" spans="1:83" ht="15.75" customHeight="1" x14ac:dyDescent="0.2">
      <c r="A30" s="1354"/>
      <c r="B30" s="1355"/>
      <c r="C30" s="1355"/>
      <c r="D30" s="923"/>
      <c r="E30" s="929"/>
      <c r="F30" s="674"/>
      <c r="G30" s="923"/>
      <c r="H30" s="932"/>
      <c r="I30" s="934" t="str">
        <f t="shared" si="4"/>
        <v xml:space="preserve"> </v>
      </c>
      <c r="J30" s="934" t="str">
        <f t="shared" si="5"/>
        <v xml:space="preserve"> </v>
      </c>
      <c r="K30" s="34"/>
      <c r="L30" s="34"/>
      <c r="M30" s="57"/>
      <c r="N30" s="620" t="str">
        <f t="shared" si="6"/>
        <v xml:space="preserve"> </v>
      </c>
      <c r="O30" s="620"/>
      <c r="P30" s="679">
        <f t="shared" si="7"/>
        <v>0</v>
      </c>
      <c r="Q30" s="680">
        <f t="shared" si="30"/>
        <v>0</v>
      </c>
      <c r="R30" s="621">
        <f t="shared" si="8"/>
        <v>0</v>
      </c>
      <c r="S30" s="620">
        <f t="shared" si="9"/>
        <v>0</v>
      </c>
      <c r="T30" s="620">
        <f t="shared" si="10"/>
        <v>0</v>
      </c>
      <c r="U30" s="622">
        <f t="shared" si="11"/>
        <v>0</v>
      </c>
      <c r="V30" s="717">
        <f>INDEX(Tiere2!K$30:K$79,'Betriebe mit Separation'!$AP30)</f>
        <v>0</v>
      </c>
      <c r="W30" s="717">
        <f>INDEX(Tiere2!S$30:S$79,'Betriebe mit Separation'!AP30)</f>
        <v>0</v>
      </c>
      <c r="X30" s="621">
        <f t="shared" si="12"/>
        <v>0</v>
      </c>
      <c r="Y30" s="620">
        <f t="shared" si="13"/>
        <v>0</v>
      </c>
      <c r="Z30" s="622">
        <f t="shared" si="14"/>
        <v>0</v>
      </c>
      <c r="AA30" s="717">
        <f>INDEX(Tiere2!P$30:P$79,'Betriebe mit Separation'!$AP30)</f>
        <v>0</v>
      </c>
      <c r="AB30" s="621">
        <f t="shared" si="15"/>
        <v>0</v>
      </c>
      <c r="AC30" s="620">
        <f t="shared" si="16"/>
        <v>0</v>
      </c>
      <c r="AD30" s="622">
        <f t="shared" si="17"/>
        <v>0</v>
      </c>
      <c r="AE30" s="620"/>
      <c r="AF30" s="621">
        <f t="shared" si="18"/>
        <v>0</v>
      </c>
      <c r="AG30" s="620">
        <f t="shared" si="0"/>
        <v>0</v>
      </c>
      <c r="AH30" s="623">
        <f t="shared" si="1"/>
        <v>0</v>
      </c>
      <c r="AI30" s="624">
        <f t="shared" si="2"/>
        <v>0</v>
      </c>
      <c r="AJ30" s="625">
        <f t="shared" si="19"/>
        <v>0</v>
      </c>
      <c r="AK30" s="624">
        <f t="shared" si="20"/>
        <v>0</v>
      </c>
      <c r="AL30" s="625">
        <f t="shared" si="31"/>
        <v>0</v>
      </c>
      <c r="AM30" s="625">
        <f t="shared" si="21"/>
        <v>0</v>
      </c>
      <c r="AN30" s="625">
        <f t="shared" si="22"/>
        <v>0</v>
      </c>
      <c r="AO30" s="626">
        <f t="shared" si="23"/>
        <v>1</v>
      </c>
      <c r="AP30" s="627">
        <v>1</v>
      </c>
      <c r="AQ30" s="627">
        <v>1</v>
      </c>
      <c r="AR30" s="626">
        <f>INDEX(Tiere2!C$30:C$79,'Betriebe mit Separation'!$AP30)</f>
        <v>0</v>
      </c>
      <c r="AS30" s="626" t="str">
        <f t="shared" si="24"/>
        <v>1</v>
      </c>
      <c r="AT30" s="626">
        <f t="shared" si="25"/>
        <v>0</v>
      </c>
      <c r="AU30" s="625">
        <f>INDEX(Tiere2!D$30:D$79,'Betriebe mit Separation'!$AP30)</f>
        <v>0</v>
      </c>
      <c r="AV30" s="623">
        <f>INDEX(Tiere2!E$30:E$79,'Betriebe mit Separation'!$AP30)</f>
        <v>0</v>
      </c>
      <c r="AW30" s="624">
        <f>INDEX(Tiere2!F$30:F$79,'Betriebe mit Separation'!$AP30)</f>
        <v>0</v>
      </c>
      <c r="AX30" s="623">
        <f>INDEX(Tiere2!J$30:J$79,'Betriebe mit Separation'!$AP30)</f>
        <v>0</v>
      </c>
      <c r="AY30" s="623">
        <f>INDEX(Tiere2!R$30:R$79,'Betriebe mit Separation'!$AP30)</f>
        <v>0</v>
      </c>
      <c r="AZ30" s="625">
        <f>INDEX(Tiere2!M$30:M$79,'Betriebe mit Separation'!$AP30)</f>
        <v>0</v>
      </c>
      <c r="BA30" s="623">
        <f>INDEX(Tiere2!N$30:N$79,'Betriebe mit Separation'!$AP30)</f>
        <v>0</v>
      </c>
      <c r="BB30" s="624">
        <f>INDEX(Tiere2!O$30:O$79,'Betriebe mit Separation'!$AP30)</f>
        <v>0</v>
      </c>
      <c r="BC30" s="625">
        <f>INDEX(Tiere2!T$30:T$79,'Betriebe mit Separation'!$AP30)</f>
        <v>0</v>
      </c>
      <c r="BD30" s="624">
        <f>INDEX(Tiere2!U$30:U$79,'Betriebe mit Separation'!$AP30)</f>
        <v>0</v>
      </c>
      <c r="BE30" s="864">
        <f>INDEX(Tiere2!V$30:V$79,'Betriebe mit Separation'!$AP30)</f>
        <v>0</v>
      </c>
      <c r="BF30" s="624">
        <f>INDEX(Tiere2!W$30:W$79,'Betriebe mit Separation'!$AP30)</f>
        <v>0</v>
      </c>
      <c r="BG30" s="624">
        <f>INDEX(Tiere2!X$30:X$79,'Betriebe mit Separation'!$AP30)</f>
        <v>0</v>
      </c>
      <c r="BH30" s="624">
        <f>INDEX(Tiere2!Y$30:Y$79,'Betriebe mit Separation'!$AP30)</f>
        <v>0</v>
      </c>
      <c r="BI30" s="57">
        <v>5</v>
      </c>
      <c r="BJ30" s="57">
        <v>3</v>
      </c>
      <c r="BK30" s="458">
        <v>17</v>
      </c>
      <c r="BL30" s="622">
        <f>INDEX(Tiere2!Z$30:Z$79,'Betriebe mit Separation'!$AP30)</f>
        <v>0</v>
      </c>
      <c r="BM30" s="622">
        <f>INDEX(Tiere2!AA$30:AA$79,'Betriebe mit Separation'!$AP30)</f>
        <v>0</v>
      </c>
      <c r="BN30" s="620">
        <f t="shared" si="26"/>
        <v>0</v>
      </c>
      <c r="BO30" s="620">
        <f t="shared" si="3"/>
        <v>0</v>
      </c>
      <c r="BP30" s="621">
        <f t="shared" si="27"/>
        <v>0</v>
      </c>
      <c r="BQ30" s="622">
        <f t="shared" si="28"/>
        <v>0</v>
      </c>
      <c r="BR30" s="57"/>
      <c r="BS30" s="620" t="b">
        <f t="shared" si="29"/>
        <v>0</v>
      </c>
      <c r="BT30" s="57"/>
      <c r="BU30" s="57"/>
      <c r="BV30" s="34"/>
      <c r="BW30" s="34"/>
      <c r="BX30" s="34"/>
      <c r="BY30" s="34"/>
      <c r="BZ30" s="34"/>
      <c r="CA30" s="34"/>
      <c r="CB30" s="34"/>
      <c r="CC30" s="33"/>
    </row>
    <row r="31" spans="1:83" ht="15.75" customHeight="1" x14ac:dyDescent="0.2">
      <c r="A31" s="1354"/>
      <c r="B31" s="1355"/>
      <c r="C31" s="1355"/>
      <c r="D31" s="923"/>
      <c r="E31" s="929"/>
      <c r="F31" s="674"/>
      <c r="G31" s="923"/>
      <c r="H31" s="932"/>
      <c r="I31" s="934" t="str">
        <f t="shared" si="4"/>
        <v xml:space="preserve"> </v>
      </c>
      <c r="J31" s="934" t="str">
        <f t="shared" si="5"/>
        <v xml:space="preserve"> </v>
      </c>
      <c r="K31" s="34"/>
      <c r="L31" s="34"/>
      <c r="M31" s="57"/>
      <c r="N31" s="620" t="str">
        <f t="shared" si="6"/>
        <v xml:space="preserve"> </v>
      </c>
      <c r="O31" s="620"/>
      <c r="P31" s="679">
        <f t="shared" si="7"/>
        <v>0</v>
      </c>
      <c r="Q31" s="680">
        <f t="shared" si="30"/>
        <v>0</v>
      </c>
      <c r="R31" s="621">
        <f t="shared" si="8"/>
        <v>0</v>
      </c>
      <c r="S31" s="620">
        <f t="shared" si="9"/>
        <v>0</v>
      </c>
      <c r="T31" s="620">
        <f t="shared" si="10"/>
        <v>0</v>
      </c>
      <c r="U31" s="622">
        <f t="shared" si="11"/>
        <v>0</v>
      </c>
      <c r="V31" s="717">
        <f>INDEX(Tiere2!K$30:K$79,'Betriebe mit Separation'!$AP31)</f>
        <v>0</v>
      </c>
      <c r="W31" s="717">
        <f>INDEX(Tiere2!S$30:S$79,'Betriebe mit Separation'!AP31)</f>
        <v>0</v>
      </c>
      <c r="X31" s="621">
        <f t="shared" si="12"/>
        <v>0</v>
      </c>
      <c r="Y31" s="620">
        <f t="shared" si="13"/>
        <v>0</v>
      </c>
      <c r="Z31" s="622">
        <f t="shared" si="14"/>
        <v>0</v>
      </c>
      <c r="AA31" s="717">
        <f>INDEX(Tiere2!P$30:P$79,'Betriebe mit Separation'!$AP31)</f>
        <v>0</v>
      </c>
      <c r="AB31" s="621">
        <f t="shared" si="15"/>
        <v>0</v>
      </c>
      <c r="AC31" s="620">
        <f t="shared" si="16"/>
        <v>0</v>
      </c>
      <c r="AD31" s="622">
        <f t="shared" si="17"/>
        <v>0</v>
      </c>
      <c r="AE31" s="620"/>
      <c r="AF31" s="621">
        <f t="shared" si="18"/>
        <v>0</v>
      </c>
      <c r="AG31" s="620">
        <f t="shared" si="0"/>
        <v>0</v>
      </c>
      <c r="AH31" s="623">
        <f t="shared" si="1"/>
        <v>0</v>
      </c>
      <c r="AI31" s="624">
        <f t="shared" si="2"/>
        <v>0</v>
      </c>
      <c r="AJ31" s="625">
        <f t="shared" si="19"/>
        <v>0</v>
      </c>
      <c r="AK31" s="624">
        <f t="shared" si="20"/>
        <v>0</v>
      </c>
      <c r="AL31" s="625">
        <f t="shared" si="31"/>
        <v>0</v>
      </c>
      <c r="AM31" s="625">
        <f t="shared" si="21"/>
        <v>0</v>
      </c>
      <c r="AN31" s="625">
        <f t="shared" si="22"/>
        <v>0</v>
      </c>
      <c r="AO31" s="626">
        <f t="shared" si="23"/>
        <v>1</v>
      </c>
      <c r="AP31" s="627">
        <v>1</v>
      </c>
      <c r="AQ31" s="627">
        <v>1</v>
      </c>
      <c r="AR31" s="626">
        <f>INDEX(Tiere2!C$30:C$79,'Betriebe mit Separation'!$AP31)</f>
        <v>0</v>
      </c>
      <c r="AS31" s="626" t="str">
        <f t="shared" si="24"/>
        <v>1</v>
      </c>
      <c r="AT31" s="626">
        <f t="shared" si="25"/>
        <v>0</v>
      </c>
      <c r="AU31" s="625">
        <f>INDEX(Tiere2!D$30:D$79,'Betriebe mit Separation'!$AP31)</f>
        <v>0</v>
      </c>
      <c r="AV31" s="623">
        <f>INDEX(Tiere2!E$30:E$79,'Betriebe mit Separation'!$AP31)</f>
        <v>0</v>
      </c>
      <c r="AW31" s="624">
        <f>INDEX(Tiere2!F$30:F$79,'Betriebe mit Separation'!$AP31)</f>
        <v>0</v>
      </c>
      <c r="AX31" s="623">
        <f>INDEX(Tiere2!J$30:J$79,'Betriebe mit Separation'!$AP31)</f>
        <v>0</v>
      </c>
      <c r="AY31" s="623">
        <f>INDEX(Tiere2!R$30:R$79,'Betriebe mit Separation'!$AP31)</f>
        <v>0</v>
      </c>
      <c r="AZ31" s="625">
        <f>INDEX(Tiere2!M$30:M$79,'Betriebe mit Separation'!$AP31)</f>
        <v>0</v>
      </c>
      <c r="BA31" s="623">
        <f>INDEX(Tiere2!N$30:N$79,'Betriebe mit Separation'!$AP31)</f>
        <v>0</v>
      </c>
      <c r="BB31" s="624">
        <f>INDEX(Tiere2!O$30:O$79,'Betriebe mit Separation'!$AP31)</f>
        <v>0</v>
      </c>
      <c r="BC31" s="625">
        <f>INDEX(Tiere2!T$30:T$79,'Betriebe mit Separation'!$AP31)</f>
        <v>0</v>
      </c>
      <c r="BD31" s="624">
        <f>INDEX(Tiere2!U$30:U$79,'Betriebe mit Separation'!$AP31)</f>
        <v>0</v>
      </c>
      <c r="BE31" s="864">
        <f>INDEX(Tiere2!V$30:V$79,'Betriebe mit Separation'!$AP31)</f>
        <v>0</v>
      </c>
      <c r="BF31" s="624">
        <f>INDEX(Tiere2!W$30:W$79,'Betriebe mit Separation'!$AP31)</f>
        <v>0</v>
      </c>
      <c r="BG31" s="624">
        <f>INDEX(Tiere2!X$30:X$79,'Betriebe mit Separation'!$AP31)</f>
        <v>0</v>
      </c>
      <c r="BH31" s="624">
        <f>INDEX(Tiere2!Y$30:Y$79,'Betriebe mit Separation'!$AP31)</f>
        <v>0</v>
      </c>
      <c r="BI31" s="57">
        <v>5</v>
      </c>
      <c r="BJ31" s="57">
        <v>3</v>
      </c>
      <c r="BK31" s="458">
        <v>17</v>
      </c>
      <c r="BL31" s="622">
        <f>INDEX(Tiere2!Z$30:Z$79,'Betriebe mit Separation'!$AP31)</f>
        <v>0</v>
      </c>
      <c r="BM31" s="622">
        <f>INDEX(Tiere2!AA$30:AA$79,'Betriebe mit Separation'!$AP31)</f>
        <v>0</v>
      </c>
      <c r="BN31" s="620">
        <f t="shared" si="26"/>
        <v>0</v>
      </c>
      <c r="BO31" s="620">
        <f t="shared" si="3"/>
        <v>0</v>
      </c>
      <c r="BP31" s="621">
        <f t="shared" si="27"/>
        <v>0</v>
      </c>
      <c r="BQ31" s="622">
        <f t="shared" si="28"/>
        <v>0</v>
      </c>
      <c r="BR31" s="57"/>
      <c r="BS31" s="620" t="b">
        <f t="shared" si="29"/>
        <v>0</v>
      </c>
      <c r="BT31" s="57"/>
      <c r="BU31" s="57"/>
      <c r="BV31" s="34"/>
      <c r="BW31" s="34"/>
      <c r="BX31" s="34"/>
      <c r="BY31" s="34"/>
      <c r="BZ31" s="34"/>
      <c r="CA31" s="34"/>
      <c r="CB31" s="34"/>
      <c r="CC31" s="33"/>
    </row>
    <row r="32" spans="1:83" ht="15.75" customHeight="1" x14ac:dyDescent="0.2">
      <c r="A32" s="1354"/>
      <c r="B32" s="1355"/>
      <c r="C32" s="1355"/>
      <c r="D32" s="923"/>
      <c r="E32" s="929"/>
      <c r="F32" s="674"/>
      <c r="G32" s="923"/>
      <c r="H32" s="932"/>
      <c r="I32" s="934" t="str">
        <f t="shared" si="4"/>
        <v xml:space="preserve"> </v>
      </c>
      <c r="J32" s="934" t="str">
        <f t="shared" si="5"/>
        <v xml:space="preserve"> </v>
      </c>
      <c r="K32" s="34"/>
      <c r="L32" s="34"/>
      <c r="M32" s="57"/>
      <c r="N32" s="620" t="str">
        <f t="shared" si="6"/>
        <v xml:space="preserve"> </v>
      </c>
      <c r="O32" s="620"/>
      <c r="P32" s="679">
        <f t="shared" si="7"/>
        <v>0</v>
      </c>
      <c r="Q32" s="680">
        <f t="shared" si="30"/>
        <v>0</v>
      </c>
      <c r="R32" s="621">
        <f t="shared" si="8"/>
        <v>0</v>
      </c>
      <c r="S32" s="620">
        <f t="shared" si="9"/>
        <v>0</v>
      </c>
      <c r="T32" s="620">
        <f t="shared" si="10"/>
        <v>0</v>
      </c>
      <c r="U32" s="622">
        <f t="shared" si="11"/>
        <v>0</v>
      </c>
      <c r="V32" s="717">
        <f>INDEX(Tiere2!K$30:K$79,'Betriebe mit Separation'!$AP32)</f>
        <v>0</v>
      </c>
      <c r="W32" s="717">
        <f>INDEX(Tiere2!S$30:S$79,'Betriebe mit Separation'!AP32)</f>
        <v>0</v>
      </c>
      <c r="X32" s="621">
        <f t="shared" si="12"/>
        <v>0</v>
      </c>
      <c r="Y32" s="620">
        <f t="shared" si="13"/>
        <v>0</v>
      </c>
      <c r="Z32" s="622">
        <f t="shared" si="14"/>
        <v>0</v>
      </c>
      <c r="AA32" s="717">
        <f>INDEX(Tiere2!P$30:P$79,'Betriebe mit Separation'!$AP32)</f>
        <v>0</v>
      </c>
      <c r="AB32" s="621">
        <f t="shared" si="15"/>
        <v>0</v>
      </c>
      <c r="AC32" s="620">
        <f t="shared" si="16"/>
        <v>0</v>
      </c>
      <c r="AD32" s="622">
        <f t="shared" si="17"/>
        <v>0</v>
      </c>
      <c r="AE32" s="620"/>
      <c r="AF32" s="621">
        <f t="shared" si="18"/>
        <v>0</v>
      </c>
      <c r="AG32" s="620">
        <f t="shared" si="0"/>
        <v>0</v>
      </c>
      <c r="AH32" s="623">
        <f t="shared" si="1"/>
        <v>0</v>
      </c>
      <c r="AI32" s="624">
        <f t="shared" si="2"/>
        <v>0</v>
      </c>
      <c r="AJ32" s="625">
        <f t="shared" si="19"/>
        <v>0</v>
      </c>
      <c r="AK32" s="624">
        <f t="shared" si="20"/>
        <v>0</v>
      </c>
      <c r="AL32" s="625">
        <f t="shared" si="31"/>
        <v>0</v>
      </c>
      <c r="AM32" s="625">
        <f t="shared" si="21"/>
        <v>0</v>
      </c>
      <c r="AN32" s="625">
        <f t="shared" si="22"/>
        <v>0</v>
      </c>
      <c r="AO32" s="626">
        <f t="shared" si="23"/>
        <v>1</v>
      </c>
      <c r="AP32" s="627">
        <v>1</v>
      </c>
      <c r="AQ32" s="627">
        <v>1</v>
      </c>
      <c r="AR32" s="626">
        <f>INDEX(Tiere2!C$30:C$79,'Betriebe mit Separation'!$AP32)</f>
        <v>0</v>
      </c>
      <c r="AS32" s="626" t="str">
        <f t="shared" si="24"/>
        <v>1</v>
      </c>
      <c r="AT32" s="626">
        <f t="shared" si="25"/>
        <v>0</v>
      </c>
      <c r="AU32" s="625">
        <f>INDEX(Tiere2!D$30:D$79,'Betriebe mit Separation'!$AP32)</f>
        <v>0</v>
      </c>
      <c r="AV32" s="623">
        <f>INDEX(Tiere2!E$30:E$79,'Betriebe mit Separation'!$AP32)</f>
        <v>0</v>
      </c>
      <c r="AW32" s="624">
        <f>INDEX(Tiere2!F$30:F$79,'Betriebe mit Separation'!$AP32)</f>
        <v>0</v>
      </c>
      <c r="AX32" s="623">
        <f>INDEX(Tiere2!J$30:J$79,'Betriebe mit Separation'!$AP32)</f>
        <v>0</v>
      </c>
      <c r="AY32" s="623">
        <f>INDEX(Tiere2!R$30:R$79,'Betriebe mit Separation'!$AP32)</f>
        <v>0</v>
      </c>
      <c r="AZ32" s="625">
        <f>INDEX(Tiere2!M$30:M$79,'Betriebe mit Separation'!$AP32)</f>
        <v>0</v>
      </c>
      <c r="BA32" s="623">
        <f>INDEX(Tiere2!N$30:N$79,'Betriebe mit Separation'!$AP32)</f>
        <v>0</v>
      </c>
      <c r="BB32" s="624">
        <f>INDEX(Tiere2!O$30:O$79,'Betriebe mit Separation'!$AP32)</f>
        <v>0</v>
      </c>
      <c r="BC32" s="625">
        <f>INDEX(Tiere2!T$30:T$79,'Betriebe mit Separation'!$AP32)</f>
        <v>0</v>
      </c>
      <c r="BD32" s="624">
        <f>INDEX(Tiere2!U$30:U$79,'Betriebe mit Separation'!$AP32)</f>
        <v>0</v>
      </c>
      <c r="BE32" s="864">
        <f>INDEX(Tiere2!V$30:V$79,'Betriebe mit Separation'!$AP32)</f>
        <v>0</v>
      </c>
      <c r="BF32" s="624">
        <f>INDEX(Tiere2!W$30:W$79,'Betriebe mit Separation'!$AP32)</f>
        <v>0</v>
      </c>
      <c r="BG32" s="624">
        <f>INDEX(Tiere2!X$30:X$79,'Betriebe mit Separation'!$AP32)</f>
        <v>0</v>
      </c>
      <c r="BH32" s="624">
        <f>INDEX(Tiere2!Y$30:Y$79,'Betriebe mit Separation'!$AP32)</f>
        <v>0</v>
      </c>
      <c r="BI32" s="57">
        <v>5</v>
      </c>
      <c r="BJ32" s="57">
        <v>3</v>
      </c>
      <c r="BK32" s="458">
        <v>17</v>
      </c>
      <c r="BL32" s="622">
        <f>INDEX(Tiere2!Z$30:Z$79,'Betriebe mit Separation'!$AP32)</f>
        <v>0</v>
      </c>
      <c r="BM32" s="622">
        <f>INDEX(Tiere2!AA$30:AA$79,'Betriebe mit Separation'!$AP32)</f>
        <v>0</v>
      </c>
      <c r="BN32" s="620">
        <f t="shared" si="26"/>
        <v>0</v>
      </c>
      <c r="BO32" s="620">
        <f t="shared" si="3"/>
        <v>0</v>
      </c>
      <c r="BP32" s="621">
        <f t="shared" si="27"/>
        <v>0</v>
      </c>
      <c r="BQ32" s="622">
        <f t="shared" si="28"/>
        <v>0</v>
      </c>
      <c r="BR32" s="57"/>
      <c r="BS32" s="620" t="b">
        <f t="shared" si="29"/>
        <v>0</v>
      </c>
      <c r="BT32" s="57"/>
      <c r="BU32" s="57"/>
      <c r="BV32" s="34"/>
      <c r="BW32" s="34"/>
      <c r="BX32" s="34"/>
      <c r="BY32" s="34"/>
      <c r="BZ32" s="34"/>
      <c r="CA32" s="34"/>
      <c r="CB32" s="34"/>
      <c r="CC32" s="33"/>
    </row>
    <row r="33" spans="1:83" ht="15.75" customHeight="1" x14ac:dyDescent="0.2">
      <c r="A33" s="1354"/>
      <c r="B33" s="1355"/>
      <c r="C33" s="1355"/>
      <c r="D33" s="923"/>
      <c r="E33" s="929"/>
      <c r="F33" s="674"/>
      <c r="G33" s="923"/>
      <c r="H33" s="932"/>
      <c r="I33" s="934" t="str">
        <f t="shared" si="4"/>
        <v xml:space="preserve"> </v>
      </c>
      <c r="J33" s="934" t="str">
        <f t="shared" si="5"/>
        <v xml:space="preserve"> </v>
      </c>
      <c r="K33" s="34"/>
      <c r="L33" s="34"/>
      <c r="M33" s="57"/>
      <c r="N33" s="620" t="str">
        <f t="shared" si="6"/>
        <v xml:space="preserve"> </v>
      </c>
      <c r="O33" s="620"/>
      <c r="P33" s="679">
        <f t="shared" si="7"/>
        <v>0</v>
      </c>
      <c r="Q33" s="680">
        <f t="shared" si="30"/>
        <v>0</v>
      </c>
      <c r="R33" s="621">
        <f t="shared" si="8"/>
        <v>0</v>
      </c>
      <c r="S33" s="620">
        <f t="shared" si="9"/>
        <v>0</v>
      </c>
      <c r="T33" s="620">
        <f t="shared" si="10"/>
        <v>0</v>
      </c>
      <c r="U33" s="622">
        <f t="shared" si="11"/>
        <v>0</v>
      </c>
      <c r="V33" s="717">
        <f>INDEX(Tiere2!K$30:K$79,'Betriebe mit Separation'!$AP33)</f>
        <v>0</v>
      </c>
      <c r="W33" s="717">
        <f>INDEX(Tiere2!S$30:S$79,'Betriebe mit Separation'!AP33)</f>
        <v>0</v>
      </c>
      <c r="X33" s="621">
        <f t="shared" si="12"/>
        <v>0</v>
      </c>
      <c r="Y33" s="620">
        <f t="shared" si="13"/>
        <v>0</v>
      </c>
      <c r="Z33" s="622">
        <f t="shared" si="14"/>
        <v>0</v>
      </c>
      <c r="AA33" s="717">
        <f>INDEX(Tiere2!P$30:P$79,'Betriebe mit Separation'!$AP33)</f>
        <v>0</v>
      </c>
      <c r="AB33" s="621">
        <f t="shared" si="15"/>
        <v>0</v>
      </c>
      <c r="AC33" s="620">
        <f t="shared" si="16"/>
        <v>0</v>
      </c>
      <c r="AD33" s="622">
        <f t="shared" si="17"/>
        <v>0</v>
      </c>
      <c r="AE33" s="620"/>
      <c r="AF33" s="621">
        <f t="shared" si="18"/>
        <v>0</v>
      </c>
      <c r="AG33" s="620">
        <f t="shared" si="0"/>
        <v>0</v>
      </c>
      <c r="AH33" s="623">
        <f t="shared" si="1"/>
        <v>0</v>
      </c>
      <c r="AI33" s="624">
        <f t="shared" si="2"/>
        <v>0</v>
      </c>
      <c r="AJ33" s="625">
        <f t="shared" si="19"/>
        <v>0</v>
      </c>
      <c r="AK33" s="624">
        <f t="shared" si="20"/>
        <v>0</v>
      </c>
      <c r="AL33" s="625">
        <f t="shared" si="31"/>
        <v>0</v>
      </c>
      <c r="AM33" s="625">
        <f t="shared" si="21"/>
        <v>0</v>
      </c>
      <c r="AN33" s="625">
        <f t="shared" si="22"/>
        <v>0</v>
      </c>
      <c r="AO33" s="626">
        <f t="shared" si="23"/>
        <v>1</v>
      </c>
      <c r="AP33" s="627">
        <v>1</v>
      </c>
      <c r="AQ33" s="627">
        <v>1</v>
      </c>
      <c r="AR33" s="626">
        <f>INDEX(Tiere2!C$30:C$79,'Betriebe mit Separation'!$AP33)</f>
        <v>0</v>
      </c>
      <c r="AS33" s="626" t="str">
        <f t="shared" si="24"/>
        <v>1</v>
      </c>
      <c r="AT33" s="626">
        <f t="shared" si="25"/>
        <v>0</v>
      </c>
      <c r="AU33" s="625">
        <f>INDEX(Tiere2!D$30:D$79,'Betriebe mit Separation'!$AP33)</f>
        <v>0</v>
      </c>
      <c r="AV33" s="623">
        <f>INDEX(Tiere2!E$30:E$79,'Betriebe mit Separation'!$AP33)</f>
        <v>0</v>
      </c>
      <c r="AW33" s="624">
        <f>INDEX(Tiere2!F$30:F$79,'Betriebe mit Separation'!$AP33)</f>
        <v>0</v>
      </c>
      <c r="AX33" s="623">
        <f>INDEX(Tiere2!J$30:J$79,'Betriebe mit Separation'!$AP33)</f>
        <v>0</v>
      </c>
      <c r="AY33" s="623">
        <f>INDEX(Tiere2!R$30:R$79,'Betriebe mit Separation'!$AP33)</f>
        <v>0</v>
      </c>
      <c r="AZ33" s="625">
        <f>INDEX(Tiere2!M$30:M$79,'Betriebe mit Separation'!$AP33)</f>
        <v>0</v>
      </c>
      <c r="BA33" s="623">
        <f>INDEX(Tiere2!N$30:N$79,'Betriebe mit Separation'!$AP33)</f>
        <v>0</v>
      </c>
      <c r="BB33" s="624">
        <f>INDEX(Tiere2!O$30:O$79,'Betriebe mit Separation'!$AP33)</f>
        <v>0</v>
      </c>
      <c r="BC33" s="625">
        <f>INDEX(Tiere2!T$30:T$79,'Betriebe mit Separation'!$AP33)</f>
        <v>0</v>
      </c>
      <c r="BD33" s="624">
        <f>INDEX(Tiere2!U$30:U$79,'Betriebe mit Separation'!$AP33)</f>
        <v>0</v>
      </c>
      <c r="BE33" s="864">
        <f>INDEX(Tiere2!V$30:V$79,'Betriebe mit Separation'!$AP33)</f>
        <v>0</v>
      </c>
      <c r="BF33" s="624">
        <f>INDEX(Tiere2!W$30:W$79,'Betriebe mit Separation'!$AP33)</f>
        <v>0</v>
      </c>
      <c r="BG33" s="624">
        <f>INDEX(Tiere2!X$30:X$79,'Betriebe mit Separation'!$AP33)</f>
        <v>0</v>
      </c>
      <c r="BH33" s="624">
        <f>INDEX(Tiere2!Y$30:Y$79,'Betriebe mit Separation'!$AP33)</f>
        <v>0</v>
      </c>
      <c r="BI33" s="57">
        <v>5</v>
      </c>
      <c r="BJ33" s="57">
        <v>3</v>
      </c>
      <c r="BK33" s="458">
        <v>17</v>
      </c>
      <c r="BL33" s="622">
        <f>INDEX(Tiere2!Z$30:Z$79,'Betriebe mit Separation'!$AP33)</f>
        <v>0</v>
      </c>
      <c r="BM33" s="622">
        <f>INDEX(Tiere2!AA$30:AA$79,'Betriebe mit Separation'!$AP33)</f>
        <v>0</v>
      </c>
      <c r="BN33" s="620">
        <f t="shared" si="26"/>
        <v>0</v>
      </c>
      <c r="BO33" s="620">
        <f t="shared" si="3"/>
        <v>0</v>
      </c>
      <c r="BP33" s="621">
        <f t="shared" si="27"/>
        <v>0</v>
      </c>
      <c r="BQ33" s="622">
        <f t="shared" si="28"/>
        <v>0</v>
      </c>
      <c r="BR33" s="57"/>
      <c r="BS33" s="620" t="b">
        <f t="shared" si="29"/>
        <v>0</v>
      </c>
      <c r="BT33" s="57"/>
      <c r="BU33" s="57"/>
      <c r="BV33" s="34"/>
      <c r="BW33" s="34"/>
      <c r="BX33" s="34"/>
      <c r="BY33" s="34"/>
      <c r="BZ33" s="34"/>
      <c r="CA33" s="34"/>
      <c r="CB33" s="34"/>
      <c r="CC33" s="33"/>
    </row>
    <row r="34" spans="1:83" ht="15.75" customHeight="1" x14ac:dyDescent="0.2">
      <c r="A34" s="1354"/>
      <c r="B34" s="1355"/>
      <c r="C34" s="1355"/>
      <c r="D34" s="923"/>
      <c r="E34" s="929"/>
      <c r="F34" s="674"/>
      <c r="G34" s="923"/>
      <c r="H34" s="932"/>
      <c r="I34" s="934" t="str">
        <f t="shared" si="4"/>
        <v xml:space="preserve"> </v>
      </c>
      <c r="J34" s="934" t="str">
        <f t="shared" si="5"/>
        <v xml:space="preserve"> </v>
      </c>
      <c r="K34" s="34"/>
      <c r="L34" s="34"/>
      <c r="M34" s="57"/>
      <c r="N34" s="620" t="str">
        <f t="shared" si="6"/>
        <v xml:space="preserve"> </v>
      </c>
      <c r="O34" s="620"/>
      <c r="P34" s="679">
        <f t="shared" si="7"/>
        <v>0</v>
      </c>
      <c r="Q34" s="680">
        <f t="shared" si="30"/>
        <v>0</v>
      </c>
      <c r="R34" s="621">
        <f t="shared" si="8"/>
        <v>0</v>
      </c>
      <c r="S34" s="620">
        <f t="shared" si="9"/>
        <v>0</v>
      </c>
      <c r="T34" s="620">
        <f t="shared" si="10"/>
        <v>0</v>
      </c>
      <c r="U34" s="622">
        <f t="shared" si="11"/>
        <v>0</v>
      </c>
      <c r="V34" s="717">
        <f>INDEX(Tiere2!K$30:K$79,'Betriebe mit Separation'!$AP34)</f>
        <v>0</v>
      </c>
      <c r="W34" s="717">
        <f>INDEX(Tiere2!S$30:S$79,'Betriebe mit Separation'!AP34)</f>
        <v>0</v>
      </c>
      <c r="X34" s="621">
        <f t="shared" si="12"/>
        <v>0</v>
      </c>
      <c r="Y34" s="620">
        <f t="shared" si="13"/>
        <v>0</v>
      </c>
      <c r="Z34" s="622">
        <f t="shared" si="14"/>
        <v>0</v>
      </c>
      <c r="AA34" s="717">
        <f>INDEX(Tiere2!P$30:P$79,'Betriebe mit Separation'!$AP34)</f>
        <v>0</v>
      </c>
      <c r="AB34" s="621">
        <f t="shared" si="15"/>
        <v>0</v>
      </c>
      <c r="AC34" s="620">
        <f t="shared" si="16"/>
        <v>0</v>
      </c>
      <c r="AD34" s="622">
        <f t="shared" si="17"/>
        <v>0</v>
      </c>
      <c r="AE34" s="620"/>
      <c r="AF34" s="621">
        <f t="shared" si="18"/>
        <v>0</v>
      </c>
      <c r="AG34" s="620">
        <f t="shared" si="0"/>
        <v>0</v>
      </c>
      <c r="AH34" s="623">
        <f t="shared" si="1"/>
        <v>0</v>
      </c>
      <c r="AI34" s="624">
        <f t="shared" si="2"/>
        <v>0</v>
      </c>
      <c r="AJ34" s="625">
        <f t="shared" si="19"/>
        <v>0</v>
      </c>
      <c r="AK34" s="624">
        <f t="shared" si="20"/>
        <v>0</v>
      </c>
      <c r="AL34" s="625">
        <f t="shared" si="31"/>
        <v>0</v>
      </c>
      <c r="AM34" s="625">
        <f t="shared" si="21"/>
        <v>0</v>
      </c>
      <c r="AN34" s="625">
        <f t="shared" si="22"/>
        <v>0</v>
      </c>
      <c r="AO34" s="626">
        <f t="shared" si="23"/>
        <v>1</v>
      </c>
      <c r="AP34" s="627">
        <v>1</v>
      </c>
      <c r="AQ34" s="627">
        <v>1</v>
      </c>
      <c r="AR34" s="626">
        <f>INDEX(Tiere2!C$30:C$79,'Betriebe mit Separation'!$AP34)</f>
        <v>0</v>
      </c>
      <c r="AS34" s="626" t="str">
        <f t="shared" si="24"/>
        <v>1</v>
      </c>
      <c r="AT34" s="626">
        <f t="shared" si="25"/>
        <v>0</v>
      </c>
      <c r="AU34" s="625">
        <f>INDEX(Tiere2!D$30:D$79,'Betriebe mit Separation'!$AP34)</f>
        <v>0</v>
      </c>
      <c r="AV34" s="623">
        <f>INDEX(Tiere2!E$30:E$79,'Betriebe mit Separation'!$AP34)</f>
        <v>0</v>
      </c>
      <c r="AW34" s="624">
        <f>INDEX(Tiere2!F$30:F$79,'Betriebe mit Separation'!$AP34)</f>
        <v>0</v>
      </c>
      <c r="AX34" s="623">
        <f>INDEX(Tiere2!J$30:J$79,'Betriebe mit Separation'!$AP34)</f>
        <v>0</v>
      </c>
      <c r="AY34" s="623">
        <f>INDEX(Tiere2!R$30:R$79,'Betriebe mit Separation'!$AP34)</f>
        <v>0</v>
      </c>
      <c r="AZ34" s="625">
        <f>INDEX(Tiere2!M$30:M$79,'Betriebe mit Separation'!$AP34)</f>
        <v>0</v>
      </c>
      <c r="BA34" s="623">
        <f>INDEX(Tiere2!N$30:N$79,'Betriebe mit Separation'!$AP34)</f>
        <v>0</v>
      </c>
      <c r="BB34" s="624">
        <f>INDEX(Tiere2!O$30:O$79,'Betriebe mit Separation'!$AP34)</f>
        <v>0</v>
      </c>
      <c r="BC34" s="625">
        <f>INDEX(Tiere2!T$30:T$79,'Betriebe mit Separation'!$AP34)</f>
        <v>0</v>
      </c>
      <c r="BD34" s="624">
        <f>INDEX(Tiere2!U$30:U$79,'Betriebe mit Separation'!$AP34)</f>
        <v>0</v>
      </c>
      <c r="BE34" s="864">
        <f>INDEX(Tiere2!V$30:V$79,'Betriebe mit Separation'!$AP34)</f>
        <v>0</v>
      </c>
      <c r="BF34" s="624">
        <f>INDEX(Tiere2!W$30:W$79,'Betriebe mit Separation'!$AP34)</f>
        <v>0</v>
      </c>
      <c r="BG34" s="624">
        <f>INDEX(Tiere2!X$30:X$79,'Betriebe mit Separation'!$AP34)</f>
        <v>0</v>
      </c>
      <c r="BH34" s="624">
        <f>INDEX(Tiere2!Y$30:Y$79,'Betriebe mit Separation'!$AP34)</f>
        <v>0</v>
      </c>
      <c r="BI34" s="57">
        <v>5</v>
      </c>
      <c r="BJ34" s="57">
        <v>3</v>
      </c>
      <c r="BK34" s="458">
        <v>17</v>
      </c>
      <c r="BL34" s="622">
        <f>INDEX(Tiere2!Z$30:Z$79,'Betriebe mit Separation'!$AP34)</f>
        <v>0</v>
      </c>
      <c r="BM34" s="622">
        <f>INDEX(Tiere2!AA$30:AA$79,'Betriebe mit Separation'!$AP34)</f>
        <v>0</v>
      </c>
      <c r="BN34" s="620">
        <f t="shared" si="26"/>
        <v>0</v>
      </c>
      <c r="BO34" s="620">
        <f t="shared" si="3"/>
        <v>0</v>
      </c>
      <c r="BP34" s="621">
        <f t="shared" si="27"/>
        <v>0</v>
      </c>
      <c r="BQ34" s="622">
        <f t="shared" si="28"/>
        <v>0</v>
      </c>
      <c r="BR34" s="57"/>
      <c r="BS34" s="620" t="b">
        <f t="shared" si="29"/>
        <v>0</v>
      </c>
      <c r="BT34" s="57"/>
      <c r="BU34" s="57"/>
      <c r="BV34" s="34"/>
      <c r="BW34" s="34"/>
      <c r="BX34" s="34"/>
      <c r="BY34" s="34"/>
      <c r="BZ34" s="34"/>
      <c r="CA34" s="34"/>
      <c r="CB34" s="34"/>
      <c r="CC34" s="33"/>
    </row>
    <row r="35" spans="1:83" ht="15.75" customHeight="1" x14ac:dyDescent="0.2">
      <c r="A35" s="1354"/>
      <c r="B35" s="1355"/>
      <c r="C35" s="1355"/>
      <c r="D35" s="923"/>
      <c r="E35" s="929"/>
      <c r="F35" s="674"/>
      <c r="G35" s="923"/>
      <c r="H35" s="932"/>
      <c r="I35" s="934" t="str">
        <f>IF(BS35=FALSE," ",IF(P35+Q35=0," ",IF(AF35*AX35+AG35*AJ35=0," ",AF35*AX35+AG35*AJ35)))</f>
        <v xml:space="preserve"> </v>
      </c>
      <c r="J35" s="934" t="str">
        <f t="shared" si="5"/>
        <v xml:space="preserve"> </v>
      </c>
      <c r="K35" s="34"/>
      <c r="L35" s="34"/>
      <c r="M35" s="57"/>
      <c r="N35" s="620" t="str">
        <f t="shared" si="6"/>
        <v xml:space="preserve"> </v>
      </c>
      <c r="O35" s="620"/>
      <c r="P35" s="679">
        <f t="shared" si="7"/>
        <v>0</v>
      </c>
      <c r="Q35" s="680">
        <f t="shared" si="30"/>
        <v>0</v>
      </c>
      <c r="R35" s="621">
        <f t="shared" si="8"/>
        <v>0</v>
      </c>
      <c r="S35" s="620">
        <f t="shared" si="9"/>
        <v>0</v>
      </c>
      <c r="T35" s="620">
        <f t="shared" si="10"/>
        <v>0</v>
      </c>
      <c r="U35" s="622">
        <f t="shared" si="11"/>
        <v>0</v>
      </c>
      <c r="V35" s="717">
        <f>INDEX(Tiere2!K$30:K$79,'Betriebe mit Separation'!$AP35)</f>
        <v>0</v>
      </c>
      <c r="W35" s="717">
        <f>INDEX(Tiere2!S$30:S$79,'Betriebe mit Separation'!AP35)</f>
        <v>0</v>
      </c>
      <c r="X35" s="621">
        <f t="shared" si="12"/>
        <v>0</v>
      </c>
      <c r="Y35" s="620">
        <f t="shared" si="13"/>
        <v>0</v>
      </c>
      <c r="Z35" s="622">
        <f t="shared" si="14"/>
        <v>0</v>
      </c>
      <c r="AA35" s="717">
        <f>INDEX(Tiere2!P$30:P$79,'Betriebe mit Separation'!$AP35)</f>
        <v>0</v>
      </c>
      <c r="AB35" s="621">
        <f t="shared" si="15"/>
        <v>0</v>
      </c>
      <c r="AC35" s="620">
        <f t="shared" si="16"/>
        <v>0</v>
      </c>
      <c r="AD35" s="622">
        <f t="shared" si="17"/>
        <v>0</v>
      </c>
      <c r="AE35" s="620"/>
      <c r="AF35" s="621">
        <f t="shared" si="18"/>
        <v>0</v>
      </c>
      <c r="AG35" s="620">
        <f t="shared" si="0"/>
        <v>0</v>
      </c>
      <c r="AH35" s="623">
        <f t="shared" si="1"/>
        <v>0</v>
      </c>
      <c r="AI35" s="624">
        <f t="shared" si="2"/>
        <v>0</v>
      </c>
      <c r="AJ35" s="625">
        <f t="shared" si="19"/>
        <v>0</v>
      </c>
      <c r="AK35" s="624">
        <f t="shared" si="20"/>
        <v>0</v>
      </c>
      <c r="AL35" s="625">
        <f t="shared" si="31"/>
        <v>0</v>
      </c>
      <c r="AM35" s="625">
        <f>IF(AO35=2,0,IF(AO35=3,0,0))</f>
        <v>0</v>
      </c>
      <c r="AN35" s="625">
        <f t="shared" si="22"/>
        <v>0</v>
      </c>
      <c r="AO35" s="626">
        <f t="shared" si="23"/>
        <v>1</v>
      </c>
      <c r="AP35" s="627">
        <v>1</v>
      </c>
      <c r="AQ35" s="627">
        <v>1</v>
      </c>
      <c r="AR35" s="626">
        <f>INDEX(Tiere2!C$30:C$79,'Betriebe mit Separation'!$AP35)</f>
        <v>0</v>
      </c>
      <c r="AS35" s="626" t="str">
        <f t="shared" si="24"/>
        <v>1</v>
      </c>
      <c r="AT35" s="626">
        <f t="shared" si="25"/>
        <v>0</v>
      </c>
      <c r="AU35" s="625">
        <f>INDEX(Tiere2!D$30:D$79,'Betriebe mit Separation'!$AP35)</f>
        <v>0</v>
      </c>
      <c r="AV35" s="623">
        <f>INDEX(Tiere2!E$30:E$79,'Betriebe mit Separation'!$AP35)</f>
        <v>0</v>
      </c>
      <c r="AW35" s="624">
        <f>INDEX(Tiere2!F$30:F$79,'Betriebe mit Separation'!$AP35)</f>
        <v>0</v>
      </c>
      <c r="AX35" s="623">
        <f>INDEX(Tiere2!J$30:J$79,'Betriebe mit Separation'!$AP35)</f>
        <v>0</v>
      </c>
      <c r="AY35" s="623">
        <f>INDEX(Tiere2!R$30:R$79,'Betriebe mit Separation'!$AP35)</f>
        <v>0</v>
      </c>
      <c r="AZ35" s="625">
        <f>INDEX(Tiere2!M$30:M$79,'Betriebe mit Separation'!$AP35)</f>
        <v>0</v>
      </c>
      <c r="BA35" s="623">
        <f>INDEX(Tiere2!N$30:N$79,'Betriebe mit Separation'!$AP35)</f>
        <v>0</v>
      </c>
      <c r="BB35" s="624">
        <f>INDEX(Tiere2!O$30:O$79,'Betriebe mit Separation'!$AP35)</f>
        <v>0</v>
      </c>
      <c r="BC35" s="625">
        <f>INDEX(Tiere2!T$30:T$79,'Betriebe mit Separation'!$AP35)</f>
        <v>0</v>
      </c>
      <c r="BD35" s="624">
        <f>INDEX(Tiere2!U$30:U$79,'Betriebe mit Separation'!$AP35)</f>
        <v>0</v>
      </c>
      <c r="BE35" s="864">
        <f>INDEX(Tiere2!V$30:V$79,'Betriebe mit Separation'!$AP35)</f>
        <v>0</v>
      </c>
      <c r="BF35" s="624">
        <f>INDEX(Tiere2!W$30:W$79,'Betriebe mit Separation'!$AP35)</f>
        <v>0</v>
      </c>
      <c r="BG35" s="624">
        <f>INDEX(Tiere2!X$30:X$79,'Betriebe mit Separation'!$AP35)</f>
        <v>0</v>
      </c>
      <c r="BH35" s="624">
        <f>INDEX(Tiere2!Y$30:Y$79,'Betriebe mit Separation'!$AP35)</f>
        <v>0</v>
      </c>
      <c r="BI35" s="57">
        <v>5</v>
      </c>
      <c r="BJ35" s="57">
        <v>3</v>
      </c>
      <c r="BK35" s="458">
        <v>17</v>
      </c>
      <c r="BL35" s="622">
        <f>INDEX(Tiere2!Z$30:Z$79,'Betriebe mit Separation'!$AP35)</f>
        <v>0</v>
      </c>
      <c r="BM35" s="622">
        <f>INDEX(Tiere2!AA$30:AA$79,'Betriebe mit Separation'!$AP35)</f>
        <v>0</v>
      </c>
      <c r="BN35" s="620">
        <f t="shared" si="26"/>
        <v>0</v>
      </c>
      <c r="BO35" s="620">
        <f t="shared" si="3"/>
        <v>0</v>
      </c>
      <c r="BP35" s="621">
        <f t="shared" si="27"/>
        <v>0</v>
      </c>
      <c r="BQ35" s="622">
        <f t="shared" si="28"/>
        <v>0</v>
      </c>
      <c r="BR35" s="57"/>
      <c r="BS35" s="620" t="b">
        <f t="shared" si="29"/>
        <v>0</v>
      </c>
      <c r="BT35" s="57"/>
      <c r="BU35" s="57"/>
      <c r="BV35" s="34"/>
      <c r="BW35" s="34"/>
      <c r="BX35" s="34"/>
      <c r="BY35" s="34"/>
      <c r="BZ35" s="34"/>
      <c r="CA35" s="34"/>
      <c r="CB35" s="34"/>
      <c r="CC35" s="33"/>
    </row>
    <row r="36" spans="1:83" ht="15.75" customHeight="1" x14ac:dyDescent="0.2">
      <c r="A36" s="1354"/>
      <c r="B36" s="1355"/>
      <c r="C36" s="1355"/>
      <c r="D36" s="925"/>
      <c r="E36" s="930"/>
      <c r="F36" s="674"/>
      <c r="G36" s="925"/>
      <c r="H36" s="933"/>
      <c r="I36" s="934" t="str">
        <f t="shared" si="4"/>
        <v xml:space="preserve"> </v>
      </c>
      <c r="J36" s="934" t="str">
        <f t="shared" si="5"/>
        <v xml:space="preserve"> </v>
      </c>
      <c r="K36" s="34"/>
      <c r="L36" s="34"/>
      <c r="M36" s="57"/>
      <c r="N36" s="620" t="str">
        <f t="shared" si="6"/>
        <v xml:space="preserve"> </v>
      </c>
      <c r="O36" s="620"/>
      <c r="P36" s="679">
        <f t="shared" si="7"/>
        <v>0</v>
      </c>
      <c r="Q36" s="680">
        <f>IF(AX36=0,D36+E36,E36)</f>
        <v>0</v>
      </c>
      <c r="R36" s="621">
        <f t="shared" si="8"/>
        <v>0</v>
      </c>
      <c r="S36" s="620">
        <f t="shared" si="9"/>
        <v>0</v>
      </c>
      <c r="T36" s="620">
        <f t="shared" si="10"/>
        <v>0</v>
      </c>
      <c r="U36" s="622">
        <f t="shared" si="11"/>
        <v>0</v>
      </c>
      <c r="V36" s="717">
        <f>INDEX(Tiere2!K$30:K$79,'Betriebe mit Separation'!$AP36)</f>
        <v>0</v>
      </c>
      <c r="W36" s="717">
        <f>INDEX(Tiere2!S$30:S$79,'Betriebe mit Separation'!AP36)</f>
        <v>0</v>
      </c>
      <c r="X36" s="621">
        <f t="shared" si="12"/>
        <v>0</v>
      </c>
      <c r="Y36" s="620">
        <f>AG36*AV36-AG36*AJ36*AM36</f>
        <v>0</v>
      </c>
      <c r="Z36" s="622">
        <f>AG36*AW36-AG36*AJ36*AN36</f>
        <v>0</v>
      </c>
      <c r="AA36" s="717">
        <f>INDEX(Tiere2!P$30:P$79,'Betriebe mit Separation'!$AP36)</f>
        <v>0</v>
      </c>
      <c r="AB36" s="621">
        <f t="shared" si="15"/>
        <v>0</v>
      </c>
      <c r="AC36" s="620">
        <f t="shared" si="16"/>
        <v>0</v>
      </c>
      <c r="AD36" s="622">
        <f t="shared" si="17"/>
        <v>0</v>
      </c>
      <c r="AE36" s="620"/>
      <c r="AF36" s="621">
        <f t="shared" si="18"/>
        <v>0</v>
      </c>
      <c r="AG36" s="620">
        <f>+Q36*(100-$H36)/100</f>
        <v>0</v>
      </c>
      <c r="AH36" s="623">
        <f t="shared" si="1"/>
        <v>0</v>
      </c>
      <c r="AI36" s="624">
        <f t="shared" si="2"/>
        <v>0</v>
      </c>
      <c r="AJ36" s="625">
        <f t="shared" si="19"/>
        <v>0</v>
      </c>
      <c r="AK36" s="624">
        <f t="shared" si="20"/>
        <v>0</v>
      </c>
      <c r="AL36" s="625">
        <f t="shared" si="31"/>
        <v>0</v>
      </c>
      <c r="AM36" s="625">
        <f t="shared" si="21"/>
        <v>0</v>
      </c>
      <c r="AN36" s="625">
        <f t="shared" si="22"/>
        <v>0</v>
      </c>
      <c r="AO36" s="626">
        <f t="shared" si="23"/>
        <v>1</v>
      </c>
      <c r="AP36" s="627">
        <v>1</v>
      </c>
      <c r="AQ36" s="627">
        <v>1</v>
      </c>
      <c r="AR36" s="626">
        <f>INDEX(Tiere2!C$30:C$79,'Betriebe mit Separation'!$AP36)</f>
        <v>0</v>
      </c>
      <c r="AS36" s="626" t="str">
        <f t="shared" si="24"/>
        <v>1</v>
      </c>
      <c r="AT36" s="626">
        <f t="shared" si="25"/>
        <v>0</v>
      </c>
      <c r="AU36" s="625">
        <f>INDEX(Tiere2!D$30:D$79,'Betriebe mit Separation'!$AP36)</f>
        <v>0</v>
      </c>
      <c r="AV36" s="623">
        <f>INDEX(Tiere2!E$30:E$79,'Betriebe mit Separation'!$AP36)</f>
        <v>0</v>
      </c>
      <c r="AW36" s="624">
        <f>INDEX(Tiere2!F$30:F$79,'Betriebe mit Separation'!$AP36)</f>
        <v>0</v>
      </c>
      <c r="AX36" s="623">
        <f>INDEX(Tiere2!J$30:J$79,'Betriebe mit Separation'!$AP36)</f>
        <v>0</v>
      </c>
      <c r="AY36" s="623">
        <f>INDEX(Tiere2!R$30:R$79,'Betriebe mit Separation'!$AP36)</f>
        <v>0</v>
      </c>
      <c r="AZ36" s="625">
        <f>INDEX(Tiere2!M$30:M$79,'Betriebe mit Separation'!$AP36)</f>
        <v>0</v>
      </c>
      <c r="BA36" s="623">
        <f>INDEX(Tiere2!N$30:N$79,'Betriebe mit Separation'!$AP36)</f>
        <v>0</v>
      </c>
      <c r="BB36" s="624">
        <f>INDEX(Tiere2!O$30:O$79,'Betriebe mit Separation'!$AP36)</f>
        <v>0</v>
      </c>
      <c r="BC36" s="625">
        <f>INDEX(Tiere2!T$30:T$79,'Betriebe mit Separation'!$AP36)</f>
        <v>0</v>
      </c>
      <c r="BD36" s="624">
        <f>INDEX(Tiere2!U$30:U$79,'Betriebe mit Separation'!$AP36)</f>
        <v>0</v>
      </c>
      <c r="BE36" s="864">
        <f>INDEX(Tiere2!V$30:V$79,'Betriebe mit Separation'!$AP36)</f>
        <v>0</v>
      </c>
      <c r="BF36" s="624">
        <f>INDEX(Tiere2!W$30:W$79,'Betriebe mit Separation'!$AP36)</f>
        <v>0</v>
      </c>
      <c r="BG36" s="624">
        <f>INDEX(Tiere2!X$30:X$79,'Betriebe mit Separation'!$AP36)</f>
        <v>0</v>
      </c>
      <c r="BH36" s="624">
        <f>INDEX(Tiere2!Y$30:Y$79,'Betriebe mit Separation'!$AP36)</f>
        <v>0</v>
      </c>
      <c r="BI36" s="57">
        <v>5</v>
      </c>
      <c r="BJ36" s="57">
        <v>3</v>
      </c>
      <c r="BK36" s="458">
        <v>17</v>
      </c>
      <c r="BL36" s="622">
        <f>INDEX(Tiere2!Z$30:Z$79,'Betriebe mit Separation'!$AP36)</f>
        <v>0</v>
      </c>
      <c r="BM36" s="622">
        <f>INDEX(Tiere2!AA$30:AA$79,'Betriebe mit Separation'!$AP36)</f>
        <v>0</v>
      </c>
      <c r="BN36" s="620">
        <f t="shared" si="26"/>
        <v>0</v>
      </c>
      <c r="BO36" s="620">
        <f t="shared" si="3"/>
        <v>0</v>
      </c>
      <c r="BP36" s="621">
        <f t="shared" si="27"/>
        <v>0</v>
      </c>
      <c r="BQ36" s="622">
        <f t="shared" si="28"/>
        <v>0</v>
      </c>
      <c r="BR36" s="57"/>
      <c r="BS36" s="620" t="b">
        <f t="shared" si="29"/>
        <v>0</v>
      </c>
      <c r="BT36" s="57"/>
      <c r="BU36" s="57"/>
      <c r="BV36" s="34"/>
      <c r="BW36" s="34"/>
      <c r="BX36" s="34"/>
      <c r="BY36" s="34"/>
      <c r="BZ36" s="34"/>
      <c r="CA36" s="34"/>
      <c r="CB36" s="34"/>
      <c r="CC36" s="33"/>
    </row>
    <row r="37" spans="1:83" ht="15.75" customHeight="1" x14ac:dyDescent="0.2">
      <c r="A37" s="1475" t="str">
        <f>IF(M38+M39+M40&gt;=1,"Bitte Tierart im Arbeitsblatt Eigene Zahlen auswählen","Eingabemöglichkeit für eigene Tierarten; siehe Arbeitsblatt Eigene Zahlen")</f>
        <v>Eingabemöglichkeit für eigene Tierarten; siehe Arbeitsblatt Eigene Zahlen</v>
      </c>
      <c r="B37" s="1476"/>
      <c r="C37" s="1476"/>
      <c r="D37" s="1476"/>
      <c r="E37" s="1476"/>
      <c r="F37" s="1476"/>
      <c r="G37" s="1476"/>
      <c r="H37" s="1477"/>
      <c r="I37" s="960"/>
      <c r="J37" s="960" t="str">
        <f t="shared" si="5"/>
        <v xml:space="preserve"> </v>
      </c>
      <c r="K37" s="34"/>
      <c r="L37" s="34"/>
      <c r="M37" s="57"/>
      <c r="N37" s="620"/>
      <c r="O37" s="57"/>
      <c r="P37" s="679"/>
      <c r="Q37" s="680"/>
      <c r="R37" s="621"/>
      <c r="S37" s="620"/>
      <c r="T37" s="620"/>
      <c r="U37" s="622"/>
      <c r="V37" s="719"/>
      <c r="W37" s="719"/>
      <c r="X37" s="621"/>
      <c r="Y37" s="620"/>
      <c r="Z37" s="622"/>
      <c r="AA37" s="719"/>
      <c r="AB37" s="621"/>
      <c r="AC37" s="620"/>
      <c r="AD37" s="622"/>
      <c r="AE37" s="57"/>
      <c r="AF37" s="621"/>
      <c r="AG37" s="620"/>
      <c r="AH37" s="623"/>
      <c r="AI37" s="624"/>
      <c r="AJ37" s="528"/>
      <c r="AK37" s="458"/>
      <c r="AL37" s="625"/>
      <c r="AM37" s="623"/>
      <c r="AN37" s="624"/>
      <c r="AO37" s="626"/>
      <c r="AP37" s="612"/>
      <c r="AQ37" s="612"/>
      <c r="AR37" s="612"/>
      <c r="AS37" s="626"/>
      <c r="AT37" s="626"/>
      <c r="AU37" s="528"/>
      <c r="AV37" s="57"/>
      <c r="AW37" s="458"/>
      <c r="AX37" s="57"/>
      <c r="AY37" s="57"/>
      <c r="AZ37" s="528"/>
      <c r="BA37" s="57"/>
      <c r="BB37" s="458"/>
      <c r="BC37" s="528"/>
      <c r="BD37" s="458"/>
      <c r="BE37" s="865"/>
      <c r="BF37" s="57"/>
      <c r="BG37" s="57"/>
      <c r="BH37" s="57"/>
      <c r="BI37" s="57"/>
      <c r="BJ37" s="57"/>
      <c r="BK37" s="57"/>
      <c r="BL37" s="622"/>
      <c r="BM37" s="622"/>
      <c r="BN37" s="620"/>
      <c r="BO37" s="620"/>
      <c r="BP37" s="621"/>
      <c r="BQ37" s="622"/>
      <c r="BR37" s="57"/>
      <c r="BS37" s="620"/>
      <c r="BT37" s="57"/>
      <c r="BU37" s="57"/>
      <c r="BV37" s="34"/>
      <c r="BW37" s="34"/>
      <c r="BX37" s="34"/>
      <c r="BY37" s="34"/>
      <c r="BZ37" s="34"/>
      <c r="CA37" s="34"/>
      <c r="CB37" s="34"/>
      <c r="CC37" s="33"/>
    </row>
    <row r="38" spans="1:83" ht="15.75" customHeight="1" x14ac:dyDescent="0.2">
      <c r="A38" s="1478" t="str">
        <f>+'Abweichende Werte'!V7</f>
        <v xml:space="preserve"> -- - </v>
      </c>
      <c r="B38" s="1479"/>
      <c r="C38" s="1479"/>
      <c r="D38" s="921"/>
      <c r="E38" s="922"/>
      <c r="F38" s="675"/>
      <c r="G38" s="927"/>
      <c r="H38" s="931"/>
      <c r="I38" s="934" t="str">
        <f>IF(BS38=FALSE," ",IF(P38+Q38=0," ",IF(AF38*AX38+AG38*AJ38=0," ",AF38*AX38+AG38*AJ38)))</f>
        <v xml:space="preserve"> </v>
      </c>
      <c r="J38" s="934" t="str">
        <f t="shared" si="5"/>
        <v xml:space="preserve"> </v>
      </c>
      <c r="K38" s="34"/>
      <c r="L38" s="34"/>
      <c r="M38" s="57">
        <f>IF(D38+E38&gt;1,IF(AO38=1,1,0),0)</f>
        <v>0</v>
      </c>
      <c r="N38" s="620" t="str">
        <f>IF(J38=" "," ",(J38*(1/BE38)))</f>
        <v xml:space="preserve"> </v>
      </c>
      <c r="O38" s="620"/>
      <c r="P38" s="679">
        <f>IF(AX38=0,0,D38)</f>
        <v>0</v>
      </c>
      <c r="Q38" s="680">
        <f>IF(AX38=0,D38+E38,E38)</f>
        <v>0</v>
      </c>
      <c r="R38" s="621">
        <f>+(AF38*AU38*(100-BC38)/100)+(AJ38*AL38*AG38*(100-BD38)/100)</f>
        <v>0</v>
      </c>
      <c r="S38" s="620">
        <f>IF(AO38=2,R38,0)</f>
        <v>0</v>
      </c>
      <c r="T38" s="620">
        <f>AF38*AV38+AG38*AJ38*AM38</f>
        <v>0</v>
      </c>
      <c r="U38" s="622">
        <f>AF38*AW38+AG38*AJ38*AN38</f>
        <v>0</v>
      </c>
      <c r="V38" s="717">
        <f>'Abweichende Werte'!L7</f>
        <v>0</v>
      </c>
      <c r="W38" s="717">
        <f>'Abweichende Werte'!M7</f>
        <v>0</v>
      </c>
      <c r="X38" s="621">
        <f>+(AG38*AU38*(100-BD38)/100)-AJ38*AG38*AL38*(100-BD38)/100</f>
        <v>0</v>
      </c>
      <c r="Y38" s="620">
        <f>AG38*AV38-AG38*AJ38*AM38</f>
        <v>0</v>
      </c>
      <c r="Z38" s="622">
        <f>AG38*AW38-AG38*AJ38*AN38</f>
        <v>0</v>
      </c>
      <c r="AA38" s="719">
        <f>'Abweichende Werte'!N7</f>
        <v>0</v>
      </c>
      <c r="AB38" s="621">
        <f>IF(AQ38=1,AG38*BF38*AS38*365/1000*BI38,IF(AQ38=2,AG38*BG38*AS38*365/1000*BI38,AG38*BH38*AS38*365/1000*BI38))</f>
        <v>0</v>
      </c>
      <c r="AC38" s="620">
        <f>IF(AQ38=1,AG38*BF38*AS38*365/1000*BJ38,IF(AQ38=2,AG38*BG38*AS38*365/1000*BJ38,AG38*BH38*AS38*365/1000*BJ38))</f>
        <v>0</v>
      </c>
      <c r="AD38" s="622">
        <f>IF(AQ38=1,AG38*BF38*AS38*365/1000*BK38,IF(AQ38=2,AG38*BG38*AS38*365/1000*BK38,AG38*BH38*AS38*365/1000*BK38))</f>
        <v>0</v>
      </c>
      <c r="AE38" s="620"/>
      <c r="AF38" s="621">
        <f t="shared" ref="AF38:AG40" si="32">+P38*(100-$H38)/100</f>
        <v>0</v>
      </c>
      <c r="AG38" s="620">
        <f t="shared" si="32"/>
        <v>0</v>
      </c>
      <c r="AH38" s="623">
        <f>+D38-(D38*((G38+H38)/2))/100</f>
        <v>0</v>
      </c>
      <c r="AI38" s="624">
        <f>+E38+D38-AH38</f>
        <v>0</v>
      </c>
      <c r="AJ38" s="625">
        <f>IF(AQ38=1,AY38,IF(AQ38=2,AY38/2,0))</f>
        <v>0</v>
      </c>
      <c r="AK38" s="624">
        <f>IF(AQ38=1,AZ38,IF(AQ38=2,BA38,BB38))</f>
        <v>0</v>
      </c>
      <c r="AL38" s="625">
        <f>IF(AO38=2,3.2,IF(AO38=3,3.3,0))</f>
        <v>0</v>
      </c>
      <c r="AM38" s="625">
        <f>IF(AO38=2,0,IF(AO38=3,0,0))</f>
        <v>0</v>
      </c>
      <c r="AN38" s="625">
        <f>IF(AO38=2,7.9,IF(AO38=3,3.1,0))</f>
        <v>0</v>
      </c>
      <c r="AO38" s="626">
        <f>'Abweichende Werte'!T7</f>
        <v>1</v>
      </c>
      <c r="AP38" s="627"/>
      <c r="AQ38" s="627">
        <v>1</v>
      </c>
      <c r="AR38" s="626">
        <f>'Abweichende Werte'!C7</f>
        <v>0</v>
      </c>
      <c r="AS38" s="626" t="str">
        <f>IF(AR38&gt;0.001,AR38,"1")</f>
        <v>1</v>
      </c>
      <c r="AT38" s="625">
        <f>D38*AR38+E38*AR38</f>
        <v>0</v>
      </c>
      <c r="AU38" s="625">
        <f>'Abweichende Werte'!D7</f>
        <v>0</v>
      </c>
      <c r="AV38" s="623">
        <f>'Abweichende Werte'!E7</f>
        <v>0</v>
      </c>
      <c r="AW38" s="624">
        <f>'Abweichende Werte'!F7</f>
        <v>0</v>
      </c>
      <c r="AX38" s="625">
        <f>'Abweichende Werte'!G7</f>
        <v>0</v>
      </c>
      <c r="AY38" s="624">
        <f>'Abweichende Werte'!H7</f>
        <v>0</v>
      </c>
      <c r="AZ38" s="623">
        <f>'Abweichende Werte'!I7</f>
        <v>0</v>
      </c>
      <c r="BA38" s="623">
        <f>'Abweichende Werte'!J7</f>
        <v>0</v>
      </c>
      <c r="BB38" s="623">
        <f>'Abweichende Werte'!K7</f>
        <v>0</v>
      </c>
      <c r="BC38" s="625">
        <f>IF(AO38=2,15,IF(AO38=3,20,IF(AO38=4,40,IF(AO38=5,45,0))))</f>
        <v>0</v>
      </c>
      <c r="BD38" s="624">
        <f>IF(AO38=2,30,IF(AO38=3,30,IF(AO38=4,40,IF(AO38=5,45,0))))</f>
        <v>0</v>
      </c>
      <c r="BE38" s="864">
        <f>'Abweichende Werte'!R7</f>
        <v>0</v>
      </c>
      <c r="BF38" s="57">
        <f>'Abweichende Werte'!O7</f>
        <v>0</v>
      </c>
      <c r="BG38" s="612">
        <f>'Abweichende Werte'!P7</f>
        <v>0</v>
      </c>
      <c r="BH38" s="57">
        <f>'Abweichende Werte'!Q7</f>
        <v>0</v>
      </c>
      <c r="BI38" s="528">
        <v>5</v>
      </c>
      <c r="BJ38" s="612">
        <v>3</v>
      </c>
      <c r="BK38" s="458">
        <v>17</v>
      </c>
      <c r="BL38" s="622">
        <f>IF(AO38=1,0,IF(AO38=2,1,IF(AO38=3,1,5)))</f>
        <v>0</v>
      </c>
      <c r="BM38" s="622">
        <f>IF(AO38=1,0,IF(AO38=2,2,IF(AO38=3,2,5)))</f>
        <v>0</v>
      </c>
      <c r="BN38" s="620">
        <f>IF(N38=" ",0,BL38*N38)</f>
        <v>0</v>
      </c>
      <c r="BO38" s="620">
        <f>IF(N38=" ",0,BM38*N38)</f>
        <v>0</v>
      </c>
      <c r="BP38" s="621">
        <f>AF38*AX38</f>
        <v>0</v>
      </c>
      <c r="BQ38" s="622">
        <f>AG38*AJ38</f>
        <v>0</v>
      </c>
      <c r="BR38" s="57"/>
      <c r="BS38" s="620" t="b">
        <f>AND(AO38&gt;1)</f>
        <v>0</v>
      </c>
      <c r="BT38" s="57"/>
      <c r="BU38" s="57"/>
      <c r="BV38" s="34"/>
      <c r="BW38" s="34"/>
      <c r="BX38" s="34"/>
      <c r="BY38" s="34"/>
      <c r="BZ38" s="34"/>
      <c r="CA38" s="34"/>
      <c r="CB38" s="34"/>
      <c r="CC38" s="33"/>
    </row>
    <row r="39" spans="1:83" ht="15.75" customHeight="1" x14ac:dyDescent="0.2">
      <c r="A39" s="1480" t="str">
        <f>+'Abweichende Werte'!V8</f>
        <v xml:space="preserve"> -- - </v>
      </c>
      <c r="B39" s="1481"/>
      <c r="C39" s="1481"/>
      <c r="D39" s="923"/>
      <c r="E39" s="924"/>
      <c r="F39" s="675"/>
      <c r="G39" s="923"/>
      <c r="H39" s="932"/>
      <c r="I39" s="934" t="str">
        <f>IF(BS39=FALSE," ",IF(P39+Q39=0," ",IF(AF39*AX39+AG39*AJ39=0," ",AF39*AX39+AG39*AJ39)))</f>
        <v xml:space="preserve"> </v>
      </c>
      <c r="J39" s="934" t="str">
        <f t="shared" si="5"/>
        <v xml:space="preserve"> </v>
      </c>
      <c r="K39" s="34"/>
      <c r="L39" s="34"/>
      <c r="M39" s="57">
        <f>IF(D39+E39&gt;1,IF(AO39=1,1,0),0)</f>
        <v>0</v>
      </c>
      <c r="N39" s="620" t="str">
        <f t="shared" si="6"/>
        <v xml:space="preserve"> </v>
      </c>
      <c r="O39" s="620"/>
      <c r="P39" s="679">
        <f t="shared" si="7"/>
        <v>0</v>
      </c>
      <c r="Q39" s="680">
        <f>IF(AX39=0,D39+E39,E39)</f>
        <v>0</v>
      </c>
      <c r="R39" s="621">
        <f>+(AF39*AU39*(100-BC39)/100)+(AJ39*AL39*AG39*(100-BD39)/100)</f>
        <v>0</v>
      </c>
      <c r="S39" s="620">
        <f>IF(AO39=2,R39,0)</f>
        <v>0</v>
      </c>
      <c r="T39" s="620">
        <f>AF39*AV39+AG39*AJ39*AM39</f>
        <v>0</v>
      </c>
      <c r="U39" s="622">
        <f>AF39*AW39+AG39*AJ39*AN39</f>
        <v>0</v>
      </c>
      <c r="V39" s="717">
        <f>'Abweichende Werte'!L8</f>
        <v>0</v>
      </c>
      <c r="W39" s="717">
        <f>'Abweichende Werte'!M8</f>
        <v>0</v>
      </c>
      <c r="X39" s="621">
        <f>+(AG39*AU39*(100-BD39)/100)-AJ39*AG39*AL39*(100-BD39)/100</f>
        <v>0</v>
      </c>
      <c r="Y39" s="620">
        <f>AG39*AV39-AG39*AJ39*AM39</f>
        <v>0</v>
      </c>
      <c r="Z39" s="622">
        <f>AG39*AW39-AG39*AJ39*AN39</f>
        <v>0</v>
      </c>
      <c r="AA39" s="719">
        <f>'Abweichende Werte'!N8</f>
        <v>0</v>
      </c>
      <c r="AB39" s="621">
        <f>IF(AQ39=1,AG39*BF39*AS39*365/1000*BI39,IF(AQ39=2,AG39*BG39*AS39*365/1000*BI39,AG39*BH39*AS39*365/1000*BI39))</f>
        <v>0</v>
      </c>
      <c r="AC39" s="620">
        <f>IF(AQ39=1,AG39*BF39*AS39*365/1000*BJ39,IF(AQ39=2,AG39*BG39*AS39*365/1000*BJ39,AG39*BH39*AS39*365/1000*BJ39))</f>
        <v>0</v>
      </c>
      <c r="AD39" s="622">
        <f>IF(AQ39=1,AG39*BF39*AS39*365/1000*BK39,IF(AQ39=2,AG39*BG39*AS39*365/1000*BK39,AG39*BH39*AS39*365/1000*BK39))</f>
        <v>0</v>
      </c>
      <c r="AE39" s="620"/>
      <c r="AF39" s="621">
        <f t="shared" si="32"/>
        <v>0</v>
      </c>
      <c r="AG39" s="620">
        <f t="shared" si="32"/>
        <v>0</v>
      </c>
      <c r="AH39" s="623">
        <f>+D39-(D39*((G39+H39)/2))/100</f>
        <v>0</v>
      </c>
      <c r="AI39" s="624">
        <f>+E39+D39-AH39</f>
        <v>0</v>
      </c>
      <c r="AJ39" s="625">
        <f>IF(AQ39=1,AY39,IF(AQ39=2,AY39/2,0))</f>
        <v>0</v>
      </c>
      <c r="AK39" s="624">
        <f>IF(AQ39=1,AZ39,IF(AQ39=2,BA39,BB39))</f>
        <v>0</v>
      </c>
      <c r="AL39" s="625">
        <f>IF(AO39=2,3.2,IF(AO39=3,3.3,0))</f>
        <v>0</v>
      </c>
      <c r="AM39" s="625">
        <f>IF(AO39=2,0,IF(AO39=3,0,0))</f>
        <v>0</v>
      </c>
      <c r="AN39" s="625">
        <f>IF(AO39=2,7.9,IF(AO39=3,3.1,0))</f>
        <v>0</v>
      </c>
      <c r="AO39" s="626">
        <f>'Abweichende Werte'!T8</f>
        <v>1</v>
      </c>
      <c r="AP39" s="627"/>
      <c r="AQ39" s="627">
        <v>1</v>
      </c>
      <c r="AR39" s="626">
        <f>'Abweichende Werte'!C8</f>
        <v>0</v>
      </c>
      <c r="AS39" s="626" t="str">
        <f t="shared" si="24"/>
        <v>1</v>
      </c>
      <c r="AT39" s="625">
        <f>D39*AR39+E39*AR39</f>
        <v>0</v>
      </c>
      <c r="AU39" s="625">
        <f>'Abweichende Werte'!D8</f>
        <v>0</v>
      </c>
      <c r="AV39" s="623">
        <f>'Abweichende Werte'!E8</f>
        <v>0</v>
      </c>
      <c r="AW39" s="624">
        <f>'Abweichende Werte'!F8</f>
        <v>0</v>
      </c>
      <c r="AX39" s="625">
        <f>'Abweichende Werte'!G8</f>
        <v>0</v>
      </c>
      <c r="AY39" s="624">
        <f>'Abweichende Werte'!H8</f>
        <v>0</v>
      </c>
      <c r="AZ39" s="623">
        <f>'Abweichende Werte'!I8</f>
        <v>0</v>
      </c>
      <c r="BA39" s="623">
        <f>'Abweichende Werte'!J8</f>
        <v>0</v>
      </c>
      <c r="BB39" s="623">
        <f>'Abweichende Werte'!K8</f>
        <v>0</v>
      </c>
      <c r="BC39" s="625">
        <f>IF(AO39=2,15,IF(AO39=3,20,IF(AO39=4,40,IF(AO39=5,45,0))))</f>
        <v>0</v>
      </c>
      <c r="BD39" s="624">
        <f>IF(AO39=2,30,IF(AO39=3,30,IF(AO39=4,40,IF(AO39=5,45,0))))</f>
        <v>0</v>
      </c>
      <c r="BE39" s="864">
        <f>'Abweichende Werte'!R8</f>
        <v>0</v>
      </c>
      <c r="BF39" s="57">
        <f>'Abweichende Werte'!O8</f>
        <v>0</v>
      </c>
      <c r="BG39" s="612">
        <f>'Abweichende Werte'!P8</f>
        <v>0</v>
      </c>
      <c r="BH39" s="57">
        <f>'Abweichende Werte'!Q8</f>
        <v>0</v>
      </c>
      <c r="BI39" s="528">
        <v>5</v>
      </c>
      <c r="BJ39" s="612">
        <v>3</v>
      </c>
      <c r="BK39" s="458">
        <v>17</v>
      </c>
      <c r="BL39" s="622">
        <f>IF(AO39=1,0,IF(AO39=2,1,IF(AO39=3,1,5)))</f>
        <v>0</v>
      </c>
      <c r="BM39" s="622">
        <f>IF(AO39=1,0,IF(AO39=2,2,IF(AO39=3,2,5)))</f>
        <v>0</v>
      </c>
      <c r="BN39" s="620">
        <f>IF(N39=" ",0,BL39*N39)</f>
        <v>0</v>
      </c>
      <c r="BO39" s="620">
        <f>IF(N39=" ",0,BM39*N39)</f>
        <v>0</v>
      </c>
      <c r="BP39" s="621">
        <f t="shared" si="27"/>
        <v>0</v>
      </c>
      <c r="BQ39" s="622">
        <f t="shared" si="28"/>
        <v>0</v>
      </c>
      <c r="BR39" s="57"/>
      <c r="BS39" s="620" t="b">
        <f>AND(AO39&gt;1)</f>
        <v>0</v>
      </c>
      <c r="BT39" s="57"/>
      <c r="BU39" s="57"/>
      <c r="BV39" s="34"/>
      <c r="BW39" s="34"/>
      <c r="BX39" s="34"/>
      <c r="BY39" s="34"/>
      <c r="BZ39" s="34"/>
      <c r="CA39" s="34"/>
      <c r="CB39" s="34"/>
      <c r="CC39" s="33"/>
    </row>
    <row r="40" spans="1:83" ht="15.75" customHeight="1" x14ac:dyDescent="0.2">
      <c r="A40" s="1354" t="str">
        <f>+'Abweichende Werte'!V9</f>
        <v xml:space="preserve"> -- - </v>
      </c>
      <c r="B40" s="1355"/>
      <c r="C40" s="1355"/>
      <c r="D40" s="925"/>
      <c r="E40" s="926"/>
      <c r="F40" s="675"/>
      <c r="G40" s="925"/>
      <c r="H40" s="933"/>
      <c r="I40" s="934" t="str">
        <f>IF(BS40=FALSE," ",IF(P40+Q40=0," ",IF(AF40*AX40+AG40*AJ40=0," ",AF40*AX40+AG40*AJ40)))</f>
        <v xml:space="preserve"> </v>
      </c>
      <c r="J40" s="934" t="str">
        <f t="shared" si="5"/>
        <v xml:space="preserve"> </v>
      </c>
      <c r="K40" s="34"/>
      <c r="L40" s="34"/>
      <c r="M40" s="57">
        <f>IF(D40+E40&gt;1,IF(AO40=1,1,0),0)</f>
        <v>0</v>
      </c>
      <c r="N40" s="620" t="str">
        <f t="shared" si="6"/>
        <v xml:space="preserve"> </v>
      </c>
      <c r="O40" s="620"/>
      <c r="P40" s="679">
        <f t="shared" si="7"/>
        <v>0</v>
      </c>
      <c r="Q40" s="680">
        <f>IF(AX40=0,D40+E40,E40)</f>
        <v>0</v>
      </c>
      <c r="R40" s="621">
        <f>+(AF40*AU40*(100-BC40)/100)+(AJ40*AL40*AG40*(100-BD40)/100)</f>
        <v>0</v>
      </c>
      <c r="S40" s="620">
        <f>IF(AO40=2,R40,0)</f>
        <v>0</v>
      </c>
      <c r="T40" s="620">
        <f>AF40*AV40+AG40*AJ40*AM40</f>
        <v>0</v>
      </c>
      <c r="U40" s="622">
        <f>AF40*AW40+AG40*AJ40*AN40</f>
        <v>0</v>
      </c>
      <c r="V40" s="717">
        <f>'Abweichende Werte'!L9</f>
        <v>0</v>
      </c>
      <c r="W40" s="717">
        <f>'Abweichende Werte'!M9</f>
        <v>0</v>
      </c>
      <c r="X40" s="621">
        <f>+(AG40*AU40*(100-BD40)/100)-AJ40*AG40*AL40*(100-BD40)/100</f>
        <v>0</v>
      </c>
      <c r="Y40" s="620">
        <f>AG40*AV40-AG40*AJ40*AM40</f>
        <v>0</v>
      </c>
      <c r="Z40" s="622">
        <f>AG40*AW40-AG40*AJ40*AN40</f>
        <v>0</v>
      </c>
      <c r="AA40" s="719">
        <f>'Abweichende Werte'!N9</f>
        <v>0</v>
      </c>
      <c r="AB40" s="621">
        <f>IF(AQ40=1,AG40*BF40*AS40*365/1000*BI40,IF(AQ40=2,AG40*BG40*AS40*365/1000*BI40,AG40*BH40*AS40*365/1000*BI40))</f>
        <v>0</v>
      </c>
      <c r="AC40" s="620">
        <f>IF(AQ40=1,AG40*BF40*AS40*365/1000*BJ40,IF(AQ40=2,AG40*BG40*AS40*365/1000*BJ40,AG40*BH40*AS40*365/1000*BJ40))</f>
        <v>0</v>
      </c>
      <c r="AD40" s="622">
        <f>IF(AQ40=1,AG40*BF40*AS40*365/1000*BK40,IF(AQ40=2,AG40*BG40*AS40*365/1000*BK40,AG40*BH40*AS40*365/1000*BK40))</f>
        <v>0</v>
      </c>
      <c r="AE40" s="620"/>
      <c r="AF40" s="621">
        <f t="shared" si="32"/>
        <v>0</v>
      </c>
      <c r="AG40" s="620">
        <f t="shared" si="32"/>
        <v>0</v>
      </c>
      <c r="AH40" s="623">
        <f>+D40-(D40*((G40+H40)/2))/100</f>
        <v>0</v>
      </c>
      <c r="AI40" s="624">
        <f>+E40+D40-AH40</f>
        <v>0</v>
      </c>
      <c r="AJ40" s="625">
        <f>IF(AQ40=1,AY40,IF(AQ40=2,AY40/2,0))</f>
        <v>0</v>
      </c>
      <c r="AK40" s="624">
        <f>IF(AQ40=1,AZ40,IF(AQ40=2,BA40,BB40))</f>
        <v>0</v>
      </c>
      <c r="AL40" s="625">
        <f>IF(AO40=2,3.2,IF(AO40=3,3.3,0))</f>
        <v>0</v>
      </c>
      <c r="AM40" s="625">
        <f>IF(AO40=2,0,IF(AO40=3,0,0))</f>
        <v>0</v>
      </c>
      <c r="AN40" s="625">
        <f>IF(AO40=2,7.9,IF(AO40=3,3.1,0))</f>
        <v>0</v>
      </c>
      <c r="AO40" s="626">
        <f>'Abweichende Werte'!T9</f>
        <v>1</v>
      </c>
      <c r="AP40" s="627"/>
      <c r="AQ40" s="627">
        <v>1</v>
      </c>
      <c r="AR40" s="626">
        <f>'Abweichende Werte'!C9</f>
        <v>0</v>
      </c>
      <c r="AS40" s="626" t="str">
        <f t="shared" si="24"/>
        <v>1</v>
      </c>
      <c r="AT40" s="625">
        <f>D40*AR40+E40*AR40</f>
        <v>0</v>
      </c>
      <c r="AU40" s="625">
        <f>'Abweichende Werte'!D9</f>
        <v>0</v>
      </c>
      <c r="AV40" s="623">
        <f>'Abweichende Werte'!E9</f>
        <v>0</v>
      </c>
      <c r="AW40" s="624">
        <f>'Abweichende Werte'!F9</f>
        <v>0</v>
      </c>
      <c r="AX40" s="625">
        <f>'Abweichende Werte'!G9</f>
        <v>0</v>
      </c>
      <c r="AY40" s="624">
        <f>'Abweichende Werte'!H9</f>
        <v>0</v>
      </c>
      <c r="AZ40" s="623">
        <f>'Abweichende Werte'!I9</f>
        <v>0</v>
      </c>
      <c r="BA40" s="623">
        <f>'Abweichende Werte'!J9</f>
        <v>0</v>
      </c>
      <c r="BB40" s="623">
        <f>'Abweichende Werte'!K9</f>
        <v>0</v>
      </c>
      <c r="BC40" s="625">
        <f>IF(AO40=2,15,IF(AO40=3,20,IF(AO40=4,40,IF(AO40=5,45,0))))</f>
        <v>0</v>
      </c>
      <c r="BD40" s="624">
        <f>IF(AO40=2,30,IF(AO40=3,30,IF(AO40=4,40,IF(AO40=5,45,0))))</f>
        <v>0</v>
      </c>
      <c r="BE40" s="864">
        <f>'Abweichende Werte'!R9</f>
        <v>0</v>
      </c>
      <c r="BF40" s="57">
        <f>'Abweichende Werte'!O9</f>
        <v>0</v>
      </c>
      <c r="BG40" s="612">
        <f>'Abweichende Werte'!P9</f>
        <v>0</v>
      </c>
      <c r="BH40" s="57">
        <f>'Abweichende Werte'!Q9</f>
        <v>0</v>
      </c>
      <c r="BI40" s="528">
        <v>5</v>
      </c>
      <c r="BJ40" s="612">
        <v>3</v>
      </c>
      <c r="BK40" s="458">
        <v>17</v>
      </c>
      <c r="BL40" s="622">
        <f>IF(AO40=1,0,IF(AO40=2,1,IF(AO40=3,1,5)))</f>
        <v>0</v>
      </c>
      <c r="BM40" s="622">
        <f>IF(AO40=1,0,IF(AO40=2,2,IF(AO40=3,2,5)))</f>
        <v>0</v>
      </c>
      <c r="BN40" s="620">
        <f>IF(N40=" ",0,BL40*N40)</f>
        <v>0</v>
      </c>
      <c r="BO40" s="620">
        <f>IF(N40=" ",0,BM40*N40)</f>
        <v>0</v>
      </c>
      <c r="BP40" s="621">
        <f t="shared" si="27"/>
        <v>0</v>
      </c>
      <c r="BQ40" s="622">
        <f t="shared" si="28"/>
        <v>0</v>
      </c>
      <c r="BR40" s="57"/>
      <c r="BS40" s="620" t="b">
        <f>AND(AO40&gt;1)</f>
        <v>0</v>
      </c>
      <c r="BT40" s="57"/>
      <c r="BU40" s="57"/>
      <c r="BV40" s="34"/>
      <c r="BW40" s="34"/>
      <c r="BX40" s="34"/>
      <c r="BY40" s="34"/>
      <c r="BZ40" s="34"/>
      <c r="CA40" s="34"/>
      <c r="CB40" s="34"/>
      <c r="CC40" s="33"/>
    </row>
    <row r="41" spans="1:83" ht="15.75" customHeight="1" x14ac:dyDescent="0.2">
      <c r="A41" s="900" t="s">
        <v>40</v>
      </c>
      <c r="B41" s="901"/>
      <c r="C41" s="901"/>
      <c r="D41" s="902"/>
      <c r="E41" s="902"/>
      <c r="F41" s="902"/>
      <c r="G41" s="1482" t="s">
        <v>39</v>
      </c>
      <c r="H41" s="1483"/>
      <c r="I41" s="1032"/>
      <c r="J41" s="1033"/>
      <c r="K41" s="34"/>
      <c r="L41" s="34"/>
      <c r="M41" s="607" t="s">
        <v>467</v>
      </c>
      <c r="N41" s="57"/>
      <c r="O41" s="57"/>
      <c r="P41" s="57"/>
      <c r="Q41" s="57"/>
      <c r="R41" s="528"/>
      <c r="S41" s="57"/>
      <c r="T41" s="57"/>
      <c r="U41" s="458"/>
      <c r="V41" s="720"/>
      <c r="W41" s="720"/>
      <c r="X41" s="528"/>
      <c r="Y41" s="57"/>
      <c r="Z41" s="458"/>
      <c r="AA41" s="720"/>
      <c r="AB41" s="528"/>
      <c r="AC41" s="57"/>
      <c r="AD41" s="458"/>
      <c r="AE41" s="57"/>
      <c r="AF41" s="57"/>
      <c r="AG41" s="57"/>
      <c r="AH41" s="57"/>
      <c r="AI41" s="57"/>
      <c r="AJ41" s="57"/>
      <c r="AK41" s="57"/>
      <c r="AL41" s="57"/>
      <c r="AM41" s="57"/>
      <c r="AN41" s="57"/>
      <c r="AO41" s="57"/>
      <c r="AP41" s="57">
        <f>IF(OR(AP25=2,AP26=2,AP27=2,AP28=2,AP29=2,AP30=2,AP31=2,AP32=2,AP33=2,AP34=2,AP35=2,AP36=2,),2,1)</f>
        <v>1</v>
      </c>
      <c r="AQ41" s="620"/>
      <c r="AR41" s="620"/>
      <c r="AS41" s="620"/>
      <c r="AT41" s="628"/>
      <c r="AU41" s="57"/>
      <c r="AV41" s="57"/>
      <c r="AW41" s="57"/>
      <c r="AX41" s="623"/>
      <c r="AY41" s="623"/>
      <c r="AZ41" s="623"/>
      <c r="BA41" s="623"/>
      <c r="BB41" s="623"/>
      <c r="BC41" s="57"/>
      <c r="BD41" s="57"/>
      <c r="BE41" s="865"/>
      <c r="BF41" s="57"/>
      <c r="BG41" s="57"/>
      <c r="BH41" s="57"/>
      <c r="BI41" s="57"/>
      <c r="BJ41" s="57"/>
      <c r="BK41" s="57"/>
      <c r="BL41" s="57"/>
      <c r="BM41" s="57"/>
      <c r="BN41" s="57"/>
      <c r="BO41" s="57"/>
      <c r="BP41" s="528"/>
      <c r="BQ41" s="458"/>
      <c r="BR41" s="57"/>
      <c r="BS41" s="57"/>
      <c r="BT41" s="57"/>
      <c r="BU41" s="57"/>
      <c r="BV41" s="34"/>
      <c r="BW41" s="34"/>
      <c r="BX41" s="34"/>
      <c r="BY41" s="34"/>
      <c r="BZ41" s="34"/>
      <c r="CA41" s="34"/>
      <c r="CB41" s="34"/>
      <c r="CC41" s="34"/>
      <c r="CD41" s="34"/>
      <c r="CE41" s="34"/>
    </row>
    <row r="42" spans="1:83" ht="15.75" customHeight="1" x14ac:dyDescent="0.2">
      <c r="A42" s="1422" t="s">
        <v>34</v>
      </c>
      <c r="B42" s="1423"/>
      <c r="C42" s="1423"/>
      <c r="D42" s="1423"/>
      <c r="E42" s="1423"/>
      <c r="F42" s="1424"/>
      <c r="G42" s="1028"/>
      <c r="H42" s="1029" t="s">
        <v>37</v>
      </c>
      <c r="I42" s="935" t="str">
        <f>IF(($B$14*G42*0.7)/1000=0," ",($B$14*G42*0.7)/1000)</f>
        <v xml:space="preserve"> </v>
      </c>
      <c r="J42" s="920"/>
      <c r="K42" s="34"/>
      <c r="L42" s="34"/>
      <c r="M42" s="612">
        <f>+M43+M44+M46</f>
        <v>0</v>
      </c>
      <c r="N42" s="57"/>
      <c r="O42" s="57"/>
      <c r="P42" s="57"/>
      <c r="Q42" s="57"/>
      <c r="R42" s="528"/>
      <c r="S42" s="57"/>
      <c r="T42" s="57"/>
      <c r="U42" s="458"/>
      <c r="V42" s="720"/>
      <c r="W42" s="720"/>
      <c r="X42" s="528"/>
      <c r="Y42" s="57"/>
      <c r="Z42" s="458"/>
      <c r="AA42" s="720"/>
      <c r="AB42" s="528"/>
      <c r="AC42" s="57"/>
      <c r="AD42" s="458"/>
      <c r="AE42" s="57"/>
      <c r="AF42" s="57"/>
      <c r="AG42" s="57"/>
      <c r="AH42" s="57"/>
      <c r="AI42" s="57"/>
      <c r="AJ42" s="57"/>
      <c r="AK42" s="57"/>
      <c r="AL42" s="599"/>
      <c r="AM42" s="599"/>
      <c r="AN42" s="599"/>
      <c r="AO42" s="599"/>
      <c r="AP42" s="57"/>
      <c r="AQ42" s="57"/>
      <c r="AR42" s="57"/>
      <c r="AS42" s="57"/>
      <c r="AT42" s="612"/>
      <c r="AU42" s="57"/>
      <c r="AV42" s="57"/>
      <c r="AW42" s="57"/>
      <c r="AX42" s="57"/>
      <c r="AY42" s="57"/>
      <c r="AZ42" s="57"/>
      <c r="BA42" s="57"/>
      <c r="BB42" s="57"/>
      <c r="BC42" s="57"/>
      <c r="BD42" s="57"/>
      <c r="BE42" s="57"/>
      <c r="BF42" s="57"/>
      <c r="BG42" s="57"/>
      <c r="BH42" s="57"/>
      <c r="BI42" s="57"/>
      <c r="BJ42" s="57"/>
      <c r="BK42" s="57"/>
      <c r="BL42" s="57"/>
      <c r="BM42" s="57"/>
      <c r="BN42" s="620">
        <f>SUM(BN25:BN40)</f>
        <v>0</v>
      </c>
      <c r="BO42" s="620">
        <f>SUM(BO25:BO40)</f>
        <v>0</v>
      </c>
      <c r="BP42" s="735">
        <f>SUM(BP25:BP40)</f>
        <v>0</v>
      </c>
      <c r="BQ42" s="736">
        <f>SUM(BQ25:BQ40)</f>
        <v>0</v>
      </c>
      <c r="BR42" s="57"/>
      <c r="BS42" s="57"/>
      <c r="BT42" s="57"/>
      <c r="BU42" s="57"/>
      <c r="BV42" s="34"/>
      <c r="BW42" s="34"/>
      <c r="BX42" s="34"/>
      <c r="BY42" s="34"/>
      <c r="BZ42" s="34"/>
      <c r="CA42" s="34"/>
      <c r="CB42" s="34"/>
      <c r="CC42" s="34"/>
      <c r="CD42" s="34"/>
      <c r="CE42" s="34"/>
    </row>
    <row r="43" spans="1:83" s="855" customFormat="1" ht="15.75" customHeight="1" thickBot="1" x14ac:dyDescent="0.25">
      <c r="A43" s="1422" t="s">
        <v>536</v>
      </c>
      <c r="B43" s="1423"/>
      <c r="C43" s="1423"/>
      <c r="D43" s="1423"/>
      <c r="E43" s="1423"/>
      <c r="F43" s="1424"/>
      <c r="G43" s="1030"/>
      <c r="H43" s="1031" t="s">
        <v>37</v>
      </c>
      <c r="I43" s="935" t="str">
        <f>IF(($B$14*G43*0.7)/1000=0," ",($B$14*G43*0.7)/1000)</f>
        <v xml:space="preserve"> </v>
      </c>
      <c r="J43" s="920"/>
      <c r="K43" s="35"/>
      <c r="L43" s="35"/>
      <c r="M43" s="631">
        <f>IF(I43=" ",0,I43)</f>
        <v>0</v>
      </c>
      <c r="N43" s="601"/>
      <c r="O43" s="601"/>
      <c r="P43" s="601"/>
      <c r="Q43" s="601"/>
      <c r="R43" s="629"/>
      <c r="S43" s="601"/>
      <c r="T43" s="601"/>
      <c r="U43" s="630"/>
      <c r="V43" s="718"/>
      <c r="W43" s="718"/>
      <c r="X43" s="629"/>
      <c r="Y43" s="601"/>
      <c r="Z43" s="630"/>
      <c r="AA43" s="718"/>
      <c r="AB43" s="629"/>
      <c r="AC43" s="601"/>
      <c r="AD43" s="630"/>
      <c r="AE43" s="601"/>
      <c r="AF43" s="601"/>
      <c r="AG43" s="601"/>
      <c r="AH43" s="601"/>
      <c r="AI43" s="601"/>
      <c r="AJ43" s="601"/>
      <c r="AK43" s="601"/>
      <c r="AL43" s="601"/>
      <c r="AM43" s="601"/>
      <c r="AN43" s="601"/>
      <c r="AO43" s="601"/>
      <c r="AP43" s="601"/>
      <c r="AQ43" s="601"/>
      <c r="AR43" s="601"/>
      <c r="AS43" s="601"/>
      <c r="AT43" s="631"/>
      <c r="AU43" s="57"/>
      <c r="AV43" s="57"/>
      <c r="AW43" s="57"/>
      <c r="AX43" s="57"/>
      <c r="AY43" s="57"/>
      <c r="AZ43" s="57"/>
      <c r="BA43" s="57"/>
      <c r="BB43" s="57"/>
      <c r="BC43" s="57"/>
      <c r="BD43" s="601"/>
      <c r="BE43" s="601"/>
      <c r="BF43" s="601"/>
      <c r="BG43" s="601"/>
      <c r="BH43" s="601"/>
      <c r="BI43" s="601"/>
      <c r="BJ43" s="601"/>
      <c r="BK43" s="601"/>
      <c r="BL43" s="601"/>
      <c r="BM43" s="601"/>
      <c r="BN43" s="601">
        <f>IF(N49=0,0,BN42/N49)</f>
        <v>0</v>
      </c>
      <c r="BO43" s="601">
        <f>IF(N49=0,0,BO42/N49)</f>
        <v>0</v>
      </c>
      <c r="BP43" s="733" t="str">
        <f>IF(BP42=0,"1",SUM(BP25:BP40))</f>
        <v>1</v>
      </c>
      <c r="BQ43" s="734" t="str">
        <f>IF(BQ42=0,"1",SUM(BQ25:BQ40))</f>
        <v>1</v>
      </c>
      <c r="BR43" s="601"/>
      <c r="BS43" s="601"/>
      <c r="BT43" s="601"/>
      <c r="BU43" s="601"/>
      <c r="BV43" s="853"/>
      <c r="BW43" s="853"/>
      <c r="BX43" s="854"/>
      <c r="BY43" s="853"/>
      <c r="BZ43" s="853"/>
      <c r="CA43" s="853"/>
      <c r="CB43" s="853"/>
      <c r="CC43" s="853"/>
      <c r="CD43" s="853"/>
      <c r="CE43" s="853"/>
    </row>
    <row r="44" spans="1:83" s="855" customFormat="1" ht="15.75" customHeight="1" x14ac:dyDescent="0.2">
      <c r="A44" s="1422" t="s">
        <v>542</v>
      </c>
      <c r="B44" s="1423"/>
      <c r="C44" s="1423"/>
      <c r="D44" s="1423"/>
      <c r="E44" s="1423"/>
      <c r="F44" s="1424"/>
      <c r="G44" s="1030"/>
      <c r="H44" s="1031" t="s">
        <v>37</v>
      </c>
      <c r="I44" s="935" t="str">
        <f>IF(($B$14*G44*0.7)/1000=0," ",($B$14*G44*0.7)/1000)</f>
        <v xml:space="preserve"> </v>
      </c>
      <c r="J44" s="920"/>
      <c r="K44" s="35"/>
      <c r="L44" s="35"/>
      <c r="M44" s="631">
        <f>IF(I44=" ",0,I44)</f>
        <v>0</v>
      </c>
      <c r="N44" s="601"/>
      <c r="O44" s="601"/>
      <c r="P44" s="601"/>
      <c r="Q44" s="601"/>
      <c r="R44" s="629"/>
      <c r="S44" s="601"/>
      <c r="T44" s="601"/>
      <c r="U44" s="630"/>
      <c r="V44" s="718"/>
      <c r="W44" s="718"/>
      <c r="X44" s="629"/>
      <c r="Y44" s="601"/>
      <c r="Z44" s="630"/>
      <c r="AA44" s="718"/>
      <c r="AB44" s="629"/>
      <c r="AC44" s="601"/>
      <c r="AD44" s="630"/>
      <c r="AE44" s="601"/>
      <c r="AF44" s="601"/>
      <c r="AG44" s="601"/>
      <c r="AH44" s="601"/>
      <c r="AI44" s="601"/>
      <c r="AJ44" s="601"/>
      <c r="AK44" s="601"/>
      <c r="AL44" s="601"/>
      <c r="AM44" s="601"/>
      <c r="AN44" s="601"/>
      <c r="AO44" s="601"/>
      <c r="AP44" s="601"/>
      <c r="AQ44" s="601">
        <f>SUM(G42:G44)</f>
        <v>0</v>
      </c>
      <c r="AR44" s="601"/>
      <c r="AS44" s="601"/>
      <c r="AT44" s="631"/>
      <c r="AU44" s="601"/>
      <c r="AV44" s="601"/>
      <c r="AW44" s="601"/>
      <c r="AX44" s="601"/>
      <c r="AY44" s="601"/>
      <c r="AZ44" s="601"/>
      <c r="BA44" s="601"/>
      <c r="BB44" s="601"/>
      <c r="BC44" s="601"/>
      <c r="BD44" s="601"/>
      <c r="BE44" s="601"/>
      <c r="BF44" s="601"/>
      <c r="BG44" s="601"/>
      <c r="BH44" s="601"/>
      <c r="BI44" s="601"/>
      <c r="BJ44" s="601"/>
      <c r="BK44" s="601"/>
      <c r="BL44" s="601"/>
      <c r="BM44" s="601"/>
      <c r="BN44" s="601"/>
      <c r="BO44" s="601"/>
      <c r="BP44" s="601"/>
      <c r="BQ44" s="601"/>
      <c r="BR44" s="601"/>
      <c r="BS44" s="601"/>
      <c r="BT44" s="601"/>
      <c r="BU44" s="601"/>
      <c r="BV44" s="853"/>
      <c r="BW44" s="853"/>
      <c r="BX44" s="854"/>
      <c r="BY44" s="853"/>
      <c r="BZ44" s="853"/>
      <c r="CA44" s="853"/>
      <c r="CB44" s="853"/>
      <c r="CC44" s="853"/>
      <c r="CD44" s="853"/>
      <c r="CE44" s="853"/>
    </row>
    <row r="45" spans="1:83" s="855" customFormat="1" ht="15.75" customHeight="1" x14ac:dyDescent="0.2">
      <c r="A45" s="549" t="s">
        <v>438</v>
      </c>
      <c r="B45" s="10"/>
      <c r="C45" s="10"/>
      <c r="D45" s="11"/>
      <c r="E45" s="11"/>
      <c r="F45" s="11"/>
      <c r="G45" s="1040"/>
      <c r="H45" s="39" t="s">
        <v>430</v>
      </c>
      <c r="I45" s="935" t="str">
        <f>+IF(G45&gt;0.1,G45*33.2," ")</f>
        <v xml:space="preserve"> </v>
      </c>
      <c r="J45" s="920"/>
      <c r="K45" s="35"/>
      <c r="L45" s="35"/>
      <c r="M45" s="631"/>
      <c r="N45" s="601"/>
      <c r="O45" s="601"/>
      <c r="P45" s="601"/>
      <c r="Q45" s="601"/>
      <c r="R45" s="629"/>
      <c r="S45" s="601"/>
      <c r="T45" s="601"/>
      <c r="U45" s="630"/>
      <c r="V45" s="718"/>
      <c r="W45" s="718"/>
      <c r="X45" s="629"/>
      <c r="Y45" s="601"/>
      <c r="Z45" s="630"/>
      <c r="AA45" s="718"/>
      <c r="AB45" s="629"/>
      <c r="AC45" s="601"/>
      <c r="AD45" s="630"/>
      <c r="AE45" s="601"/>
      <c r="AF45" s="601"/>
      <c r="AG45" s="601"/>
      <c r="AH45" s="601"/>
      <c r="AI45" s="601"/>
      <c r="AJ45" s="601"/>
      <c r="AK45" s="601"/>
      <c r="AL45" s="601"/>
      <c r="AM45" s="601"/>
      <c r="AN45" s="601"/>
      <c r="AO45" s="601"/>
      <c r="AP45" s="601"/>
      <c r="AQ45" s="601"/>
      <c r="AR45" s="601"/>
      <c r="AS45" s="601"/>
      <c r="AT45" s="631"/>
      <c r="AU45" s="601"/>
      <c r="AV45" s="601"/>
      <c r="AW45" s="601"/>
      <c r="AX45" s="601"/>
      <c r="AY45" s="601"/>
      <c r="AZ45" s="601"/>
      <c r="BA45" s="601"/>
      <c r="BB45" s="601"/>
      <c r="BC45" s="601"/>
      <c r="BD45" s="601"/>
      <c r="BE45" s="601"/>
      <c r="BF45" s="601"/>
      <c r="BG45" s="601"/>
      <c r="BH45" s="601"/>
      <c r="BI45" s="601"/>
      <c r="BJ45" s="601"/>
      <c r="BK45" s="601"/>
      <c r="BL45" s="601"/>
      <c r="BM45" s="601"/>
      <c r="BN45" s="601"/>
      <c r="BO45" s="601"/>
      <c r="BP45" s="601"/>
      <c r="BQ45" s="601"/>
      <c r="BR45" s="601"/>
      <c r="BS45" s="601"/>
      <c r="BT45" s="601"/>
      <c r="BU45" s="601"/>
      <c r="BV45" s="853"/>
      <c r="BW45" s="853"/>
      <c r="BX45" s="853"/>
      <c r="BY45" s="853"/>
      <c r="BZ45" s="853"/>
      <c r="CA45" s="853"/>
      <c r="CB45" s="853"/>
      <c r="CC45" s="853"/>
      <c r="CD45" s="853"/>
      <c r="CE45" s="853"/>
    </row>
    <row r="46" spans="1:83" s="855" customFormat="1" ht="15.75" customHeight="1" x14ac:dyDescent="0.2">
      <c r="A46" s="5" t="s">
        <v>466</v>
      </c>
      <c r="B46" s="6"/>
      <c r="C46" s="6"/>
      <c r="D46" s="12"/>
      <c r="E46" s="12"/>
      <c r="F46" s="12"/>
      <c r="G46" s="12"/>
      <c r="H46" s="36"/>
      <c r="I46" s="936"/>
      <c r="J46" s="920"/>
      <c r="K46" s="35"/>
      <c r="L46" s="35"/>
      <c r="M46" s="695">
        <f>IF(I46=" ",0,I46)</f>
        <v>0</v>
      </c>
      <c r="N46" s="601"/>
      <c r="O46" s="601"/>
      <c r="P46" s="601"/>
      <c r="Q46" s="601"/>
      <c r="R46" s="629"/>
      <c r="S46" s="601"/>
      <c r="T46" s="601"/>
      <c r="U46" s="630"/>
      <c r="V46" s="718"/>
      <c r="W46" s="718"/>
      <c r="X46" s="629"/>
      <c r="Y46" s="601"/>
      <c r="Z46" s="630"/>
      <c r="AA46" s="718"/>
      <c r="AB46" s="629"/>
      <c r="AC46" s="601"/>
      <c r="AD46" s="630"/>
      <c r="AE46" s="601"/>
      <c r="AF46" s="601"/>
      <c r="AG46" s="601"/>
      <c r="AH46" s="601"/>
      <c r="AI46" s="601"/>
      <c r="AJ46" s="601"/>
      <c r="AK46" s="601"/>
      <c r="AL46" s="601"/>
      <c r="AM46" s="601"/>
      <c r="AN46" s="601"/>
      <c r="AO46" s="601"/>
      <c r="AP46" s="601"/>
      <c r="AQ46" s="601"/>
      <c r="AR46" s="601"/>
      <c r="AS46" s="601"/>
      <c r="AT46" s="63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853"/>
      <c r="BW46" s="853"/>
      <c r="BX46" s="854"/>
      <c r="BY46" s="853"/>
      <c r="BZ46" s="853"/>
      <c r="CA46" s="853"/>
      <c r="CB46" s="853"/>
      <c r="CC46" s="853"/>
      <c r="CD46" s="853"/>
      <c r="CE46" s="853"/>
    </row>
    <row r="47" spans="1:83" s="855" customFormat="1" ht="15.75" customHeight="1" thickBot="1" x14ac:dyDescent="0.25">
      <c r="A47" s="5" t="s">
        <v>402</v>
      </c>
      <c r="B47" s="6"/>
      <c r="C47" s="6"/>
      <c r="D47" s="12"/>
      <c r="E47" s="12"/>
      <c r="F47" s="12"/>
      <c r="G47" s="12"/>
      <c r="H47" s="36"/>
      <c r="I47" s="919"/>
      <c r="J47" s="957"/>
      <c r="K47" s="35"/>
      <c r="L47" s="35"/>
      <c r="M47" s="601"/>
      <c r="N47" s="601"/>
      <c r="O47" s="601"/>
      <c r="P47" s="601"/>
      <c r="Q47" s="601"/>
      <c r="R47" s="629"/>
      <c r="S47" s="601"/>
      <c r="T47" s="601"/>
      <c r="U47" s="630"/>
      <c r="V47" s="718"/>
      <c r="W47" s="718"/>
      <c r="X47" s="629"/>
      <c r="Y47" s="601"/>
      <c r="Z47" s="630"/>
      <c r="AA47" s="718"/>
      <c r="AB47" s="629"/>
      <c r="AC47" s="601"/>
      <c r="AD47" s="630"/>
      <c r="AE47" s="601"/>
      <c r="AF47" s="601"/>
      <c r="AG47" s="601"/>
      <c r="AH47" s="601"/>
      <c r="AI47" s="601"/>
      <c r="AJ47" s="601"/>
      <c r="AK47" s="601"/>
      <c r="AL47" s="601"/>
      <c r="AM47" s="601"/>
      <c r="AN47" s="601"/>
      <c r="AO47" s="601"/>
      <c r="AP47" s="601"/>
      <c r="AQ47" s="601"/>
      <c r="AR47" s="601"/>
      <c r="AS47" s="601"/>
      <c r="AT47" s="63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1"/>
      <c r="BR47" s="601"/>
      <c r="BS47" s="601"/>
      <c r="BT47" s="601"/>
      <c r="BU47" s="601"/>
      <c r="BV47" s="853"/>
      <c r="BW47" s="853"/>
      <c r="BX47" s="853"/>
      <c r="BY47" s="853"/>
      <c r="BZ47" s="853"/>
      <c r="CA47" s="853"/>
      <c r="CB47" s="853"/>
      <c r="CC47" s="853"/>
      <c r="CD47" s="853"/>
      <c r="CE47" s="853"/>
    </row>
    <row r="48" spans="1:83" s="855" customFormat="1" ht="21" customHeight="1" thickBot="1" x14ac:dyDescent="0.25">
      <c r="A48" s="2" t="s">
        <v>377</v>
      </c>
      <c r="B48" s="8"/>
      <c r="C48" s="8"/>
      <c r="D48" s="9"/>
      <c r="E48" s="9"/>
      <c r="F48" s="9"/>
      <c r="G48" s="9"/>
      <c r="H48" s="40"/>
      <c r="I48" s="569"/>
      <c r="J48" s="459" t="str">
        <f>IF(N48=0," ",N48)</f>
        <v xml:space="preserve"> </v>
      </c>
      <c r="K48" s="37"/>
      <c r="L48" s="37"/>
      <c r="M48" s="632">
        <f>SUM(I25:I47)</f>
        <v>0</v>
      </c>
      <c r="N48" s="632">
        <f>SUM(J25:J47)</f>
        <v>0</v>
      </c>
      <c r="O48" s="633"/>
      <c r="P48" s="633"/>
      <c r="Q48" s="633"/>
      <c r="R48" s="634">
        <f t="shared" ref="R48:Z48" si="33">SUM(R25:R47)</f>
        <v>0</v>
      </c>
      <c r="S48" s="634">
        <f t="shared" si="33"/>
        <v>0</v>
      </c>
      <c r="T48" s="635">
        <f>SUM(T25:T47)</f>
        <v>0</v>
      </c>
      <c r="U48" s="636">
        <f t="shared" si="33"/>
        <v>0</v>
      </c>
      <c r="V48" s="716"/>
      <c r="W48" s="716"/>
      <c r="X48" s="634">
        <f>SUM(X25:X47)</f>
        <v>0</v>
      </c>
      <c r="Y48" s="635">
        <f t="shared" si="33"/>
        <v>0</v>
      </c>
      <c r="Z48" s="636">
        <f t="shared" si="33"/>
        <v>0</v>
      </c>
      <c r="AA48" s="716"/>
      <c r="AB48" s="634">
        <f>SUM(AB25:AB47)</f>
        <v>0</v>
      </c>
      <c r="AC48" s="634">
        <f>SUM(AC25:AC47)</f>
        <v>0</v>
      </c>
      <c r="AD48" s="637">
        <f>SUM(AD25:AD47)</f>
        <v>0</v>
      </c>
      <c r="AE48" s="633"/>
      <c r="AF48" s="633"/>
      <c r="AG48" s="633"/>
      <c r="AH48" s="633"/>
      <c r="AI48" s="633"/>
      <c r="AJ48" s="633"/>
      <c r="AK48" s="633"/>
      <c r="AL48" s="633"/>
      <c r="AM48" s="633"/>
      <c r="AN48" s="633"/>
      <c r="AO48" s="633"/>
      <c r="AP48" s="633"/>
      <c r="AQ48" s="601"/>
      <c r="AR48" s="601"/>
      <c r="AS48" s="601"/>
      <c r="AT48" s="638">
        <f>SUM(AT25:AT40)</f>
        <v>0</v>
      </c>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853"/>
      <c r="BW48" s="853"/>
      <c r="BX48" s="853"/>
      <c r="BY48" s="853"/>
      <c r="BZ48" s="853"/>
      <c r="CA48" s="853"/>
      <c r="CB48" s="853"/>
      <c r="CC48" s="853"/>
      <c r="CD48" s="853"/>
      <c r="CE48" s="853"/>
    </row>
    <row r="49" spans="1:83" s="857" customFormat="1" ht="26.25" customHeight="1" thickBot="1" x14ac:dyDescent="0.25">
      <c r="A49" s="903" t="s">
        <v>408</v>
      </c>
      <c r="B49" s="904"/>
      <c r="C49" s="904"/>
      <c r="D49" s="905"/>
      <c r="E49" s="905"/>
      <c r="F49" s="905"/>
      <c r="G49" s="905"/>
      <c r="H49" s="1022"/>
      <c r="I49" s="1019" t="str">
        <f>IF(M48=0," ",M48)</f>
        <v xml:space="preserve"> </v>
      </c>
      <c r="J49" s="1019" t="str">
        <f>IF(N49=0," ",N49)</f>
        <v xml:space="preserve"> </v>
      </c>
      <c r="K49" s="585"/>
      <c r="L49" s="585"/>
      <c r="M49" s="639"/>
      <c r="N49" s="640">
        <f>SUM(N25:N47)</f>
        <v>0</v>
      </c>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639"/>
      <c r="AN49" s="639"/>
      <c r="AO49" s="639"/>
      <c r="AP49" s="639"/>
      <c r="AQ49" s="641"/>
      <c r="AR49" s="641"/>
      <c r="AS49" s="641"/>
      <c r="AT49" s="642"/>
      <c r="AU49" s="641"/>
      <c r="AV49" s="641"/>
      <c r="AW49" s="641"/>
      <c r="AX49" s="641"/>
      <c r="AY49" s="641"/>
      <c r="AZ49" s="641"/>
      <c r="BA49" s="641"/>
      <c r="BB49" s="641"/>
      <c r="BC49" s="641"/>
      <c r="BD49" s="641"/>
      <c r="BE49" s="641"/>
      <c r="BF49" s="641"/>
      <c r="BG49" s="641"/>
      <c r="BH49" s="641"/>
      <c r="BI49" s="641"/>
      <c r="BJ49" s="641"/>
      <c r="BK49" s="641"/>
      <c r="BL49" s="641"/>
      <c r="BM49" s="641"/>
      <c r="BN49" s="641"/>
      <c r="BO49" s="641"/>
      <c r="BP49" s="641"/>
      <c r="BQ49" s="641"/>
      <c r="BR49" s="641"/>
      <c r="BS49" s="641"/>
      <c r="BT49" s="641"/>
      <c r="BU49" s="641"/>
      <c r="BV49" s="856"/>
      <c r="BW49" s="856"/>
      <c r="BX49" s="856"/>
      <c r="BY49" s="856"/>
      <c r="BZ49" s="856"/>
      <c r="CA49" s="856"/>
      <c r="CB49" s="856"/>
      <c r="CC49" s="856"/>
      <c r="CD49" s="856"/>
      <c r="CE49" s="856"/>
    </row>
    <row r="50" spans="1:83" s="855" customFormat="1" ht="5.25" customHeight="1" x14ac:dyDescent="0.2">
      <c r="A50" s="49"/>
      <c r="B50" s="6"/>
      <c r="C50" s="6"/>
      <c r="D50" s="12"/>
      <c r="E50" s="12"/>
      <c r="F50" s="12"/>
      <c r="G50" s="12"/>
      <c r="H50" s="12"/>
      <c r="I50" s="537"/>
      <c r="J50" s="538"/>
      <c r="K50" s="37"/>
      <c r="L50" s="37"/>
      <c r="M50" s="633"/>
      <c r="N50" s="633"/>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L50" s="633"/>
      <c r="AM50" s="633"/>
      <c r="AN50" s="633"/>
      <c r="AO50" s="633"/>
      <c r="AP50" s="633"/>
      <c r="AQ50" s="601"/>
      <c r="AR50" s="601"/>
      <c r="AS50" s="601"/>
      <c r="AT50" s="643"/>
      <c r="AU50" s="601"/>
      <c r="AV50" s="601"/>
      <c r="AW50" s="601"/>
      <c r="AX50" s="601"/>
      <c r="AY50" s="601"/>
      <c r="AZ50" s="601"/>
      <c r="BA50" s="601"/>
      <c r="BB50" s="601"/>
      <c r="BC50" s="601"/>
      <c r="BD50" s="601"/>
      <c r="BE50" s="601"/>
      <c r="BF50" s="601"/>
      <c r="BG50" s="601"/>
      <c r="BH50" s="601"/>
      <c r="BI50" s="601"/>
      <c r="BJ50" s="601"/>
      <c r="BK50" s="601"/>
      <c r="BL50" s="601"/>
      <c r="BM50" s="601"/>
      <c r="BN50" s="601"/>
      <c r="BO50" s="601"/>
      <c r="BP50" s="601"/>
      <c r="BQ50" s="601"/>
      <c r="BR50" s="601"/>
      <c r="BS50" s="601"/>
      <c r="BT50" s="601"/>
      <c r="BU50" s="601"/>
      <c r="BV50" s="853"/>
      <c r="BW50" s="853"/>
      <c r="BX50" s="853"/>
      <c r="BY50" s="853"/>
      <c r="BZ50" s="853"/>
      <c r="CA50" s="853"/>
      <c r="CB50" s="853"/>
      <c r="CC50" s="853"/>
      <c r="CD50" s="853"/>
      <c r="CE50" s="853"/>
    </row>
    <row r="51" spans="1:83" s="859" customFormat="1" ht="12" customHeight="1" x14ac:dyDescent="0.2">
      <c r="A51" s="544"/>
      <c r="B51" s="545"/>
      <c r="C51" s="731" t="s">
        <v>470</v>
      </c>
      <c r="D51" s="542" t="s">
        <v>5</v>
      </c>
      <c r="E51" s="541" t="s">
        <v>550</v>
      </c>
      <c r="F51" s="541" t="s">
        <v>551</v>
      </c>
      <c r="G51" s="48"/>
      <c r="H51" s="62"/>
      <c r="I51" s="540"/>
      <c r="J51" s="539"/>
      <c r="K51" s="539"/>
      <c r="L51" s="539"/>
      <c r="M51" s="644"/>
      <c r="N51" s="846" t="str">
        <f>C52</f>
        <v xml:space="preserve"> </v>
      </c>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L51" s="644"/>
      <c r="AM51" s="644"/>
      <c r="AN51" s="644"/>
      <c r="AO51" s="644"/>
      <c r="AP51" s="644"/>
      <c r="AQ51" s="645"/>
      <c r="AR51" s="645"/>
      <c r="AS51" s="645"/>
      <c r="AT51" s="646"/>
      <c r="AU51" s="645"/>
      <c r="AV51" s="645"/>
      <c r="AW51" s="645"/>
      <c r="AX51" s="645"/>
      <c r="AY51" s="645"/>
      <c r="AZ51" s="645"/>
      <c r="BA51" s="645"/>
      <c r="BB51" s="645"/>
      <c r="BC51" s="645"/>
      <c r="BD51" s="645"/>
      <c r="BE51" s="645"/>
      <c r="BF51" s="645"/>
      <c r="BG51" s="645"/>
      <c r="BH51" s="645"/>
      <c r="BI51" s="645"/>
      <c r="BJ51" s="645"/>
      <c r="BK51" s="645"/>
      <c r="BL51" s="645"/>
      <c r="BM51" s="645"/>
      <c r="BN51" s="645"/>
      <c r="BO51" s="645"/>
      <c r="BP51" s="645"/>
      <c r="BQ51" s="645"/>
      <c r="BR51" s="645"/>
      <c r="BS51" s="645"/>
      <c r="BT51" s="645"/>
      <c r="BU51" s="645"/>
      <c r="BV51" s="858"/>
      <c r="BW51" s="858"/>
      <c r="BX51" s="858"/>
      <c r="BY51" s="858"/>
      <c r="BZ51" s="858"/>
      <c r="CA51" s="858"/>
      <c r="CB51" s="858"/>
      <c r="CC51" s="858"/>
      <c r="CD51" s="858"/>
      <c r="CE51" s="858"/>
    </row>
    <row r="52" spans="1:83" s="859" customFormat="1" ht="10.5" customHeight="1" x14ac:dyDescent="0.2">
      <c r="A52" s="548" t="s">
        <v>428</v>
      </c>
      <c r="B52" s="543"/>
      <c r="C52" s="757" t="str">
        <f>IF($M48=0," ",IF(V54+W54=0,"0,00",(V54*BP42+W54*BQ42)/(BP42+BQ42)))</f>
        <v xml:space="preserve"> </v>
      </c>
      <c r="D52" s="552" t="str">
        <f>IF($M48=0," ",R54)</f>
        <v xml:space="preserve"> </v>
      </c>
      <c r="E52" s="552" t="str">
        <f>IF($M48=0," ",T54)</f>
        <v xml:space="preserve"> </v>
      </c>
      <c r="F52" s="552" t="str">
        <f>IF($M48=0," ",U54)</f>
        <v xml:space="preserve"> </v>
      </c>
      <c r="G52" s="48"/>
      <c r="H52" s="62"/>
      <c r="I52" s="540"/>
      <c r="J52" s="539"/>
      <c r="K52" s="539"/>
      <c r="L52" s="539"/>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5"/>
      <c r="AR52" s="645"/>
      <c r="AS52" s="645"/>
      <c r="AT52" s="646"/>
      <c r="AU52" s="645"/>
      <c r="AV52" s="645"/>
      <c r="AW52" s="645"/>
      <c r="AX52" s="645"/>
      <c r="AY52" s="645"/>
      <c r="AZ52" s="645"/>
      <c r="BA52" s="645"/>
      <c r="BB52" s="645"/>
      <c r="BC52" s="645"/>
      <c r="BD52" s="645"/>
      <c r="BE52" s="645"/>
      <c r="BF52" s="645"/>
      <c r="BG52" s="645"/>
      <c r="BH52" s="645"/>
      <c r="BI52" s="645"/>
      <c r="BJ52" s="645"/>
      <c r="BK52" s="645"/>
      <c r="BL52" s="645"/>
      <c r="BM52" s="645"/>
      <c r="BN52" s="645"/>
      <c r="BO52" s="645"/>
      <c r="BP52" s="645"/>
      <c r="BQ52" s="645"/>
      <c r="BR52" s="645"/>
      <c r="BS52" s="645"/>
      <c r="BT52" s="645"/>
      <c r="BU52" s="645"/>
      <c r="BV52" s="858"/>
      <c r="BW52" s="858"/>
      <c r="BX52" s="858"/>
      <c r="BY52" s="858"/>
      <c r="BZ52" s="858"/>
      <c r="CA52" s="858"/>
      <c r="CB52" s="858"/>
      <c r="CC52" s="858"/>
      <c r="CD52" s="858"/>
      <c r="CE52" s="858"/>
    </row>
    <row r="53" spans="1:83" s="859" customFormat="1" ht="10.5" customHeight="1" x14ac:dyDescent="0.2">
      <c r="A53" s="546" t="s">
        <v>429</v>
      </c>
      <c r="B53" s="547"/>
      <c r="C53" s="758" t="str">
        <f>IF(N48=0," ",AA54)</f>
        <v xml:space="preserve"> </v>
      </c>
      <c r="D53" s="552" t="str">
        <f>IF($N48=0," ",X54)</f>
        <v xml:space="preserve"> </v>
      </c>
      <c r="E53" s="552" t="str">
        <f>IF($N48=0," ",Y54)</f>
        <v xml:space="preserve"> </v>
      </c>
      <c r="F53" s="552" t="str">
        <f>IF($N48=0," ",Z54)</f>
        <v xml:space="preserve"> </v>
      </c>
      <c r="G53" s="48"/>
      <c r="H53" s="62"/>
      <c r="I53" s="540"/>
      <c r="J53" s="539"/>
      <c r="K53" s="539"/>
      <c r="L53" s="539"/>
      <c r="M53" s="644"/>
      <c r="N53" s="644"/>
      <c r="O53" s="644"/>
      <c r="P53" s="644"/>
      <c r="Q53" s="644"/>
      <c r="R53" s="644"/>
      <c r="S53" s="644"/>
      <c r="T53" s="644"/>
      <c r="U53" s="644"/>
      <c r="V53" s="644"/>
      <c r="W53" s="644"/>
      <c r="X53" s="644"/>
      <c r="Y53" s="644"/>
      <c r="Z53" s="644"/>
      <c r="AA53" s="644"/>
      <c r="AB53" s="644"/>
      <c r="AC53" s="644"/>
      <c r="AD53" s="644"/>
      <c r="AE53" s="644"/>
      <c r="AF53" s="644"/>
      <c r="AG53" s="644"/>
      <c r="AH53" s="644"/>
      <c r="AI53" s="644"/>
      <c r="AJ53" s="644"/>
      <c r="AK53" s="644"/>
      <c r="AL53" s="644"/>
      <c r="AM53" s="644"/>
      <c r="AN53" s="644"/>
      <c r="AO53" s="644"/>
      <c r="AP53" s="644"/>
      <c r="AQ53" s="645"/>
      <c r="AR53" s="645"/>
      <c r="AS53" s="645"/>
      <c r="AT53" s="646"/>
      <c r="AU53" s="645"/>
      <c r="AV53" s="645"/>
      <c r="AW53" s="645"/>
      <c r="AX53" s="645"/>
      <c r="AY53" s="645"/>
      <c r="AZ53" s="645"/>
      <c r="BA53" s="645"/>
      <c r="BB53" s="645"/>
      <c r="BC53" s="645"/>
      <c r="BD53" s="645"/>
      <c r="BE53" s="645"/>
      <c r="BF53" s="645"/>
      <c r="BG53" s="645"/>
      <c r="BH53" s="645"/>
      <c r="BI53" s="645"/>
      <c r="BJ53" s="645"/>
      <c r="BK53" s="645"/>
      <c r="BL53" s="645"/>
      <c r="BM53" s="645"/>
      <c r="BN53" s="645"/>
      <c r="BO53" s="645"/>
      <c r="BP53" s="645"/>
      <c r="BQ53" s="645"/>
      <c r="BR53" s="645"/>
      <c r="BS53" s="645"/>
      <c r="BT53" s="645"/>
      <c r="BU53" s="645"/>
      <c r="BV53" s="858"/>
      <c r="BW53" s="858"/>
      <c r="BX53" s="858"/>
      <c r="BY53" s="858"/>
      <c r="BZ53" s="858"/>
      <c r="CA53" s="858"/>
      <c r="CB53" s="858"/>
      <c r="CC53" s="858"/>
      <c r="CD53" s="858"/>
      <c r="CE53" s="858"/>
    </row>
    <row r="54" spans="1:83" s="855" customFormat="1" ht="17.25" customHeight="1" x14ac:dyDescent="0.2">
      <c r="A54" s="1383" t="s">
        <v>556</v>
      </c>
      <c r="B54" s="1383"/>
      <c r="C54" s="1383"/>
      <c r="D54" s="1383"/>
      <c r="E54" s="1383"/>
      <c r="F54" s="1383"/>
      <c r="G54" s="1383"/>
      <c r="H54" s="1383"/>
      <c r="I54" s="1383"/>
      <c r="J54" s="1383"/>
      <c r="K54" s="37"/>
      <c r="L54" s="37"/>
      <c r="M54" s="633"/>
      <c r="N54" s="633"/>
      <c r="O54" s="633"/>
      <c r="P54" s="633"/>
      <c r="Q54" s="633"/>
      <c r="R54" s="647" t="e">
        <f>+R48/$M48</f>
        <v>#DIV/0!</v>
      </c>
      <c r="S54" s="647"/>
      <c r="T54" s="647" t="e">
        <f>+T48/$M48</f>
        <v>#DIV/0!</v>
      </c>
      <c r="U54" s="647" t="e">
        <f>+U48/$M48</f>
        <v>#DIV/0!</v>
      </c>
      <c r="V54" s="647">
        <f>SUMPRODUCT(V25:V40,$BP25:$BP40)/BP43</f>
        <v>0</v>
      </c>
      <c r="W54" s="647">
        <f>SUMPRODUCT(W25:W40,$BQ25:$BQ40)/BQ43</f>
        <v>0</v>
      </c>
      <c r="X54" s="647" t="e">
        <f>+(X48+AB48)/$N48</f>
        <v>#DIV/0!</v>
      </c>
      <c r="Y54" s="647" t="e">
        <f>+(Y48+AC48)/$N48</f>
        <v>#DIV/0!</v>
      </c>
      <c r="Z54" s="647" t="e">
        <f>+(Z48+AD48)/$N48</f>
        <v>#DIV/0!</v>
      </c>
      <c r="AA54" s="647" t="e">
        <f>SUMPRODUCT(AA25:AA40,$J25:$J40)/J48</f>
        <v>#VALUE!</v>
      </c>
      <c r="AB54" s="647"/>
      <c r="AC54" s="647"/>
      <c r="AD54" s="647"/>
      <c r="AE54" s="648" t="s">
        <v>401</v>
      </c>
      <c r="AF54" s="633"/>
      <c r="AG54" s="633"/>
      <c r="AH54" s="633"/>
      <c r="AI54" s="633"/>
      <c r="AJ54" s="633"/>
      <c r="AK54" s="633"/>
      <c r="AL54" s="633"/>
      <c r="AM54" s="633"/>
      <c r="AN54" s="633"/>
      <c r="AO54" s="633"/>
      <c r="AP54" s="633"/>
      <c r="AQ54" s="601"/>
      <c r="AR54" s="601"/>
      <c r="AS54" s="601"/>
      <c r="AT54" s="601"/>
      <c r="AU54" s="601"/>
      <c r="AV54" s="601"/>
      <c r="AW54" s="601"/>
      <c r="AX54" s="601"/>
      <c r="AY54" s="601"/>
      <c r="AZ54" s="601"/>
      <c r="BA54" s="601"/>
      <c r="BB54" s="601"/>
      <c r="BC54" s="601"/>
      <c r="BD54" s="601"/>
      <c r="BE54" s="601"/>
      <c r="BF54" s="601"/>
      <c r="BG54" s="601"/>
      <c r="BH54" s="601"/>
      <c r="BI54" s="601"/>
      <c r="BJ54" s="601"/>
      <c r="BK54" s="601"/>
      <c r="BL54" s="601"/>
      <c r="BM54" s="601"/>
      <c r="BN54" s="601"/>
      <c r="BO54" s="601"/>
      <c r="BP54" s="601"/>
      <c r="BQ54" s="601"/>
      <c r="BR54" s="601"/>
      <c r="BS54" s="601"/>
      <c r="BT54" s="601"/>
      <c r="BU54" s="601"/>
      <c r="BV54" s="853"/>
      <c r="BW54" s="853"/>
      <c r="BX54" s="853"/>
      <c r="BY54" s="853"/>
      <c r="BZ54" s="853"/>
      <c r="CA54" s="853"/>
      <c r="CB54" s="853"/>
      <c r="CC54" s="853"/>
      <c r="CD54" s="853"/>
      <c r="CE54" s="853"/>
    </row>
    <row r="55" spans="1:83" s="855" customFormat="1" ht="9" customHeight="1" thickBot="1" x14ac:dyDescent="0.25">
      <c r="A55" s="42"/>
      <c r="B55" s="42"/>
      <c r="C55" s="42"/>
      <c r="D55" s="42"/>
      <c r="E55" s="42"/>
      <c r="F55" s="42"/>
      <c r="G55" s="42"/>
      <c r="H55" s="42"/>
      <c r="I55" s="42"/>
      <c r="J55" s="35"/>
      <c r="K55" s="35"/>
      <c r="L55" s="35"/>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1"/>
      <c r="AR55" s="601"/>
      <c r="AS55" s="601"/>
      <c r="AT55" s="601"/>
      <c r="AU55" s="601"/>
      <c r="AV55" s="601"/>
      <c r="AW55" s="601"/>
      <c r="AX55" s="601"/>
      <c r="AY55" s="601"/>
      <c r="AZ55" s="601"/>
      <c r="BA55" s="601"/>
      <c r="BB55" s="601"/>
      <c r="BC55" s="601"/>
      <c r="BD55" s="601"/>
      <c r="BE55" s="601"/>
      <c r="BF55" s="601"/>
      <c r="BG55" s="601"/>
      <c r="BH55" s="601"/>
      <c r="BI55" s="601"/>
      <c r="BJ55" s="601"/>
      <c r="BK55" s="601"/>
      <c r="BL55" s="601"/>
      <c r="BM55" s="601"/>
      <c r="BN55" s="601"/>
      <c r="BO55" s="601"/>
      <c r="BP55" s="601"/>
      <c r="BQ55" s="601"/>
      <c r="BR55" s="601"/>
      <c r="BS55" s="601"/>
      <c r="BT55" s="601"/>
      <c r="BU55" s="601"/>
      <c r="BV55" s="853"/>
      <c r="BW55" s="853"/>
      <c r="BX55" s="853"/>
      <c r="BY55" s="853"/>
      <c r="BZ55" s="853"/>
      <c r="CA55" s="853"/>
      <c r="CB55" s="853"/>
      <c r="CC55" s="853"/>
      <c r="CD55" s="853"/>
      <c r="CE55" s="853"/>
    </row>
    <row r="56" spans="1:83" s="855" customFormat="1" ht="15.75" customHeight="1" thickBot="1" x14ac:dyDescent="0.25">
      <c r="A56" s="940" t="s">
        <v>489</v>
      </c>
      <c r="B56" s="943"/>
      <c r="C56" s="943"/>
      <c r="D56" s="943"/>
      <c r="E56" s="943"/>
      <c r="F56" s="943"/>
      <c r="G56" s="943"/>
      <c r="H56" s="943"/>
      <c r="I56" s="943"/>
      <c r="J56" s="944"/>
      <c r="K56" s="35"/>
      <c r="L56" s="35"/>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c r="AQ56" s="601"/>
      <c r="AR56" s="601"/>
      <c r="AS56" s="601"/>
      <c r="AT56" s="601"/>
      <c r="AU56" s="601"/>
      <c r="AV56" s="601"/>
      <c r="AW56" s="601"/>
      <c r="AX56" s="601"/>
      <c r="AY56" s="601"/>
      <c r="AZ56" s="601"/>
      <c r="BA56" s="601"/>
      <c r="BB56" s="601"/>
      <c r="BC56" s="601"/>
      <c r="BD56" s="601"/>
      <c r="BE56" s="601"/>
      <c r="BF56" s="601"/>
      <c r="BG56" s="601"/>
      <c r="BH56" s="601"/>
      <c r="BI56" s="601"/>
      <c r="BJ56" s="601"/>
      <c r="BK56" s="601"/>
      <c r="BL56" s="601"/>
      <c r="BM56" s="601"/>
      <c r="BN56" s="601"/>
      <c r="BO56" s="601"/>
      <c r="BP56" s="601"/>
      <c r="BQ56" s="601"/>
      <c r="BR56" s="601"/>
      <c r="BS56" s="601"/>
      <c r="BT56" s="601"/>
      <c r="BU56" s="601"/>
      <c r="BV56" s="853"/>
      <c r="BW56" s="853"/>
      <c r="BX56" s="853"/>
      <c r="BY56" s="853"/>
      <c r="BZ56" s="853"/>
      <c r="CA56" s="853"/>
      <c r="CB56" s="853"/>
      <c r="CC56" s="853"/>
      <c r="CD56" s="853"/>
      <c r="CE56" s="853"/>
    </row>
    <row r="57" spans="1:83" s="855" customFormat="1" ht="6.75" customHeight="1" x14ac:dyDescent="0.2">
      <c r="A57" s="42"/>
      <c r="B57" s="42"/>
      <c r="C57" s="42"/>
      <c r="D57" s="42"/>
      <c r="E57" s="42"/>
      <c r="F57" s="42"/>
      <c r="G57" s="42"/>
      <c r="H57" s="42"/>
      <c r="I57" s="42"/>
      <c r="J57" s="35"/>
      <c r="K57" s="35"/>
      <c r="L57" s="35"/>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1"/>
      <c r="AM57" s="601"/>
      <c r="AN57" s="601"/>
      <c r="AO57" s="601"/>
      <c r="AP57" s="601"/>
      <c r="AQ57" s="601"/>
      <c r="AR57" s="601"/>
      <c r="AS57" s="601"/>
      <c r="AT57" s="601"/>
      <c r="AU57" s="601"/>
      <c r="AV57" s="601"/>
      <c r="AW57" s="601"/>
      <c r="AX57" s="601"/>
      <c r="AY57" s="601"/>
      <c r="AZ57" s="601"/>
      <c r="BA57" s="601"/>
      <c r="BB57" s="601"/>
      <c r="BC57" s="601"/>
      <c r="BD57" s="601"/>
      <c r="BE57" s="601"/>
      <c r="BF57" s="601"/>
      <c r="BG57" s="601"/>
      <c r="BH57" s="601"/>
      <c r="BI57" s="601"/>
      <c r="BJ57" s="601"/>
      <c r="BK57" s="601"/>
      <c r="BL57" s="601"/>
      <c r="BM57" s="601"/>
      <c r="BN57" s="601"/>
      <c r="BO57" s="601"/>
      <c r="BP57" s="601"/>
      <c r="BQ57" s="601"/>
      <c r="BR57" s="601"/>
      <c r="BS57" s="601"/>
      <c r="BT57" s="601"/>
      <c r="BU57" s="601"/>
      <c r="BV57" s="853"/>
      <c r="BW57" s="853"/>
      <c r="BX57" s="853"/>
      <c r="BY57" s="853"/>
      <c r="BZ57" s="853"/>
      <c r="CA57" s="853"/>
      <c r="CB57" s="853"/>
      <c r="CC57" s="853"/>
      <c r="CD57" s="853"/>
      <c r="CE57" s="853"/>
    </row>
    <row r="58" spans="1:83" s="855" customFormat="1" ht="15.75" customHeight="1" x14ac:dyDescent="0.35">
      <c r="A58" s="738"/>
      <c r="B58" s="744" t="s">
        <v>477</v>
      </c>
      <c r="C58" s="744" t="s">
        <v>478</v>
      </c>
      <c r="D58" s="745" t="s">
        <v>5</v>
      </c>
      <c r="E58" s="746" t="s">
        <v>552</v>
      </c>
      <c r="F58" s="747" t="s">
        <v>553</v>
      </c>
      <c r="G58" s="741"/>
      <c r="H58" s="770"/>
      <c r="I58" s="741"/>
      <c r="J58" s="741"/>
      <c r="K58" s="35"/>
      <c r="L58" s="35"/>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1"/>
      <c r="BA58" s="601"/>
      <c r="BB58" s="601"/>
      <c r="BC58" s="601"/>
      <c r="BD58" s="601"/>
      <c r="BE58" s="601"/>
      <c r="BF58" s="601"/>
      <c r="BG58" s="601"/>
      <c r="BH58" s="601"/>
      <c r="BI58" s="601"/>
      <c r="BJ58" s="601"/>
      <c r="BK58" s="601"/>
      <c r="BL58" s="601"/>
      <c r="BM58" s="601"/>
      <c r="BN58" s="601"/>
      <c r="BO58" s="601"/>
      <c r="BP58" s="601"/>
      <c r="BQ58" s="601"/>
      <c r="BR58" s="601"/>
      <c r="BS58" s="601"/>
      <c r="BT58" s="601"/>
      <c r="BU58" s="601"/>
      <c r="BV58" s="853"/>
      <c r="BW58" s="853"/>
      <c r="BX58" s="853"/>
      <c r="BY58" s="853"/>
      <c r="BZ58" s="853"/>
      <c r="CA58" s="853"/>
      <c r="CB58" s="853"/>
      <c r="CC58" s="853"/>
      <c r="CD58" s="853"/>
      <c r="CE58" s="853"/>
    </row>
    <row r="59" spans="1:83" s="855" customFormat="1" ht="15.75" customHeight="1" x14ac:dyDescent="0.25">
      <c r="A59" s="739"/>
      <c r="B59" s="748" t="s">
        <v>1</v>
      </c>
      <c r="C59" s="748" t="s">
        <v>2</v>
      </c>
      <c r="D59" s="1470" t="s">
        <v>389</v>
      </c>
      <c r="E59" s="1471"/>
      <c r="F59" s="1472"/>
      <c r="G59" s="771"/>
      <c r="H59" s="771"/>
      <c r="I59" s="771"/>
      <c r="J59" s="771"/>
      <c r="K59" s="35"/>
      <c r="L59" s="35"/>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1"/>
      <c r="BA59" s="601"/>
      <c r="BB59" s="601"/>
      <c r="BC59" s="601"/>
      <c r="BD59" s="601"/>
      <c r="BE59" s="601"/>
      <c r="BF59" s="601"/>
      <c r="BG59" s="601"/>
      <c r="BH59" s="601"/>
      <c r="BI59" s="601"/>
      <c r="BJ59" s="601"/>
      <c r="BK59" s="601"/>
      <c r="BL59" s="601"/>
      <c r="BM59" s="601"/>
      <c r="BN59" s="601"/>
      <c r="BO59" s="601"/>
      <c r="BP59" s="601"/>
      <c r="BQ59" s="601"/>
      <c r="BR59" s="601"/>
      <c r="BS59" s="601"/>
      <c r="BT59" s="601"/>
      <c r="BU59" s="601"/>
      <c r="BV59" s="853"/>
      <c r="BW59" s="853"/>
      <c r="BX59" s="853"/>
      <c r="BY59" s="853"/>
      <c r="BZ59" s="853"/>
      <c r="CA59" s="853"/>
      <c r="CB59" s="853"/>
      <c r="CC59" s="853"/>
      <c r="CD59" s="853"/>
      <c r="CE59" s="853"/>
    </row>
    <row r="60" spans="1:83" s="855" customFormat="1" ht="15.75" customHeight="1" x14ac:dyDescent="0.2">
      <c r="A60" s="1024" t="s">
        <v>482</v>
      </c>
      <c r="B60" s="1025">
        <f>M48</f>
        <v>0</v>
      </c>
      <c r="C60" s="1041">
        <f>IF(C52=" ",0,C52)</f>
        <v>0</v>
      </c>
      <c r="D60" s="1026">
        <f>IF(D52=" ",0,D52)</f>
        <v>0</v>
      </c>
      <c r="E60" s="1026">
        <f>IF(E52=" ",0,E52)</f>
        <v>0</v>
      </c>
      <c r="F60" s="1027">
        <f>IF(F52=" ",0,F52)</f>
        <v>0</v>
      </c>
      <c r="G60" s="772"/>
      <c r="H60" s="773"/>
      <c r="I60" s="750"/>
      <c r="J60" s="750"/>
      <c r="K60" s="35"/>
      <c r="L60" s="35"/>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1"/>
      <c r="AR60" s="601"/>
      <c r="AS60" s="601"/>
      <c r="AT60" s="601"/>
      <c r="AU60" s="601"/>
      <c r="AV60" s="601"/>
      <c r="AW60" s="601"/>
      <c r="AX60" s="601"/>
      <c r="AY60" s="601"/>
      <c r="AZ60" s="601"/>
      <c r="BA60" s="601"/>
      <c r="BB60" s="601"/>
      <c r="BC60" s="601"/>
      <c r="BD60" s="601"/>
      <c r="BE60" s="601"/>
      <c r="BF60" s="601"/>
      <c r="BG60" s="601"/>
      <c r="BH60" s="601"/>
      <c r="BI60" s="601"/>
      <c r="BJ60" s="601"/>
      <c r="BK60" s="601"/>
      <c r="BL60" s="601"/>
      <c r="BM60" s="601"/>
      <c r="BN60" s="601"/>
      <c r="BO60" s="601"/>
      <c r="BP60" s="601"/>
      <c r="BQ60" s="601"/>
      <c r="BR60" s="601"/>
      <c r="BS60" s="601"/>
      <c r="BT60" s="601"/>
      <c r="BU60" s="601"/>
      <c r="BV60" s="853"/>
      <c r="BW60" s="853"/>
      <c r="BX60" s="853"/>
      <c r="BY60" s="853"/>
      <c r="BZ60" s="853"/>
      <c r="CA60" s="853"/>
      <c r="CB60" s="853"/>
      <c r="CC60" s="853"/>
      <c r="CD60" s="853"/>
      <c r="CE60" s="853"/>
    </row>
    <row r="61" spans="1:83" s="855" customFormat="1" ht="15.75" customHeight="1" x14ac:dyDescent="0.2">
      <c r="A61" s="743"/>
      <c r="B61" s="750"/>
      <c r="C61" s="759"/>
      <c r="D61" s="741"/>
      <c r="E61" s="741"/>
      <c r="F61" s="741"/>
      <c r="G61" s="759"/>
      <c r="H61" s="759"/>
      <c r="I61" s="759"/>
      <c r="J61" s="741"/>
      <c r="K61" s="35"/>
      <c r="L61" s="35"/>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1"/>
      <c r="AQ61" s="601"/>
      <c r="AR61" s="601"/>
      <c r="AS61" s="601"/>
      <c r="AT61" s="601"/>
      <c r="AU61" s="601"/>
      <c r="AV61" s="601"/>
      <c r="AW61" s="601"/>
      <c r="AX61" s="601"/>
      <c r="AY61" s="601"/>
      <c r="AZ61" s="601"/>
      <c r="BA61" s="601"/>
      <c r="BB61" s="601"/>
      <c r="BC61" s="601"/>
      <c r="BD61" s="601"/>
      <c r="BE61" s="601"/>
      <c r="BF61" s="601"/>
      <c r="BG61" s="601"/>
      <c r="BH61" s="601"/>
      <c r="BI61" s="601"/>
      <c r="BJ61" s="601"/>
      <c r="BK61" s="601"/>
      <c r="BL61" s="601"/>
      <c r="BM61" s="601"/>
      <c r="BN61" s="601"/>
      <c r="BO61" s="601"/>
      <c r="BP61" s="601"/>
      <c r="BQ61" s="601"/>
      <c r="BR61" s="601"/>
      <c r="BS61" s="601"/>
      <c r="BT61" s="601"/>
      <c r="BU61" s="601"/>
      <c r="BV61" s="853"/>
      <c r="BW61" s="853"/>
      <c r="BX61" s="853"/>
      <c r="BY61" s="853"/>
      <c r="BZ61" s="853"/>
      <c r="CA61" s="853"/>
      <c r="CB61" s="853"/>
      <c r="CC61" s="853"/>
      <c r="CD61" s="853"/>
      <c r="CE61" s="853"/>
    </row>
    <row r="62" spans="1:83" s="855" customFormat="1" ht="15.75" customHeight="1" x14ac:dyDescent="0.25">
      <c r="A62" s="740"/>
      <c r="B62" s="760"/>
      <c r="C62" s="760"/>
      <c r="D62" s="760"/>
      <c r="E62" s="760"/>
      <c r="F62" s="760"/>
      <c r="G62" s="760"/>
      <c r="H62" s="760"/>
      <c r="I62" s="760"/>
      <c r="J62" s="760"/>
      <c r="K62" s="35"/>
      <c r="L62" s="35"/>
      <c r="M62" s="601"/>
      <c r="N62" s="601"/>
      <c r="O62" s="601"/>
      <c r="P62" s="601"/>
      <c r="Q62" s="601"/>
      <c r="R62" s="601"/>
      <c r="S62" s="601"/>
      <c r="T62" s="601"/>
      <c r="U62" s="601"/>
      <c r="V62" s="601"/>
      <c r="W62" s="601"/>
      <c r="X62" s="601"/>
      <c r="Y62" s="601"/>
      <c r="Z62" s="601"/>
      <c r="AA62" s="601"/>
      <c r="AB62" s="601"/>
      <c r="AC62" s="601"/>
      <c r="AD62" s="601"/>
      <c r="AE62" s="601"/>
      <c r="AF62" s="601"/>
      <c r="AG62" s="601"/>
      <c r="AH62" s="601"/>
      <c r="AI62" s="601"/>
      <c r="AJ62" s="601"/>
      <c r="AK62" s="601"/>
      <c r="AL62" s="601"/>
      <c r="AM62" s="601"/>
      <c r="AN62" s="601"/>
      <c r="AO62" s="601"/>
      <c r="AP62" s="601"/>
      <c r="AQ62" s="601"/>
      <c r="AR62" s="601"/>
      <c r="AS62" s="601"/>
      <c r="AT62" s="601"/>
      <c r="AU62" s="601"/>
      <c r="AV62" s="601"/>
      <c r="AW62" s="601"/>
      <c r="AX62" s="601"/>
      <c r="AY62" s="601"/>
      <c r="AZ62" s="601"/>
      <c r="BA62" s="601"/>
      <c r="BB62" s="601"/>
      <c r="BC62" s="601"/>
      <c r="BD62" s="601"/>
      <c r="BE62" s="601"/>
      <c r="BF62" s="601"/>
      <c r="BG62" s="601"/>
      <c r="BH62" s="601"/>
      <c r="BI62" s="601"/>
      <c r="BJ62" s="601"/>
      <c r="BK62" s="601"/>
      <c r="BL62" s="601"/>
      <c r="BM62" s="601"/>
      <c r="BN62" s="601"/>
      <c r="BO62" s="601"/>
      <c r="BP62" s="601"/>
      <c r="BQ62" s="601"/>
      <c r="BR62" s="601"/>
      <c r="BS62" s="601"/>
      <c r="BT62" s="601"/>
      <c r="BU62" s="601"/>
      <c r="BV62" s="853"/>
      <c r="BW62" s="853"/>
      <c r="BX62" s="853"/>
      <c r="BY62" s="853"/>
      <c r="BZ62" s="853"/>
      <c r="CA62" s="853"/>
      <c r="CB62" s="853"/>
      <c r="CC62" s="853"/>
      <c r="CD62" s="853"/>
      <c r="CE62" s="853"/>
    </row>
    <row r="63" spans="1:83" s="855" customFormat="1" ht="15.75" customHeight="1" thickBot="1" x14ac:dyDescent="0.25">
      <c r="A63" s="754"/>
      <c r="B63" s="15"/>
      <c r="C63" s="15"/>
      <c r="D63" s="15"/>
      <c r="E63" s="15"/>
      <c r="F63" s="15"/>
      <c r="G63" s="15"/>
      <c r="H63" s="15"/>
      <c r="I63" s="15"/>
      <c r="J63" s="15"/>
      <c r="K63" s="35"/>
      <c r="L63" s="35"/>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601"/>
      <c r="BJ63" s="601"/>
      <c r="BK63" s="601"/>
      <c r="BL63" s="601"/>
      <c r="BM63" s="601"/>
      <c r="BN63" s="601"/>
      <c r="BO63" s="601"/>
      <c r="BP63" s="601"/>
      <c r="BQ63" s="601"/>
      <c r="BR63" s="601"/>
      <c r="BS63" s="601"/>
      <c r="BT63" s="601"/>
      <c r="BU63" s="601"/>
      <c r="BV63" s="853"/>
      <c r="BW63" s="853"/>
      <c r="BX63" s="853"/>
      <c r="BY63" s="853"/>
      <c r="BZ63" s="853"/>
      <c r="CA63" s="853"/>
      <c r="CB63" s="853"/>
      <c r="CC63" s="853"/>
      <c r="CD63" s="853"/>
      <c r="CE63" s="853"/>
    </row>
    <row r="64" spans="1:83" s="855" customFormat="1" ht="15.75" customHeight="1" thickBot="1" x14ac:dyDescent="0.3">
      <c r="A64" s="15"/>
      <c r="B64" s="737"/>
      <c r="C64" s="749">
        <f>100-D64</f>
        <v>100</v>
      </c>
      <c r="D64" s="1052">
        <v>0</v>
      </c>
      <c r="E64" s="742" t="s">
        <v>509</v>
      </c>
      <c r="F64" s="737"/>
      <c r="G64" s="737"/>
      <c r="H64" s="737"/>
      <c r="I64" s="737"/>
      <c r="J64" s="737"/>
      <c r="K64" s="35"/>
      <c r="L64" s="35"/>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c r="AU64" s="601"/>
      <c r="AV64" s="601"/>
      <c r="AW64" s="601"/>
      <c r="AX64" s="601"/>
      <c r="AY64" s="601"/>
      <c r="AZ64" s="601"/>
      <c r="BA64" s="601"/>
      <c r="BB64" s="601"/>
      <c r="BC64" s="601"/>
      <c r="BD64" s="601"/>
      <c r="BE64" s="601"/>
      <c r="BF64" s="601"/>
      <c r="BG64" s="601"/>
      <c r="BH64" s="601"/>
      <c r="BI64" s="601"/>
      <c r="BJ64" s="601"/>
      <c r="BK64" s="601"/>
      <c r="BL64" s="601"/>
      <c r="BM64" s="601"/>
      <c r="BN64" s="601"/>
      <c r="BO64" s="601"/>
      <c r="BP64" s="601"/>
      <c r="BQ64" s="601"/>
      <c r="BR64" s="601"/>
      <c r="BS64" s="601"/>
      <c r="BT64" s="601"/>
      <c r="BU64" s="601"/>
      <c r="BV64" s="853"/>
      <c r="BW64" s="853"/>
      <c r="BX64" s="853"/>
      <c r="BY64" s="853"/>
      <c r="BZ64" s="853"/>
      <c r="CA64" s="853"/>
      <c r="CB64" s="853"/>
      <c r="CC64" s="853"/>
      <c r="CD64" s="853"/>
      <c r="CE64" s="853"/>
    </row>
    <row r="65" spans="1:83" s="855" customFormat="1" ht="15.75" customHeight="1" x14ac:dyDescent="0.25">
      <c r="A65" s="754"/>
      <c r="B65" s="737"/>
      <c r="C65" s="755"/>
      <c r="D65" s="756"/>
      <c r="E65" s="742"/>
      <c r="F65" s="737"/>
      <c r="G65" s="737"/>
      <c r="H65" s="737"/>
      <c r="I65" s="737"/>
      <c r="J65" s="737"/>
      <c r="K65" s="35"/>
      <c r="L65" s="35"/>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1"/>
      <c r="AJ65" s="601"/>
      <c r="AK65" s="601"/>
      <c r="AL65" s="601"/>
      <c r="AM65" s="601"/>
      <c r="AN65" s="601"/>
      <c r="AO65" s="601"/>
      <c r="AP65" s="601"/>
      <c r="AQ65" s="601"/>
      <c r="AR65" s="601"/>
      <c r="AS65" s="601"/>
      <c r="AT65" s="601"/>
      <c r="AU65" s="601"/>
      <c r="AV65" s="601"/>
      <c r="AW65" s="601"/>
      <c r="AX65" s="601"/>
      <c r="AY65" s="601"/>
      <c r="AZ65" s="601"/>
      <c r="BA65" s="601"/>
      <c r="BB65" s="601"/>
      <c r="BC65" s="601"/>
      <c r="BD65" s="601"/>
      <c r="BE65" s="601"/>
      <c r="BF65" s="601"/>
      <c r="BG65" s="601"/>
      <c r="BH65" s="601"/>
      <c r="BI65" s="601"/>
      <c r="BJ65" s="601"/>
      <c r="BK65" s="601"/>
      <c r="BL65" s="601"/>
      <c r="BM65" s="601"/>
      <c r="BN65" s="601"/>
      <c r="BO65" s="601"/>
      <c r="BP65" s="601"/>
      <c r="BQ65" s="601"/>
      <c r="BR65" s="601"/>
      <c r="BS65" s="601"/>
      <c r="BT65" s="601"/>
      <c r="BU65" s="601"/>
      <c r="BV65" s="853"/>
      <c r="BW65" s="853"/>
      <c r="BX65" s="853"/>
      <c r="BY65" s="853"/>
      <c r="BZ65" s="853"/>
      <c r="CA65" s="853"/>
      <c r="CB65" s="853"/>
      <c r="CC65" s="853"/>
      <c r="CD65" s="853"/>
      <c r="CE65" s="853"/>
    </row>
    <row r="66" spans="1:83" s="855" customFormat="1" ht="15.75" customHeight="1" x14ac:dyDescent="0.25">
      <c r="A66" s="754"/>
      <c r="B66" s="737"/>
      <c r="C66" s="755"/>
      <c r="D66" s="756"/>
      <c r="E66" s="742"/>
      <c r="F66" s="737"/>
      <c r="G66" s="737"/>
      <c r="H66" s="737"/>
      <c r="I66" s="737"/>
      <c r="J66" s="737"/>
      <c r="K66" s="35"/>
      <c r="L66" s="35"/>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1"/>
      <c r="AP66" s="601"/>
      <c r="AQ66" s="601"/>
      <c r="AR66" s="601"/>
      <c r="AS66" s="601"/>
      <c r="AT66" s="601"/>
      <c r="AU66" s="601"/>
      <c r="AV66" s="601"/>
      <c r="AW66" s="601"/>
      <c r="AX66" s="601"/>
      <c r="AY66" s="601"/>
      <c r="AZ66" s="601"/>
      <c r="BA66" s="601"/>
      <c r="BB66" s="601"/>
      <c r="BC66" s="601"/>
      <c r="BD66" s="601"/>
      <c r="BE66" s="601"/>
      <c r="BF66" s="601"/>
      <c r="BG66" s="601"/>
      <c r="BH66" s="601"/>
      <c r="BI66" s="601"/>
      <c r="BJ66" s="601"/>
      <c r="BK66" s="601"/>
      <c r="BL66" s="601"/>
      <c r="BM66" s="601"/>
      <c r="BN66" s="601"/>
      <c r="BO66" s="601"/>
      <c r="BP66" s="601"/>
      <c r="BQ66" s="601"/>
      <c r="BR66" s="601"/>
      <c r="BS66" s="601"/>
      <c r="BT66" s="601"/>
      <c r="BU66" s="601"/>
      <c r="BV66" s="853"/>
      <c r="BW66" s="853"/>
      <c r="BX66" s="853"/>
      <c r="BY66" s="853"/>
      <c r="BZ66" s="853"/>
      <c r="CA66" s="853"/>
      <c r="CB66" s="853"/>
      <c r="CC66" s="853"/>
      <c r="CD66" s="853"/>
      <c r="CE66" s="853"/>
    </row>
    <row r="67" spans="1:83" s="855" customFormat="1" ht="15.75" customHeight="1" x14ac:dyDescent="0.25">
      <c r="A67" s="754"/>
      <c r="B67" s="737"/>
      <c r="C67" s="755"/>
      <c r="D67" s="756"/>
      <c r="E67" s="742"/>
      <c r="F67" s="737"/>
      <c r="G67" s="737"/>
      <c r="H67" s="737"/>
      <c r="I67" s="737"/>
      <c r="J67" s="737"/>
      <c r="K67" s="35"/>
      <c r="L67" s="35"/>
      <c r="M67" s="601"/>
      <c r="N67" s="601"/>
      <c r="O67" s="601"/>
      <c r="P67" s="601"/>
      <c r="Q67" s="601"/>
      <c r="R67" s="601"/>
      <c r="S67" s="601"/>
      <c r="T67" s="601"/>
      <c r="U67" s="601"/>
      <c r="V67" s="601"/>
      <c r="W67" s="601"/>
      <c r="X67" s="601"/>
      <c r="Y67" s="601"/>
      <c r="Z67" s="601"/>
      <c r="AA67" s="601"/>
      <c r="AB67" s="601"/>
      <c r="AC67" s="601"/>
      <c r="AD67" s="601"/>
      <c r="AE67" s="601"/>
      <c r="AF67" s="601"/>
      <c r="AG67" s="601"/>
      <c r="AH67" s="601"/>
      <c r="AI67" s="601"/>
      <c r="AJ67" s="601"/>
      <c r="AK67" s="601"/>
      <c r="AL67" s="601"/>
      <c r="AM67" s="601"/>
      <c r="AN67" s="601"/>
      <c r="AO67" s="601"/>
      <c r="AP67" s="601"/>
      <c r="AQ67" s="601"/>
      <c r="AR67" s="601"/>
      <c r="AS67" s="601"/>
      <c r="AT67" s="601"/>
      <c r="AU67" s="601"/>
      <c r="AV67" s="601"/>
      <c r="AW67" s="601"/>
      <c r="AX67" s="601"/>
      <c r="AY67" s="601"/>
      <c r="AZ67" s="601"/>
      <c r="BA67" s="601"/>
      <c r="BB67" s="601"/>
      <c r="BC67" s="601"/>
      <c r="BD67" s="601"/>
      <c r="BE67" s="601"/>
      <c r="BF67" s="601"/>
      <c r="BG67" s="601"/>
      <c r="BH67" s="601"/>
      <c r="BI67" s="601"/>
      <c r="BJ67" s="601"/>
      <c r="BK67" s="601"/>
      <c r="BL67" s="601"/>
      <c r="BM67" s="601"/>
      <c r="BN67" s="601"/>
      <c r="BO67" s="601"/>
      <c r="BP67" s="601"/>
      <c r="BQ67" s="601"/>
      <c r="BR67" s="601"/>
      <c r="BS67" s="601"/>
      <c r="BT67" s="601"/>
      <c r="BU67" s="601"/>
      <c r="BV67" s="853"/>
      <c r="BW67" s="853"/>
      <c r="BX67" s="853"/>
      <c r="BY67" s="853"/>
      <c r="BZ67" s="853"/>
      <c r="CA67" s="853"/>
      <c r="CB67" s="853"/>
      <c r="CC67" s="853"/>
      <c r="CD67" s="853"/>
      <c r="CE67" s="853"/>
    </row>
    <row r="68" spans="1:83" s="855" customFormat="1" ht="15.75" customHeight="1" x14ac:dyDescent="0.25">
      <c r="A68" s="754"/>
      <c r="B68" s="737"/>
      <c r="C68" s="755"/>
      <c r="D68" s="756"/>
      <c r="E68" s="742"/>
      <c r="F68" s="737"/>
      <c r="G68" s="737"/>
      <c r="H68" s="737"/>
      <c r="I68" s="737"/>
      <c r="J68" s="737"/>
      <c r="K68" s="35"/>
      <c r="L68" s="35"/>
      <c r="M68" s="601"/>
      <c r="N68" s="601"/>
      <c r="O68" s="601"/>
      <c r="P68" s="601"/>
      <c r="Q68" s="601"/>
      <c r="R68" s="601"/>
      <c r="S68" s="601"/>
      <c r="T68" s="601"/>
      <c r="U68" s="601"/>
      <c r="V68" s="601"/>
      <c r="W68" s="601"/>
      <c r="X68" s="601"/>
      <c r="Y68" s="601"/>
      <c r="Z68" s="601"/>
      <c r="AA68" s="601"/>
      <c r="AB68" s="601"/>
      <c r="AC68" s="601"/>
      <c r="AD68" s="601"/>
      <c r="AE68" s="601"/>
      <c r="AF68" s="601"/>
      <c r="AG68" s="601"/>
      <c r="AH68" s="601"/>
      <c r="AI68" s="601"/>
      <c r="AJ68" s="601"/>
      <c r="AK68" s="601"/>
      <c r="AL68" s="601"/>
      <c r="AM68" s="601"/>
      <c r="AN68" s="601"/>
      <c r="AO68" s="601"/>
      <c r="AP68" s="601"/>
      <c r="AQ68" s="601"/>
      <c r="AR68" s="601"/>
      <c r="AS68" s="601"/>
      <c r="AT68" s="601"/>
      <c r="AU68" s="601"/>
      <c r="AV68" s="601"/>
      <c r="AW68" s="601"/>
      <c r="AX68" s="601"/>
      <c r="AY68" s="601"/>
      <c r="AZ68" s="601"/>
      <c r="BA68" s="601"/>
      <c r="BB68" s="601"/>
      <c r="BC68" s="601"/>
      <c r="BD68" s="601"/>
      <c r="BE68" s="601"/>
      <c r="BF68" s="601"/>
      <c r="BG68" s="601"/>
      <c r="BH68" s="601"/>
      <c r="BI68" s="601"/>
      <c r="BJ68" s="601"/>
      <c r="BK68" s="601"/>
      <c r="BL68" s="601"/>
      <c r="BM68" s="601"/>
      <c r="BN68" s="601"/>
      <c r="BO68" s="601"/>
      <c r="BP68" s="601"/>
      <c r="BQ68" s="601"/>
      <c r="BR68" s="601"/>
      <c r="BS68" s="601"/>
      <c r="BT68" s="601"/>
      <c r="BU68" s="601"/>
      <c r="BV68" s="853"/>
      <c r="BW68" s="853"/>
      <c r="BX68" s="853"/>
      <c r="BY68" s="853"/>
      <c r="BZ68" s="853"/>
      <c r="CA68" s="853"/>
      <c r="CB68" s="853"/>
      <c r="CC68" s="853"/>
      <c r="CD68" s="853"/>
      <c r="CE68" s="853"/>
    </row>
    <row r="69" spans="1:83" s="855" customFormat="1" ht="15.75" customHeight="1" x14ac:dyDescent="0.25">
      <c r="A69" s="754"/>
      <c r="B69" s="737"/>
      <c r="C69" s="755"/>
      <c r="D69" s="756"/>
      <c r="E69" s="742"/>
      <c r="F69" s="737"/>
      <c r="G69" s="737"/>
      <c r="H69" s="737"/>
      <c r="I69" s="737"/>
      <c r="J69" s="737"/>
      <c r="K69" s="35"/>
      <c r="L69" s="35"/>
      <c r="M69" s="601"/>
      <c r="N69" s="601"/>
      <c r="O69" s="601"/>
      <c r="P69" s="601"/>
      <c r="Q69" s="601"/>
      <c r="R69" s="601"/>
      <c r="S69" s="601"/>
      <c r="T69" s="601"/>
      <c r="U69" s="601"/>
      <c r="V69" s="601"/>
      <c r="W69" s="601"/>
      <c r="X69" s="601"/>
      <c r="Y69" s="601"/>
      <c r="Z69" s="601"/>
      <c r="AA69" s="601"/>
      <c r="AB69" s="601"/>
      <c r="AC69" s="601"/>
      <c r="AD69" s="601"/>
      <c r="AE69" s="601"/>
      <c r="AF69" s="601"/>
      <c r="AG69" s="601"/>
      <c r="AH69" s="601"/>
      <c r="AI69" s="601"/>
      <c r="AJ69" s="601"/>
      <c r="AK69" s="601"/>
      <c r="AL69" s="601"/>
      <c r="AM69" s="601"/>
      <c r="AN69" s="601"/>
      <c r="AO69" s="601"/>
      <c r="AP69" s="601"/>
      <c r="AQ69" s="601"/>
      <c r="AR69" s="601"/>
      <c r="AS69" s="601"/>
      <c r="AT69" s="601"/>
      <c r="AU69" s="601"/>
      <c r="AV69" s="601"/>
      <c r="AW69" s="601"/>
      <c r="AX69" s="601"/>
      <c r="AY69" s="601"/>
      <c r="AZ69" s="601"/>
      <c r="BA69" s="601"/>
      <c r="BB69" s="601"/>
      <c r="BC69" s="601"/>
      <c r="BD69" s="601"/>
      <c r="BE69" s="601"/>
      <c r="BF69" s="601"/>
      <c r="BG69" s="601"/>
      <c r="BH69" s="601"/>
      <c r="BI69" s="601"/>
      <c r="BJ69" s="601"/>
      <c r="BK69" s="601"/>
      <c r="BL69" s="601"/>
      <c r="BM69" s="601"/>
      <c r="BN69" s="601"/>
      <c r="BO69" s="601"/>
      <c r="BP69" s="601"/>
      <c r="BQ69" s="601"/>
      <c r="BR69" s="601"/>
      <c r="BS69" s="601"/>
      <c r="BT69" s="601"/>
      <c r="BU69" s="601"/>
      <c r="BV69" s="853"/>
      <c r="BW69" s="853"/>
      <c r="BX69" s="853"/>
      <c r="BY69" s="853"/>
      <c r="BZ69" s="853"/>
      <c r="CA69" s="853"/>
      <c r="CB69" s="853"/>
      <c r="CC69" s="853"/>
      <c r="CD69" s="853"/>
      <c r="CE69" s="853"/>
    </row>
    <row r="70" spans="1:83" s="855" customFormat="1" ht="15.75" customHeight="1" x14ac:dyDescent="0.25">
      <c r="A70" s="754"/>
      <c r="B70" s="737"/>
      <c r="C70" s="755"/>
      <c r="D70" s="756"/>
      <c r="E70" s="742"/>
      <c r="F70" s="737"/>
      <c r="G70" s="737"/>
      <c r="H70" s="737"/>
      <c r="I70" s="737"/>
      <c r="J70" s="737"/>
      <c r="K70" s="35"/>
      <c r="L70" s="35"/>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1"/>
      <c r="AO70" s="601"/>
      <c r="AP70" s="601"/>
      <c r="AQ70" s="601"/>
      <c r="AR70" s="601"/>
      <c r="AS70" s="601"/>
      <c r="AT70" s="601"/>
      <c r="AU70" s="601"/>
      <c r="AV70" s="601"/>
      <c r="AW70" s="601"/>
      <c r="AX70" s="601"/>
      <c r="AY70" s="601"/>
      <c r="AZ70" s="601"/>
      <c r="BA70" s="601"/>
      <c r="BB70" s="601"/>
      <c r="BC70" s="601"/>
      <c r="BD70" s="601"/>
      <c r="BE70" s="601"/>
      <c r="BF70" s="601"/>
      <c r="BG70" s="601"/>
      <c r="BH70" s="601"/>
      <c r="BI70" s="601"/>
      <c r="BJ70" s="601"/>
      <c r="BK70" s="601"/>
      <c r="BL70" s="601"/>
      <c r="BM70" s="601"/>
      <c r="BN70" s="601"/>
      <c r="BO70" s="601"/>
      <c r="BP70" s="601"/>
      <c r="BQ70" s="601"/>
      <c r="BR70" s="601"/>
      <c r="BS70" s="601"/>
      <c r="BT70" s="601"/>
      <c r="BU70" s="601"/>
      <c r="BV70" s="853"/>
      <c r="BW70" s="853"/>
      <c r="BX70" s="853"/>
      <c r="BY70" s="853"/>
      <c r="BZ70" s="853"/>
      <c r="CA70" s="853"/>
      <c r="CB70" s="853"/>
      <c r="CC70" s="853"/>
      <c r="CD70" s="853"/>
      <c r="CE70" s="853"/>
    </row>
    <row r="71" spans="1:83" s="855" customFormat="1" ht="15.75" customHeight="1" x14ac:dyDescent="0.25">
      <c r="A71" s="754"/>
      <c r="B71" s="737"/>
      <c r="C71" s="755"/>
      <c r="D71" s="756"/>
      <c r="E71" s="742"/>
      <c r="F71" s="737"/>
      <c r="G71" s="737"/>
      <c r="H71" s="737"/>
      <c r="I71" s="737"/>
      <c r="J71" s="737"/>
      <c r="K71" s="35"/>
      <c r="L71" s="35"/>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601"/>
      <c r="AM71" s="601"/>
      <c r="AN71" s="601"/>
      <c r="AO71" s="601"/>
      <c r="AP71" s="601"/>
      <c r="AQ71" s="601"/>
      <c r="AR71" s="601"/>
      <c r="AS71" s="601"/>
      <c r="AT71" s="601"/>
      <c r="AU71" s="601"/>
      <c r="AV71" s="601"/>
      <c r="AW71" s="601"/>
      <c r="AX71" s="601"/>
      <c r="AY71" s="601"/>
      <c r="AZ71" s="601"/>
      <c r="BA71" s="601"/>
      <c r="BB71" s="601"/>
      <c r="BC71" s="601"/>
      <c r="BD71" s="601"/>
      <c r="BE71" s="601"/>
      <c r="BF71" s="601"/>
      <c r="BG71" s="601"/>
      <c r="BH71" s="601"/>
      <c r="BI71" s="601"/>
      <c r="BJ71" s="601"/>
      <c r="BK71" s="601"/>
      <c r="BL71" s="601"/>
      <c r="BM71" s="601"/>
      <c r="BN71" s="601"/>
      <c r="BO71" s="601"/>
      <c r="BP71" s="601"/>
      <c r="BQ71" s="601"/>
      <c r="BR71" s="601"/>
      <c r="BS71" s="601"/>
      <c r="BT71" s="601"/>
      <c r="BU71" s="601"/>
      <c r="BV71" s="853"/>
      <c r="BW71" s="853"/>
      <c r="BX71" s="853"/>
      <c r="BY71" s="853"/>
      <c r="BZ71" s="853"/>
      <c r="CA71" s="853"/>
      <c r="CB71" s="853"/>
      <c r="CC71" s="853"/>
      <c r="CD71" s="853"/>
      <c r="CE71" s="853"/>
    </row>
    <row r="72" spans="1:83" s="855" customFormat="1" ht="15.75" customHeight="1" x14ac:dyDescent="0.25">
      <c r="A72" s="743"/>
      <c r="B72" s="737"/>
      <c r="C72" s="737"/>
      <c r="D72" s="737"/>
      <c r="E72" s="737"/>
      <c r="F72" s="737"/>
      <c r="G72" s="737"/>
      <c r="H72" s="737"/>
      <c r="I72" s="737"/>
      <c r="J72" s="737"/>
      <c r="K72" s="35"/>
      <c r="L72" s="35"/>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1"/>
      <c r="AP72" s="601"/>
      <c r="AQ72" s="601"/>
      <c r="AR72" s="601"/>
      <c r="AS72" s="601"/>
      <c r="AT72" s="601"/>
      <c r="AU72" s="601"/>
      <c r="AV72" s="601"/>
      <c r="AW72" s="601"/>
      <c r="AX72" s="601"/>
      <c r="AY72" s="601"/>
      <c r="AZ72" s="601"/>
      <c r="BA72" s="601"/>
      <c r="BB72" s="601"/>
      <c r="BC72" s="601"/>
      <c r="BD72" s="601"/>
      <c r="BE72" s="601"/>
      <c r="BF72" s="601"/>
      <c r="BG72" s="601"/>
      <c r="BH72" s="601"/>
      <c r="BI72" s="601"/>
      <c r="BJ72" s="601"/>
      <c r="BK72" s="601"/>
      <c r="BL72" s="601"/>
      <c r="BM72" s="601"/>
      <c r="BN72" s="601"/>
      <c r="BO72" s="601"/>
      <c r="BP72" s="601"/>
      <c r="BQ72" s="601"/>
      <c r="BR72" s="601"/>
      <c r="BS72" s="601"/>
      <c r="BT72" s="601"/>
      <c r="BU72" s="601"/>
      <c r="BV72" s="853"/>
      <c r="BW72" s="853"/>
      <c r="BX72" s="853"/>
      <c r="BY72" s="853"/>
      <c r="BZ72" s="853"/>
      <c r="CA72" s="853"/>
      <c r="CB72" s="853"/>
      <c r="CC72" s="853"/>
      <c r="CD72" s="853"/>
      <c r="CE72" s="853"/>
    </row>
    <row r="73" spans="1:83" s="855" customFormat="1" ht="15.75" customHeight="1" x14ac:dyDescent="0.25">
      <c r="A73" s="743"/>
      <c r="B73" s="737"/>
      <c r="C73" s="737"/>
      <c r="D73" s="737"/>
      <c r="E73" s="737"/>
      <c r="F73" s="737"/>
      <c r="G73" s="737"/>
      <c r="H73" s="737"/>
      <c r="I73" s="737"/>
      <c r="J73" s="737"/>
      <c r="K73" s="35"/>
      <c r="L73" s="35"/>
      <c r="M73" s="601"/>
      <c r="N73" s="601"/>
      <c r="O73" s="601"/>
      <c r="P73" s="601"/>
      <c r="Q73" s="601"/>
      <c r="R73" s="601"/>
      <c r="S73" s="601"/>
      <c r="T73" s="601"/>
      <c r="U73" s="601"/>
      <c r="V73" s="601"/>
      <c r="W73" s="601"/>
      <c r="X73" s="601"/>
      <c r="Y73" s="601"/>
      <c r="Z73" s="601"/>
      <c r="AA73" s="601"/>
      <c r="AB73" s="601"/>
      <c r="AC73" s="601"/>
      <c r="AD73" s="601"/>
      <c r="AE73" s="601"/>
      <c r="AF73" s="601"/>
      <c r="AG73" s="601"/>
      <c r="AH73" s="601"/>
      <c r="AI73" s="601"/>
      <c r="AJ73" s="601"/>
      <c r="AK73" s="601"/>
      <c r="AL73" s="601"/>
      <c r="AM73" s="601"/>
      <c r="AN73" s="601"/>
      <c r="AO73" s="601"/>
      <c r="AP73" s="601"/>
      <c r="AQ73" s="601"/>
      <c r="AR73" s="601"/>
      <c r="AS73" s="601"/>
      <c r="AT73" s="601"/>
      <c r="AU73" s="601"/>
      <c r="AV73" s="601"/>
      <c r="AW73" s="601"/>
      <c r="AX73" s="601"/>
      <c r="AY73" s="601"/>
      <c r="AZ73" s="601"/>
      <c r="BA73" s="601"/>
      <c r="BB73" s="601"/>
      <c r="BC73" s="601"/>
      <c r="BD73" s="601"/>
      <c r="BE73" s="601"/>
      <c r="BF73" s="601"/>
      <c r="BG73" s="601"/>
      <c r="BH73" s="601"/>
      <c r="BI73" s="601"/>
      <c r="BJ73" s="601"/>
      <c r="BK73" s="601"/>
      <c r="BL73" s="601"/>
      <c r="BM73" s="601"/>
      <c r="BN73" s="601"/>
      <c r="BO73" s="601"/>
      <c r="BP73" s="601"/>
      <c r="BQ73" s="601"/>
      <c r="BR73" s="601"/>
      <c r="BS73" s="601"/>
      <c r="BT73" s="601"/>
      <c r="BU73" s="601"/>
      <c r="BV73" s="853"/>
      <c r="BW73" s="853"/>
      <c r="BX73" s="853"/>
      <c r="BY73" s="853"/>
      <c r="BZ73" s="853"/>
      <c r="CA73" s="853"/>
      <c r="CB73" s="853"/>
      <c r="CC73" s="853"/>
      <c r="CD73" s="853"/>
      <c r="CE73" s="853"/>
    </row>
    <row r="74" spans="1:83" s="855" customFormat="1" ht="15.75" customHeight="1" x14ac:dyDescent="0.2">
      <c r="A74" s="15"/>
      <c r="B74" s="15"/>
      <c r="C74" s="15"/>
      <c r="D74" s="15"/>
      <c r="E74" s="15"/>
      <c r="F74" s="15"/>
      <c r="G74" s="15"/>
      <c r="H74" s="15"/>
      <c r="I74" s="15"/>
      <c r="J74" s="15"/>
      <c r="K74" s="35"/>
      <c r="L74" s="35"/>
      <c r="M74" s="601"/>
      <c r="N74" s="601"/>
      <c r="O74" s="601"/>
      <c r="P74" s="601"/>
      <c r="Q74" s="601"/>
      <c r="R74" s="601"/>
      <c r="S74" s="601"/>
      <c r="T74" s="601"/>
      <c r="U74" s="601"/>
      <c r="V74" s="601"/>
      <c r="W74" s="601"/>
      <c r="X74" s="601"/>
      <c r="Y74" s="601"/>
      <c r="Z74" s="601"/>
      <c r="AA74" s="601"/>
      <c r="AB74" s="601"/>
      <c r="AC74" s="601"/>
      <c r="AD74" s="601"/>
      <c r="AE74" s="601"/>
      <c r="AF74" s="601"/>
      <c r="AG74" s="601"/>
      <c r="AH74" s="601"/>
      <c r="AI74" s="601"/>
      <c r="AJ74" s="601"/>
      <c r="AK74" s="601"/>
      <c r="AL74" s="601"/>
      <c r="AM74" s="601"/>
      <c r="AN74" s="601"/>
      <c r="AO74" s="601"/>
      <c r="AP74" s="601"/>
      <c r="AQ74" s="601"/>
      <c r="AR74" s="601"/>
      <c r="AS74" s="601"/>
      <c r="AT74" s="601"/>
      <c r="AU74" s="601"/>
      <c r="AV74" s="601"/>
      <c r="AW74" s="601"/>
      <c r="AX74" s="601"/>
      <c r="AY74" s="601"/>
      <c r="AZ74" s="601"/>
      <c r="BA74" s="601"/>
      <c r="BB74" s="601"/>
      <c r="BC74" s="601"/>
      <c r="BD74" s="601"/>
      <c r="BE74" s="601"/>
      <c r="BF74" s="601"/>
      <c r="BG74" s="601"/>
      <c r="BH74" s="601"/>
      <c r="BI74" s="601"/>
      <c r="BJ74" s="601"/>
      <c r="BK74" s="601"/>
      <c r="BL74" s="601"/>
      <c r="BM74" s="601"/>
      <c r="BN74" s="601"/>
      <c r="BO74" s="601"/>
      <c r="BP74" s="601"/>
      <c r="BQ74" s="601"/>
      <c r="BR74" s="601"/>
      <c r="BS74" s="601"/>
      <c r="BT74" s="601"/>
      <c r="BU74" s="601"/>
      <c r="BV74" s="853"/>
      <c r="BW74" s="853"/>
      <c r="BX74" s="853"/>
      <c r="BY74" s="853"/>
      <c r="BZ74" s="853"/>
      <c r="CA74" s="853"/>
      <c r="CB74" s="853"/>
      <c r="CC74" s="853"/>
      <c r="CD74" s="853"/>
      <c r="CE74" s="853"/>
    </row>
    <row r="75" spans="1:83" s="855" customFormat="1" ht="15.75" customHeight="1" x14ac:dyDescent="0.25">
      <c r="A75" s="740"/>
      <c r="B75" s="737"/>
      <c r="C75" s="737"/>
      <c r="D75" s="737"/>
      <c r="E75" s="737"/>
      <c r="F75" s="737"/>
      <c r="G75" s="737"/>
      <c r="H75" s="737"/>
      <c r="I75" s="737"/>
      <c r="J75" s="737"/>
      <c r="K75" s="35"/>
      <c r="L75" s="35"/>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1"/>
      <c r="AL75" s="601"/>
      <c r="AM75" s="601"/>
      <c r="AN75" s="601"/>
      <c r="AO75" s="601"/>
      <c r="AP75" s="601"/>
      <c r="AQ75" s="601"/>
      <c r="AR75" s="601"/>
      <c r="AS75" s="601"/>
      <c r="AT75" s="601"/>
      <c r="AU75" s="601"/>
      <c r="AV75" s="601"/>
      <c r="AW75" s="601"/>
      <c r="AX75" s="601"/>
      <c r="AY75" s="601"/>
      <c r="AZ75" s="601"/>
      <c r="BA75" s="601"/>
      <c r="BB75" s="601"/>
      <c r="BC75" s="601"/>
      <c r="BD75" s="601"/>
      <c r="BE75" s="601"/>
      <c r="BF75" s="601"/>
      <c r="BG75" s="601"/>
      <c r="BH75" s="601"/>
      <c r="BI75" s="601"/>
      <c r="BJ75" s="601"/>
      <c r="BK75" s="601"/>
      <c r="BL75" s="601"/>
      <c r="BM75" s="601"/>
      <c r="BN75" s="601"/>
      <c r="BO75" s="601"/>
      <c r="BP75" s="601"/>
      <c r="BQ75" s="601"/>
      <c r="BR75" s="601"/>
      <c r="BS75" s="601"/>
      <c r="BT75" s="601"/>
      <c r="BU75" s="601"/>
      <c r="BV75" s="853"/>
      <c r="BW75" s="853"/>
      <c r="BX75" s="853"/>
      <c r="BY75" s="853"/>
      <c r="BZ75" s="853"/>
      <c r="CA75" s="853"/>
      <c r="CB75" s="853"/>
      <c r="CC75" s="853"/>
      <c r="CD75" s="853"/>
      <c r="CE75" s="853"/>
    </row>
    <row r="76" spans="1:83" s="855" customFormat="1" ht="15.75" customHeight="1" x14ac:dyDescent="0.25">
      <c r="A76" s="740"/>
      <c r="B76" s="737"/>
      <c r="C76" s="737"/>
      <c r="D76" s="737"/>
      <c r="E76" s="737"/>
      <c r="F76" s="737"/>
      <c r="G76" s="737"/>
      <c r="H76" s="737"/>
      <c r="I76" s="737"/>
      <c r="J76" s="737"/>
      <c r="K76" s="35"/>
      <c r="L76" s="35"/>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1"/>
      <c r="AP76" s="601"/>
      <c r="AQ76" s="601"/>
      <c r="AR76" s="601"/>
      <c r="AS76" s="601"/>
      <c r="AT76" s="601"/>
      <c r="AU76" s="601"/>
      <c r="AV76" s="601"/>
      <c r="AW76" s="601"/>
      <c r="AX76" s="601"/>
      <c r="AY76" s="601"/>
      <c r="AZ76" s="601"/>
      <c r="BA76" s="601"/>
      <c r="BB76" s="601"/>
      <c r="BC76" s="601"/>
      <c r="BD76" s="601"/>
      <c r="BE76" s="601"/>
      <c r="BF76" s="601"/>
      <c r="BG76" s="601"/>
      <c r="BH76" s="601"/>
      <c r="BI76" s="601"/>
      <c r="BJ76" s="601"/>
      <c r="BK76" s="601"/>
      <c r="BL76" s="601"/>
      <c r="BM76" s="601"/>
      <c r="BN76" s="601"/>
      <c r="BO76" s="601"/>
      <c r="BP76" s="601"/>
      <c r="BQ76" s="601"/>
      <c r="BR76" s="601"/>
      <c r="BS76" s="601"/>
      <c r="BT76" s="601"/>
      <c r="BU76" s="601"/>
      <c r="BV76" s="853"/>
      <c r="BW76" s="853"/>
      <c r="BX76" s="853"/>
      <c r="BY76" s="853"/>
      <c r="BZ76" s="853"/>
      <c r="CA76" s="853"/>
      <c r="CB76" s="853"/>
      <c r="CC76" s="853"/>
      <c r="CD76" s="853"/>
      <c r="CE76" s="853"/>
    </row>
    <row r="77" spans="1:83" s="855" customFormat="1" ht="15.75" customHeight="1" x14ac:dyDescent="0.25">
      <c r="A77" s="1055" t="s">
        <v>484</v>
      </c>
      <c r="B77" s="1057">
        <f>M77</f>
        <v>0</v>
      </c>
      <c r="C77" s="737"/>
      <c r="D77" s="1055" t="s">
        <v>484</v>
      </c>
      <c r="E77" s="1056"/>
      <c r="F77" s="1057">
        <f>B60-B77-J77</f>
        <v>0</v>
      </c>
      <c r="G77" s="737"/>
      <c r="H77" s="1055" t="s">
        <v>485</v>
      </c>
      <c r="I77" s="1056"/>
      <c r="J77" s="1057" t="str">
        <f>P77</f>
        <v>0</v>
      </c>
      <c r="K77" s="35"/>
      <c r="L77" s="35"/>
      <c r="M77" s="775">
        <f>B60*C64/100</f>
        <v>0</v>
      </c>
      <c r="N77" s="776">
        <f>B60-B77-J77</f>
        <v>0</v>
      </c>
      <c r="O77" s="777"/>
      <c r="P77" s="776" t="str">
        <f>IF(F78+J78=0,"0",B60*D64/100*((C60-F78)/(J78-F78)))</f>
        <v>0</v>
      </c>
      <c r="Q77" s="601"/>
      <c r="R77" s="601"/>
      <c r="S77" s="601"/>
      <c r="T77" s="601"/>
      <c r="U77" s="601"/>
      <c r="V77" s="601"/>
      <c r="W77" s="601"/>
      <c r="X77" s="601"/>
      <c r="Y77" s="601"/>
      <c r="Z77" s="601"/>
      <c r="AA77" s="601"/>
      <c r="AB77" s="601"/>
      <c r="AC77" s="601"/>
      <c r="AD77" s="601"/>
      <c r="AE77" s="601"/>
      <c r="AF77" s="601"/>
      <c r="AG77" s="601"/>
      <c r="AH77" s="601"/>
      <c r="AI77" s="601"/>
      <c r="AJ77" s="601"/>
      <c r="AK77" s="601"/>
      <c r="AL77" s="601"/>
      <c r="AM77" s="601"/>
      <c r="AN77" s="601"/>
      <c r="AO77" s="601"/>
      <c r="AP77" s="601"/>
      <c r="AQ77" s="601"/>
      <c r="AR77" s="601"/>
      <c r="AS77" s="601"/>
      <c r="AT77" s="601"/>
      <c r="AU77" s="601"/>
      <c r="AV77" s="601"/>
      <c r="AW77" s="601"/>
      <c r="AX77" s="601"/>
      <c r="AY77" s="601"/>
      <c r="AZ77" s="601"/>
      <c r="BA77" s="601"/>
      <c r="BB77" s="601"/>
      <c r="BC77" s="601"/>
      <c r="BD77" s="601"/>
      <c r="BE77" s="601"/>
      <c r="BF77" s="601"/>
      <c r="BG77" s="601"/>
      <c r="BH77" s="601"/>
      <c r="BI77" s="601"/>
      <c r="BJ77" s="601"/>
      <c r="BK77" s="601"/>
      <c r="BL77" s="601"/>
      <c r="BM77" s="601"/>
      <c r="BN77" s="601"/>
      <c r="BO77" s="601"/>
      <c r="BP77" s="601"/>
      <c r="BQ77" s="601"/>
      <c r="BR77" s="601"/>
      <c r="BS77" s="601"/>
      <c r="BT77" s="601"/>
      <c r="BU77" s="601"/>
      <c r="BV77" s="853"/>
      <c r="BW77" s="853"/>
      <c r="BX77" s="853"/>
      <c r="BY77" s="853"/>
      <c r="BZ77" s="853"/>
      <c r="CA77" s="853"/>
      <c r="CB77" s="853"/>
      <c r="CC77" s="853"/>
      <c r="CD77" s="853"/>
      <c r="CE77" s="853"/>
    </row>
    <row r="78" spans="1:83" s="855" customFormat="1" ht="15.75" customHeight="1" x14ac:dyDescent="0.25">
      <c r="A78" s="751" t="s">
        <v>486</v>
      </c>
      <c r="B78" s="1053">
        <f>C60</f>
        <v>0</v>
      </c>
      <c r="C78" s="737"/>
      <c r="D78" s="751" t="s">
        <v>486</v>
      </c>
      <c r="E78" s="752"/>
      <c r="F78" s="1054">
        <v>0</v>
      </c>
      <c r="G78" s="737"/>
      <c r="H78" s="751" t="s">
        <v>486</v>
      </c>
      <c r="I78" s="752"/>
      <c r="J78" s="1054">
        <v>0</v>
      </c>
      <c r="K78" s="35"/>
      <c r="L78" s="35"/>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1"/>
      <c r="AP78" s="601"/>
      <c r="AQ78" s="601"/>
      <c r="AR78" s="601"/>
      <c r="AS78" s="601"/>
      <c r="AT78" s="601"/>
      <c r="AU78" s="601"/>
      <c r="AV78" s="601"/>
      <c r="AW78" s="601"/>
      <c r="AX78" s="601"/>
      <c r="AY78" s="601"/>
      <c r="AZ78" s="601"/>
      <c r="BA78" s="601"/>
      <c r="BB78" s="601"/>
      <c r="BC78" s="601"/>
      <c r="BD78" s="601"/>
      <c r="BE78" s="601"/>
      <c r="BF78" s="601"/>
      <c r="BG78" s="601"/>
      <c r="BH78" s="601"/>
      <c r="BI78" s="601"/>
      <c r="BJ78" s="601"/>
      <c r="BK78" s="601"/>
      <c r="BL78" s="601"/>
      <c r="BM78" s="601"/>
      <c r="BN78" s="601"/>
      <c r="BO78" s="601"/>
      <c r="BP78" s="601"/>
      <c r="BQ78" s="601"/>
      <c r="BR78" s="601"/>
      <c r="BS78" s="601"/>
      <c r="BT78" s="601"/>
      <c r="BU78" s="601"/>
      <c r="BV78" s="853"/>
      <c r="BW78" s="853"/>
      <c r="BX78" s="853"/>
      <c r="BY78" s="853"/>
      <c r="BZ78" s="853"/>
      <c r="CA78" s="853"/>
      <c r="CB78" s="853"/>
      <c r="CC78" s="853"/>
      <c r="CD78" s="853"/>
      <c r="CE78" s="853"/>
    </row>
    <row r="79" spans="1:83" s="855" customFormat="1" ht="15.75" customHeight="1" x14ac:dyDescent="0.2">
      <c r="A79" s="42"/>
      <c r="B79" s="42"/>
      <c r="C79" s="42"/>
      <c r="D79" s="42"/>
      <c r="E79" s="42"/>
      <c r="F79" s="42"/>
      <c r="G79" s="42"/>
      <c r="H79" s="42"/>
      <c r="I79" s="42"/>
      <c r="J79" s="35"/>
      <c r="K79" s="35"/>
      <c r="L79" s="35"/>
      <c r="M79" s="601"/>
      <c r="N79" s="601"/>
      <c r="O79" s="601"/>
      <c r="P79" s="601"/>
      <c r="Q79" s="601"/>
      <c r="R79" s="601"/>
      <c r="S79" s="601"/>
      <c r="T79" s="601"/>
      <c r="U79" s="601"/>
      <c r="V79" s="601"/>
      <c r="W79" s="601"/>
      <c r="X79" s="601"/>
      <c r="Y79" s="601"/>
      <c r="Z79" s="601"/>
      <c r="AA79" s="601"/>
      <c r="AB79" s="601"/>
      <c r="AC79" s="601"/>
      <c r="AD79" s="601"/>
      <c r="AE79" s="601"/>
      <c r="AF79" s="601"/>
      <c r="AG79" s="601"/>
      <c r="AH79" s="601"/>
      <c r="AI79" s="601"/>
      <c r="AJ79" s="601"/>
      <c r="AK79" s="601"/>
      <c r="AL79" s="601"/>
      <c r="AM79" s="601"/>
      <c r="AN79" s="601"/>
      <c r="AO79" s="601"/>
      <c r="AP79" s="601"/>
      <c r="AQ79" s="601"/>
      <c r="AR79" s="601"/>
      <c r="AS79" s="601"/>
      <c r="AT79" s="601"/>
      <c r="AU79" s="601"/>
      <c r="AV79" s="601"/>
      <c r="AW79" s="601"/>
      <c r="AX79" s="601"/>
      <c r="AY79" s="601"/>
      <c r="AZ79" s="601"/>
      <c r="BA79" s="601"/>
      <c r="BB79" s="601"/>
      <c r="BC79" s="601"/>
      <c r="BD79" s="601"/>
      <c r="BE79" s="601"/>
      <c r="BF79" s="601"/>
      <c r="BG79" s="601"/>
      <c r="BH79" s="601"/>
      <c r="BI79" s="601"/>
      <c r="BJ79" s="601"/>
      <c r="BK79" s="601"/>
      <c r="BL79" s="601"/>
      <c r="BM79" s="601"/>
      <c r="BN79" s="601"/>
      <c r="BO79" s="601"/>
      <c r="BP79" s="601"/>
      <c r="BQ79" s="601"/>
      <c r="BR79" s="601"/>
      <c r="BS79" s="601"/>
      <c r="BT79" s="601"/>
      <c r="BU79" s="601"/>
      <c r="BV79" s="853"/>
      <c r="BW79" s="853"/>
      <c r="BX79" s="853"/>
      <c r="BY79" s="853"/>
      <c r="BZ79" s="853"/>
      <c r="CA79" s="853"/>
      <c r="CB79" s="853"/>
      <c r="CC79" s="853"/>
      <c r="CD79" s="853"/>
      <c r="CE79" s="853"/>
    </row>
    <row r="80" spans="1:83" s="855" customFormat="1" ht="15.75" customHeight="1" thickBot="1" x14ac:dyDescent="0.25">
      <c r="A80" s="42"/>
      <c r="B80" s="42"/>
      <c r="C80" s="42"/>
      <c r="D80" s="42"/>
      <c r="E80" s="42"/>
      <c r="F80" s="42"/>
      <c r="G80" s="42"/>
      <c r="H80" s="42"/>
      <c r="I80" s="42"/>
      <c r="J80" s="35"/>
      <c r="K80" s="35"/>
      <c r="L80" s="35"/>
      <c r="M80" s="601"/>
      <c r="N80" s="601"/>
      <c r="O80" s="601"/>
      <c r="P80" s="601"/>
      <c r="Q80" s="601"/>
      <c r="R80" s="601"/>
      <c r="S80" s="601"/>
      <c r="T80" s="601"/>
      <c r="U80" s="601"/>
      <c r="V80" s="601"/>
      <c r="W80" s="601"/>
      <c r="X80" s="601"/>
      <c r="Y80" s="601"/>
      <c r="Z80" s="601"/>
      <c r="AA80" s="601"/>
      <c r="AB80" s="601"/>
      <c r="AC80" s="601"/>
      <c r="AD80" s="601"/>
      <c r="AE80" s="601"/>
      <c r="AF80" s="601"/>
      <c r="AG80" s="601"/>
      <c r="AH80" s="601"/>
      <c r="AI80" s="601"/>
      <c r="AJ80" s="601"/>
      <c r="AK80" s="601"/>
      <c r="AL80" s="601"/>
      <c r="AM80" s="601"/>
      <c r="AN80" s="601"/>
      <c r="AO80" s="601"/>
      <c r="AP80" s="601"/>
      <c r="AQ80" s="601"/>
      <c r="AR80" s="601"/>
      <c r="AS80" s="601"/>
      <c r="AT80" s="601"/>
      <c r="AU80" s="601"/>
      <c r="AV80" s="601"/>
      <c r="AW80" s="601"/>
      <c r="AX80" s="601"/>
      <c r="AY80" s="601"/>
      <c r="AZ80" s="601"/>
      <c r="BA80" s="601"/>
      <c r="BB80" s="601"/>
      <c r="BC80" s="601"/>
      <c r="BD80" s="601"/>
      <c r="BE80" s="601"/>
      <c r="BF80" s="601"/>
      <c r="BG80" s="601"/>
      <c r="BH80" s="601"/>
      <c r="BI80" s="601"/>
      <c r="BJ80" s="601"/>
      <c r="BK80" s="601"/>
      <c r="BL80" s="601"/>
      <c r="BM80" s="601"/>
      <c r="BN80" s="601"/>
      <c r="BO80" s="601"/>
      <c r="BP80" s="601"/>
      <c r="BQ80" s="601"/>
      <c r="BR80" s="601"/>
      <c r="BS80" s="601"/>
      <c r="BT80" s="601"/>
      <c r="BU80" s="601"/>
      <c r="BV80" s="853"/>
      <c r="BW80" s="853"/>
      <c r="BX80" s="853"/>
      <c r="BY80" s="853"/>
      <c r="BZ80" s="853"/>
      <c r="CA80" s="853"/>
      <c r="CB80" s="853"/>
      <c r="CC80" s="853"/>
      <c r="CD80" s="853"/>
      <c r="CE80" s="853"/>
    </row>
    <row r="81" spans="1:83" x14ac:dyDescent="0.2">
      <c r="I81" s="1473" t="s">
        <v>64</v>
      </c>
      <c r="J81" s="1474"/>
    </row>
    <row r="82" spans="1:83" x14ac:dyDescent="0.2">
      <c r="I82" s="838" t="s">
        <v>391</v>
      </c>
      <c r="J82" s="839" t="s">
        <v>392</v>
      </c>
    </row>
    <row r="83" spans="1:83" s="855" customFormat="1" ht="15.75" customHeight="1" thickBot="1" x14ac:dyDescent="0.25">
      <c r="A83" s="779"/>
      <c r="B83" s="56"/>
      <c r="C83" s="56"/>
      <c r="D83" s="780"/>
      <c r="E83" s="780"/>
      <c r="F83" s="780"/>
      <c r="G83" s="780"/>
      <c r="H83" s="780"/>
      <c r="I83" s="840" t="s">
        <v>491</v>
      </c>
      <c r="J83" s="841" t="s">
        <v>491</v>
      </c>
      <c r="K83" s="35"/>
      <c r="L83" s="35"/>
      <c r="M83" s="601"/>
      <c r="N83" s="633"/>
      <c r="O83" s="601"/>
      <c r="P83" s="601"/>
      <c r="Q83" s="601"/>
      <c r="R83" s="601"/>
      <c r="S83" s="601"/>
      <c r="T83" s="601"/>
      <c r="U83" s="601"/>
      <c r="V83" s="601"/>
      <c r="W83" s="601"/>
      <c r="X83" s="601"/>
      <c r="Y83" s="601"/>
      <c r="Z83" s="601"/>
      <c r="AA83" s="601"/>
      <c r="AB83" s="601"/>
      <c r="AC83" s="601"/>
      <c r="AD83" s="601"/>
      <c r="AE83" s="601"/>
      <c r="AF83" s="601"/>
      <c r="AG83" s="601"/>
      <c r="AH83" s="601"/>
      <c r="AI83" s="601"/>
      <c r="AJ83" s="601"/>
      <c r="AK83" s="601"/>
      <c r="AL83" s="601"/>
      <c r="AM83" s="601"/>
      <c r="AN83" s="601"/>
      <c r="AO83" s="601"/>
      <c r="AP83" s="601"/>
      <c r="AQ83" s="601"/>
      <c r="AR83" s="601"/>
      <c r="AS83" s="601"/>
      <c r="AT83" s="601"/>
      <c r="AU83" s="601"/>
      <c r="AV83" s="601"/>
      <c r="AW83" s="601"/>
      <c r="AX83" s="601"/>
      <c r="AY83" s="601"/>
      <c r="AZ83" s="601"/>
      <c r="BA83" s="601"/>
      <c r="BB83" s="601"/>
      <c r="BC83" s="601"/>
      <c r="BD83" s="601"/>
      <c r="BE83" s="601"/>
      <c r="BF83" s="601"/>
      <c r="BG83" s="601"/>
      <c r="BH83" s="601"/>
      <c r="BI83" s="601"/>
      <c r="BJ83" s="601"/>
      <c r="BK83" s="601"/>
      <c r="BL83" s="601"/>
      <c r="BM83" s="601"/>
      <c r="BN83" s="601"/>
      <c r="BO83" s="601"/>
      <c r="BP83" s="601"/>
      <c r="BQ83" s="601"/>
      <c r="BR83" s="601"/>
      <c r="BS83" s="601"/>
      <c r="BT83" s="601"/>
      <c r="BU83" s="601"/>
      <c r="BV83" s="853"/>
      <c r="BW83" s="853"/>
      <c r="BX83" s="853"/>
      <c r="BY83" s="853"/>
      <c r="BZ83" s="853"/>
      <c r="CA83" s="853"/>
      <c r="CB83" s="853"/>
      <c r="CC83" s="853"/>
      <c r="CD83" s="853"/>
      <c r="CE83" s="853"/>
    </row>
    <row r="84" spans="1:83" s="855" customFormat="1" ht="15.75" customHeight="1" thickBot="1" x14ac:dyDescent="0.25">
      <c r="A84" s="894" t="s">
        <v>377</v>
      </c>
      <c r="B84" s="898"/>
      <c r="C84" s="898"/>
      <c r="D84" s="1036"/>
      <c r="E84" s="1036"/>
      <c r="F84" s="1036"/>
      <c r="G84" s="1036"/>
      <c r="H84" s="1037"/>
      <c r="I84" s="910"/>
      <c r="J84" s="1023" t="str">
        <f>IF(N84=0," ",N84)</f>
        <v xml:space="preserve"> </v>
      </c>
      <c r="K84" s="35"/>
      <c r="L84" s="35"/>
      <c r="M84" s="774">
        <f>B77+F77</f>
        <v>0</v>
      </c>
      <c r="N84" s="774">
        <f>N48+J77</f>
        <v>0</v>
      </c>
      <c r="O84" s="601"/>
      <c r="P84" s="601"/>
      <c r="Q84" s="601"/>
      <c r="R84" s="601"/>
      <c r="S84" s="601"/>
      <c r="T84" s="601"/>
      <c r="U84" s="601"/>
      <c r="V84" s="601"/>
      <c r="W84" s="601"/>
      <c r="X84" s="601"/>
      <c r="Y84" s="601"/>
      <c r="Z84" s="601"/>
      <c r="AA84" s="601"/>
      <c r="AB84" s="601"/>
      <c r="AC84" s="601"/>
      <c r="AD84" s="601"/>
      <c r="AE84" s="601"/>
      <c r="AF84" s="601"/>
      <c r="AG84" s="601"/>
      <c r="AH84" s="601"/>
      <c r="AI84" s="601"/>
      <c r="AJ84" s="601"/>
      <c r="AK84" s="601"/>
      <c r="AL84" s="601"/>
      <c r="AM84" s="601"/>
      <c r="AN84" s="601"/>
      <c r="AO84" s="601"/>
      <c r="AP84" s="601"/>
      <c r="AQ84" s="601"/>
      <c r="AR84" s="601"/>
      <c r="AS84" s="601"/>
      <c r="AT84" s="601"/>
      <c r="AU84" s="601"/>
      <c r="AV84" s="601"/>
      <c r="AW84" s="601"/>
      <c r="AX84" s="601"/>
      <c r="AY84" s="601"/>
      <c r="AZ84" s="601"/>
      <c r="BA84" s="601"/>
      <c r="BB84" s="601"/>
      <c r="BC84" s="601"/>
      <c r="BD84" s="601"/>
      <c r="BE84" s="601"/>
      <c r="BF84" s="601"/>
      <c r="BG84" s="601"/>
      <c r="BH84" s="601"/>
      <c r="BI84" s="601"/>
      <c r="BJ84" s="601"/>
      <c r="BK84" s="601"/>
      <c r="BL84" s="601"/>
      <c r="BM84" s="601"/>
      <c r="BN84" s="601"/>
      <c r="BO84" s="601"/>
      <c r="BP84" s="601"/>
      <c r="BQ84" s="601"/>
      <c r="BR84" s="601"/>
      <c r="BS84" s="601"/>
      <c r="BT84" s="601"/>
      <c r="BU84" s="601"/>
      <c r="BV84" s="853"/>
      <c r="BW84" s="853"/>
      <c r="BX84" s="853"/>
      <c r="BY84" s="853"/>
      <c r="BZ84" s="853"/>
      <c r="CA84" s="853"/>
      <c r="CB84" s="853"/>
      <c r="CC84" s="853"/>
      <c r="CD84" s="853"/>
      <c r="CE84" s="853"/>
    </row>
    <row r="85" spans="1:83" s="855" customFormat="1" ht="15.75" customHeight="1" thickBot="1" x14ac:dyDescent="0.25">
      <c r="A85" s="903" t="s">
        <v>408</v>
      </c>
      <c r="B85" s="904"/>
      <c r="C85" s="904"/>
      <c r="D85" s="905"/>
      <c r="E85" s="905"/>
      <c r="F85" s="905"/>
      <c r="G85" s="905"/>
      <c r="H85" s="1022"/>
      <c r="I85" s="1019" t="str">
        <f>IF(M84=0," ",M84)</f>
        <v xml:space="preserve"> </v>
      </c>
      <c r="J85" s="1019" t="str">
        <f>IF(N85=0," ",N85)</f>
        <v xml:space="preserve"> </v>
      </c>
      <c r="K85" s="35"/>
      <c r="L85" s="35"/>
      <c r="M85" s="630"/>
      <c r="N85" s="636">
        <f>N49+J77*(1/0.9)</f>
        <v>0</v>
      </c>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1"/>
      <c r="AY85" s="601"/>
      <c r="AZ85" s="601"/>
      <c r="BA85" s="601"/>
      <c r="BB85" s="601"/>
      <c r="BC85" s="601"/>
      <c r="BD85" s="601"/>
      <c r="BE85" s="601"/>
      <c r="BF85" s="601"/>
      <c r="BG85" s="601"/>
      <c r="BH85" s="601"/>
      <c r="BI85" s="601"/>
      <c r="BJ85" s="601"/>
      <c r="BK85" s="601"/>
      <c r="BL85" s="601"/>
      <c r="BM85" s="601"/>
      <c r="BN85" s="601"/>
      <c r="BO85" s="601"/>
      <c r="BP85" s="601"/>
      <c r="BQ85" s="601"/>
      <c r="BR85" s="601"/>
      <c r="BS85" s="601"/>
      <c r="BT85" s="601"/>
      <c r="BU85" s="601"/>
      <c r="BV85" s="853"/>
      <c r="BW85" s="853"/>
      <c r="BX85" s="853"/>
      <c r="BY85" s="853"/>
      <c r="BZ85" s="853"/>
      <c r="CA85" s="853"/>
      <c r="CB85" s="853"/>
      <c r="CC85" s="853"/>
      <c r="CD85" s="853"/>
      <c r="CE85" s="853"/>
    </row>
    <row r="86" spans="1:83" s="855" customFormat="1" ht="26.25" customHeight="1" x14ac:dyDescent="0.2">
      <c r="A86" s="779"/>
      <c r="B86" s="56"/>
      <c r="C86" s="56"/>
      <c r="D86" s="780"/>
      <c r="E86" s="780"/>
      <c r="F86" s="780"/>
      <c r="G86" s="780"/>
      <c r="H86" s="780"/>
      <c r="I86" s="585"/>
      <c r="J86" s="585"/>
      <c r="K86" s="35"/>
      <c r="L86" s="35"/>
      <c r="M86" s="601"/>
      <c r="N86" s="633"/>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c r="BE86" s="601"/>
      <c r="BF86" s="601"/>
      <c r="BG86" s="601"/>
      <c r="BH86" s="601"/>
      <c r="BI86" s="601"/>
      <c r="BJ86" s="601"/>
      <c r="BK86" s="601"/>
      <c r="BL86" s="601"/>
      <c r="BM86" s="601"/>
      <c r="BN86" s="601"/>
      <c r="BO86" s="601"/>
      <c r="BP86" s="601"/>
      <c r="BQ86" s="601"/>
      <c r="BR86" s="601"/>
      <c r="BS86" s="601"/>
      <c r="BT86" s="601"/>
      <c r="BU86" s="601"/>
      <c r="BV86" s="853"/>
      <c r="BW86" s="853"/>
      <c r="BX86" s="853"/>
      <c r="BY86" s="853"/>
      <c r="BZ86" s="853"/>
      <c r="CA86" s="853"/>
      <c r="CB86" s="853"/>
      <c r="CC86" s="853"/>
      <c r="CD86" s="853"/>
      <c r="CE86" s="853"/>
    </row>
    <row r="87" spans="1:83" s="855" customFormat="1" ht="15.75" customHeight="1" x14ac:dyDescent="0.2">
      <c r="A87" s="779"/>
      <c r="B87" s="56"/>
      <c r="C87" s="56"/>
      <c r="D87" s="780"/>
      <c r="E87" s="780"/>
      <c r="F87" s="780"/>
      <c r="G87" s="780"/>
      <c r="H87" s="780"/>
      <c r="I87" s="585"/>
      <c r="J87" s="585"/>
      <c r="K87" s="35"/>
      <c r="L87" s="35"/>
      <c r="M87" s="601"/>
      <c r="N87" s="633"/>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S87" s="601"/>
      <c r="AT87" s="601"/>
      <c r="AU87" s="601"/>
      <c r="AV87" s="601"/>
      <c r="AW87" s="601"/>
      <c r="AX87" s="601"/>
      <c r="AY87" s="601"/>
      <c r="AZ87" s="601"/>
      <c r="BA87" s="601"/>
      <c r="BB87" s="601"/>
      <c r="BC87" s="601"/>
      <c r="BD87" s="601"/>
      <c r="BE87" s="601"/>
      <c r="BF87" s="601"/>
      <c r="BG87" s="601"/>
      <c r="BH87" s="601"/>
      <c r="BI87" s="601"/>
      <c r="BJ87" s="601"/>
      <c r="BK87" s="601"/>
      <c r="BL87" s="601"/>
      <c r="BM87" s="601"/>
      <c r="BN87" s="601"/>
      <c r="BO87" s="601"/>
      <c r="BP87" s="601"/>
      <c r="BQ87" s="601"/>
      <c r="BR87" s="601"/>
      <c r="BS87" s="601"/>
      <c r="BT87" s="601"/>
      <c r="BU87" s="601"/>
      <c r="BV87" s="853"/>
      <c r="BW87" s="853"/>
      <c r="BX87" s="853"/>
      <c r="BY87" s="853"/>
      <c r="BZ87" s="853"/>
      <c r="CA87" s="853"/>
      <c r="CB87" s="853"/>
      <c r="CC87" s="853"/>
      <c r="CD87" s="853"/>
      <c r="CE87" s="853"/>
    </row>
    <row r="88" spans="1:83" s="855" customFormat="1" ht="15.75" customHeight="1" x14ac:dyDescent="0.2">
      <c r="A88" s="779"/>
      <c r="B88" s="56"/>
      <c r="C88" s="56"/>
      <c r="D88" s="780"/>
      <c r="E88" s="780"/>
      <c r="F88" s="780"/>
      <c r="G88" s="780"/>
      <c r="H88" s="780"/>
      <c r="I88" s="585"/>
      <c r="J88" s="585"/>
      <c r="K88" s="35"/>
      <c r="L88" s="35"/>
      <c r="M88" s="601"/>
      <c r="N88" s="633"/>
      <c r="O88" s="601"/>
      <c r="P88" s="601"/>
      <c r="Q88" s="601"/>
      <c r="R88" s="601"/>
      <c r="S88" s="601"/>
      <c r="T88" s="601"/>
      <c r="U88" s="601"/>
      <c r="V88" s="601"/>
      <c r="W88" s="601"/>
      <c r="X88" s="601"/>
      <c r="Y88" s="601"/>
      <c r="Z88" s="601"/>
      <c r="AA88" s="601"/>
      <c r="AB88" s="601"/>
      <c r="AC88" s="601"/>
      <c r="AD88" s="601"/>
      <c r="AE88" s="601"/>
      <c r="AF88" s="601"/>
      <c r="AG88" s="601"/>
      <c r="AH88" s="601"/>
      <c r="AI88" s="601"/>
      <c r="AJ88" s="601"/>
      <c r="AK88" s="601"/>
      <c r="AL88" s="601"/>
      <c r="AM88" s="601"/>
      <c r="AN88" s="601"/>
      <c r="AO88" s="601"/>
      <c r="AP88" s="601"/>
      <c r="AQ88" s="601"/>
      <c r="AR88" s="601"/>
      <c r="AS88" s="601"/>
      <c r="AT88" s="601"/>
      <c r="AU88" s="601"/>
      <c r="AV88" s="601"/>
      <c r="AW88" s="601"/>
      <c r="AX88" s="601"/>
      <c r="AY88" s="601"/>
      <c r="AZ88" s="601"/>
      <c r="BA88" s="601"/>
      <c r="BB88" s="601"/>
      <c r="BC88" s="601"/>
      <c r="BD88" s="601"/>
      <c r="BE88" s="601"/>
      <c r="BF88" s="601"/>
      <c r="BG88" s="601"/>
      <c r="BH88" s="601"/>
      <c r="BI88" s="601"/>
      <c r="BJ88" s="601"/>
      <c r="BK88" s="601"/>
      <c r="BL88" s="601"/>
      <c r="BM88" s="601"/>
      <c r="BN88" s="601"/>
      <c r="BO88" s="601"/>
      <c r="BP88" s="601"/>
      <c r="BQ88" s="601"/>
      <c r="BR88" s="601"/>
      <c r="BS88" s="601"/>
      <c r="BT88" s="601"/>
      <c r="BU88" s="601"/>
      <c r="BV88" s="853"/>
      <c r="BW88" s="853"/>
      <c r="BX88" s="853"/>
      <c r="BY88" s="853"/>
      <c r="BZ88" s="853"/>
      <c r="CA88" s="853"/>
      <c r="CB88" s="853"/>
      <c r="CC88" s="853"/>
      <c r="CD88" s="853"/>
      <c r="CE88" s="853"/>
    </row>
    <row r="89" spans="1:83" s="855" customFormat="1" ht="15.75" customHeight="1" x14ac:dyDescent="0.2">
      <c r="A89" s="779"/>
      <c r="B89" s="56"/>
      <c r="C89" s="56"/>
      <c r="D89" s="780"/>
      <c r="E89" s="780"/>
      <c r="F89" s="780"/>
      <c r="G89" s="780"/>
      <c r="H89" s="780"/>
      <c r="I89" s="585"/>
      <c r="J89" s="585"/>
      <c r="K89" s="35"/>
      <c r="L89" s="35"/>
      <c r="M89" s="601"/>
      <c r="N89" s="633"/>
      <c r="O89" s="601"/>
      <c r="P89" s="601"/>
      <c r="Q89" s="601"/>
      <c r="R89" s="601"/>
      <c r="S89" s="601"/>
      <c r="T89" s="601"/>
      <c r="U89" s="601"/>
      <c r="V89" s="601"/>
      <c r="W89" s="601"/>
      <c r="X89" s="601"/>
      <c r="Y89" s="601"/>
      <c r="Z89" s="601"/>
      <c r="AA89" s="601"/>
      <c r="AB89" s="601"/>
      <c r="AC89" s="601"/>
      <c r="AD89" s="601"/>
      <c r="AE89" s="601"/>
      <c r="AF89" s="601"/>
      <c r="AG89" s="601"/>
      <c r="AH89" s="601"/>
      <c r="AI89" s="601"/>
      <c r="AJ89" s="601"/>
      <c r="AK89" s="601"/>
      <c r="AL89" s="601"/>
      <c r="AM89" s="601"/>
      <c r="AN89" s="601"/>
      <c r="AO89" s="601"/>
      <c r="AP89" s="601"/>
      <c r="AQ89" s="601"/>
      <c r="AR89" s="601"/>
      <c r="AS89" s="601"/>
      <c r="AT89" s="601"/>
      <c r="AU89" s="601"/>
      <c r="AV89" s="601"/>
      <c r="AW89" s="601"/>
      <c r="AX89" s="601"/>
      <c r="AY89" s="601"/>
      <c r="AZ89" s="601"/>
      <c r="BA89" s="601"/>
      <c r="BB89" s="601"/>
      <c r="BC89" s="601"/>
      <c r="BD89" s="601"/>
      <c r="BE89" s="601"/>
      <c r="BF89" s="601"/>
      <c r="BG89" s="601"/>
      <c r="BH89" s="601"/>
      <c r="BI89" s="601"/>
      <c r="BJ89" s="601"/>
      <c r="BK89" s="601"/>
      <c r="BL89" s="601"/>
      <c r="BM89" s="601"/>
      <c r="BN89" s="601"/>
      <c r="BO89" s="601"/>
      <c r="BP89" s="601"/>
      <c r="BQ89" s="601"/>
      <c r="BR89" s="601"/>
      <c r="BS89" s="601"/>
      <c r="BT89" s="601"/>
      <c r="BU89" s="601"/>
      <c r="BV89" s="853"/>
      <c r="BW89" s="853"/>
      <c r="BX89" s="853"/>
      <c r="BY89" s="853"/>
      <c r="BZ89" s="853"/>
      <c r="CA89" s="853"/>
      <c r="CB89" s="853"/>
      <c r="CC89" s="853"/>
      <c r="CD89" s="853"/>
      <c r="CE89" s="853"/>
    </row>
    <row r="90" spans="1:83" s="855" customFormat="1" ht="15.75" customHeight="1" x14ac:dyDescent="0.2">
      <c r="A90" s="779"/>
      <c r="B90" s="56"/>
      <c r="C90" s="56"/>
      <c r="D90" s="780"/>
      <c r="E90" s="780"/>
      <c r="F90" s="780"/>
      <c r="G90" s="780"/>
      <c r="H90" s="780"/>
      <c r="I90" s="585"/>
      <c r="J90" s="585"/>
      <c r="K90" s="35"/>
      <c r="L90" s="35"/>
      <c r="M90" s="601"/>
      <c r="N90" s="633"/>
      <c r="O90" s="601"/>
      <c r="P90" s="601"/>
      <c r="Q90" s="601"/>
      <c r="R90" s="601"/>
      <c r="S90" s="601"/>
      <c r="T90" s="601"/>
      <c r="U90" s="601"/>
      <c r="V90" s="601"/>
      <c r="W90" s="601"/>
      <c r="X90" s="601"/>
      <c r="Y90" s="601"/>
      <c r="Z90" s="601"/>
      <c r="AA90" s="601"/>
      <c r="AB90" s="601"/>
      <c r="AC90" s="601"/>
      <c r="AD90" s="601"/>
      <c r="AE90" s="601"/>
      <c r="AF90" s="601"/>
      <c r="AG90" s="601"/>
      <c r="AH90" s="601"/>
      <c r="AI90" s="601"/>
      <c r="AJ90" s="601"/>
      <c r="AK90" s="601"/>
      <c r="AL90" s="601"/>
      <c r="AM90" s="601"/>
      <c r="AN90" s="601"/>
      <c r="AO90" s="601"/>
      <c r="AP90" s="601"/>
      <c r="AQ90" s="601"/>
      <c r="AR90" s="601"/>
      <c r="AS90" s="601"/>
      <c r="AT90" s="601"/>
      <c r="AU90" s="601"/>
      <c r="AV90" s="601"/>
      <c r="AW90" s="601"/>
      <c r="AX90" s="601"/>
      <c r="AY90" s="601"/>
      <c r="AZ90" s="601"/>
      <c r="BA90" s="601"/>
      <c r="BB90" s="601"/>
      <c r="BC90" s="601"/>
      <c r="BD90" s="601"/>
      <c r="BE90" s="601"/>
      <c r="BF90" s="601"/>
      <c r="BG90" s="601"/>
      <c r="BH90" s="601"/>
      <c r="BI90" s="601"/>
      <c r="BJ90" s="601"/>
      <c r="BK90" s="601"/>
      <c r="BL90" s="601"/>
      <c r="BM90" s="601"/>
      <c r="BN90" s="601"/>
      <c r="BO90" s="601"/>
      <c r="BP90" s="601"/>
      <c r="BQ90" s="601"/>
      <c r="BR90" s="601"/>
      <c r="BS90" s="601"/>
      <c r="BT90" s="601"/>
      <c r="BU90" s="601"/>
      <c r="BV90" s="853"/>
      <c r="BW90" s="853"/>
      <c r="BX90" s="853"/>
      <c r="BY90" s="853"/>
      <c r="BZ90" s="853"/>
      <c r="CA90" s="853"/>
      <c r="CB90" s="853"/>
      <c r="CC90" s="853"/>
      <c r="CD90" s="853"/>
      <c r="CE90" s="853"/>
    </row>
    <row r="91" spans="1:83" s="855" customFormat="1" ht="15.75" customHeight="1" x14ac:dyDescent="0.2">
      <c r="A91" s="779"/>
      <c r="B91" s="56"/>
      <c r="C91" s="56"/>
      <c r="D91" s="780"/>
      <c r="E91" s="780"/>
      <c r="F91" s="780"/>
      <c r="G91" s="780"/>
      <c r="H91" s="780"/>
      <c r="I91" s="585"/>
      <c r="J91" s="585"/>
      <c r="K91" s="35"/>
      <c r="L91" s="35"/>
      <c r="M91" s="601"/>
      <c r="N91" s="633"/>
      <c r="O91" s="601"/>
      <c r="P91" s="601"/>
      <c r="Q91" s="601"/>
      <c r="R91" s="601"/>
      <c r="S91" s="601"/>
      <c r="T91" s="601"/>
      <c r="U91" s="601"/>
      <c r="V91" s="601"/>
      <c r="W91" s="601"/>
      <c r="X91" s="601"/>
      <c r="Y91" s="601"/>
      <c r="Z91" s="601"/>
      <c r="AA91" s="601"/>
      <c r="AB91" s="601"/>
      <c r="AC91" s="601"/>
      <c r="AD91" s="601"/>
      <c r="AE91" s="601"/>
      <c r="AF91" s="601"/>
      <c r="AG91" s="601"/>
      <c r="AH91" s="601"/>
      <c r="AI91" s="601"/>
      <c r="AJ91" s="601"/>
      <c r="AK91" s="601"/>
      <c r="AL91" s="601"/>
      <c r="AM91" s="601"/>
      <c r="AN91" s="601"/>
      <c r="AO91" s="601"/>
      <c r="AP91" s="601"/>
      <c r="AQ91" s="601"/>
      <c r="AR91" s="601"/>
      <c r="AS91" s="601"/>
      <c r="AT91" s="601"/>
      <c r="AU91" s="601"/>
      <c r="AV91" s="601"/>
      <c r="AW91" s="601"/>
      <c r="AX91" s="601"/>
      <c r="AY91" s="601"/>
      <c r="AZ91" s="601"/>
      <c r="BA91" s="601"/>
      <c r="BB91" s="601"/>
      <c r="BC91" s="601"/>
      <c r="BD91" s="601"/>
      <c r="BE91" s="601"/>
      <c r="BF91" s="601"/>
      <c r="BG91" s="601"/>
      <c r="BH91" s="601"/>
      <c r="BI91" s="601"/>
      <c r="BJ91" s="601"/>
      <c r="BK91" s="601"/>
      <c r="BL91" s="601"/>
      <c r="BM91" s="601"/>
      <c r="BN91" s="601"/>
      <c r="BO91" s="601"/>
      <c r="BP91" s="601"/>
      <c r="BQ91" s="601"/>
      <c r="BR91" s="601"/>
      <c r="BS91" s="601"/>
      <c r="BT91" s="601"/>
      <c r="BU91" s="601"/>
      <c r="BV91" s="853"/>
      <c r="BW91" s="853"/>
      <c r="BX91" s="853"/>
      <c r="BY91" s="853"/>
      <c r="BZ91" s="853"/>
      <c r="CA91" s="853"/>
      <c r="CB91" s="853"/>
      <c r="CC91" s="853"/>
      <c r="CD91" s="853"/>
      <c r="CE91" s="853"/>
    </row>
    <row r="92" spans="1:83" s="855" customFormat="1" ht="15.75" customHeight="1" x14ac:dyDescent="0.2">
      <c r="A92" s="779"/>
      <c r="B92" s="56"/>
      <c r="C92" s="56"/>
      <c r="D92" s="780"/>
      <c r="E92" s="780"/>
      <c r="F92" s="780"/>
      <c r="G92" s="780"/>
      <c r="H92" s="780"/>
      <c r="I92" s="585"/>
      <c r="J92" s="585"/>
      <c r="K92" s="35"/>
      <c r="L92" s="35"/>
      <c r="M92" s="601"/>
      <c r="N92" s="633"/>
      <c r="O92" s="601"/>
      <c r="P92" s="601"/>
      <c r="Q92" s="601"/>
      <c r="R92" s="601"/>
      <c r="S92" s="601"/>
      <c r="T92" s="601"/>
      <c r="U92" s="601"/>
      <c r="V92" s="601"/>
      <c r="W92" s="601"/>
      <c r="X92" s="601"/>
      <c r="Y92" s="601"/>
      <c r="Z92" s="601"/>
      <c r="AA92" s="601"/>
      <c r="AB92" s="601"/>
      <c r="AC92" s="601"/>
      <c r="AD92" s="601"/>
      <c r="AE92" s="601"/>
      <c r="AF92" s="601"/>
      <c r="AG92" s="601"/>
      <c r="AH92" s="601"/>
      <c r="AI92" s="601"/>
      <c r="AJ92" s="601"/>
      <c r="AK92" s="601"/>
      <c r="AL92" s="601"/>
      <c r="AM92" s="601"/>
      <c r="AN92" s="601"/>
      <c r="AO92" s="601"/>
      <c r="AP92" s="601"/>
      <c r="AQ92" s="601"/>
      <c r="AR92" s="601"/>
      <c r="AS92" s="601"/>
      <c r="AT92" s="601"/>
      <c r="AU92" s="601"/>
      <c r="AV92" s="601"/>
      <c r="AW92" s="601"/>
      <c r="AX92" s="601"/>
      <c r="AY92" s="601"/>
      <c r="AZ92" s="601"/>
      <c r="BA92" s="601"/>
      <c r="BB92" s="601"/>
      <c r="BC92" s="601"/>
      <c r="BD92" s="601"/>
      <c r="BE92" s="601"/>
      <c r="BF92" s="601"/>
      <c r="BG92" s="601"/>
      <c r="BH92" s="601"/>
      <c r="BI92" s="601"/>
      <c r="BJ92" s="601"/>
      <c r="BK92" s="601"/>
      <c r="BL92" s="601"/>
      <c r="BM92" s="601"/>
      <c r="BN92" s="601"/>
      <c r="BO92" s="601"/>
      <c r="BP92" s="601"/>
      <c r="BQ92" s="601"/>
      <c r="BR92" s="601"/>
      <c r="BS92" s="601"/>
      <c r="BT92" s="601"/>
      <c r="BU92" s="601"/>
      <c r="BV92" s="853"/>
      <c r="BW92" s="853"/>
      <c r="BX92" s="853"/>
      <c r="BY92" s="853"/>
      <c r="BZ92" s="853"/>
      <c r="CA92" s="853"/>
      <c r="CB92" s="853"/>
      <c r="CC92" s="853"/>
      <c r="CD92" s="853"/>
      <c r="CE92" s="853"/>
    </row>
    <row r="93" spans="1:83" s="855" customFormat="1" ht="15.75" customHeight="1" x14ac:dyDescent="0.2">
      <c r="A93" s="779"/>
      <c r="B93" s="56"/>
      <c r="C93" s="56"/>
      <c r="D93" s="780"/>
      <c r="E93" s="780"/>
      <c r="F93" s="780"/>
      <c r="G93" s="780"/>
      <c r="H93" s="780"/>
      <c r="I93" s="585"/>
      <c r="J93" s="585"/>
      <c r="K93" s="35"/>
      <c r="L93" s="35"/>
      <c r="M93" s="601"/>
      <c r="N93" s="633"/>
      <c r="O93" s="601"/>
      <c r="P93" s="601"/>
      <c r="Q93" s="601"/>
      <c r="R93" s="601"/>
      <c r="S93" s="601"/>
      <c r="T93" s="601"/>
      <c r="U93" s="601"/>
      <c r="V93" s="601"/>
      <c r="W93" s="601"/>
      <c r="X93" s="601"/>
      <c r="Y93" s="601"/>
      <c r="Z93" s="601"/>
      <c r="AA93" s="601"/>
      <c r="AB93" s="601"/>
      <c r="AC93" s="601"/>
      <c r="AD93" s="601"/>
      <c r="AE93" s="601"/>
      <c r="AF93" s="601"/>
      <c r="AG93" s="601"/>
      <c r="AH93" s="601"/>
      <c r="AI93" s="601"/>
      <c r="AJ93" s="601"/>
      <c r="AK93" s="601"/>
      <c r="AL93" s="601"/>
      <c r="AM93" s="601"/>
      <c r="AN93" s="601"/>
      <c r="AO93" s="601"/>
      <c r="AP93" s="601"/>
      <c r="AQ93" s="601"/>
      <c r="AR93" s="601"/>
      <c r="AS93" s="601"/>
      <c r="AT93" s="601"/>
      <c r="AU93" s="601"/>
      <c r="AV93" s="601"/>
      <c r="AW93" s="601"/>
      <c r="AX93" s="601"/>
      <c r="AY93" s="601"/>
      <c r="AZ93" s="601"/>
      <c r="BA93" s="601"/>
      <c r="BB93" s="601"/>
      <c r="BC93" s="601"/>
      <c r="BD93" s="601"/>
      <c r="BE93" s="601"/>
      <c r="BF93" s="601"/>
      <c r="BG93" s="601"/>
      <c r="BH93" s="601"/>
      <c r="BI93" s="601"/>
      <c r="BJ93" s="601"/>
      <c r="BK93" s="601"/>
      <c r="BL93" s="601"/>
      <c r="BM93" s="601"/>
      <c r="BN93" s="601"/>
      <c r="BO93" s="601"/>
      <c r="BP93" s="601"/>
      <c r="BQ93" s="601"/>
      <c r="BR93" s="601"/>
      <c r="BS93" s="601"/>
      <c r="BT93" s="601"/>
      <c r="BU93" s="601"/>
      <c r="BV93" s="853"/>
      <c r="BW93" s="853"/>
      <c r="BX93" s="853"/>
      <c r="BY93" s="853"/>
      <c r="BZ93" s="853"/>
      <c r="CA93" s="853"/>
      <c r="CB93" s="853"/>
      <c r="CC93" s="853"/>
      <c r="CD93" s="853"/>
      <c r="CE93" s="853"/>
    </row>
    <row r="94" spans="1:83" s="855" customFormat="1" ht="15.75" customHeight="1" x14ac:dyDescent="0.2">
      <c r="A94" s="779"/>
      <c r="B94" s="56"/>
      <c r="C94" s="56"/>
      <c r="D94" s="780"/>
      <c r="E94" s="780"/>
      <c r="F94" s="780"/>
      <c r="G94" s="780"/>
      <c r="H94" s="780"/>
      <c r="I94" s="585"/>
      <c r="J94" s="585"/>
      <c r="K94" s="35"/>
      <c r="L94" s="35"/>
      <c r="M94" s="601"/>
      <c r="N94" s="633"/>
      <c r="O94" s="601"/>
      <c r="P94" s="601"/>
      <c r="Q94" s="601"/>
      <c r="R94" s="601"/>
      <c r="S94" s="601"/>
      <c r="T94" s="601"/>
      <c r="U94" s="601"/>
      <c r="V94" s="601"/>
      <c r="W94" s="601"/>
      <c r="X94" s="601"/>
      <c r="Y94" s="601"/>
      <c r="Z94" s="601"/>
      <c r="AA94" s="601"/>
      <c r="AB94" s="601"/>
      <c r="AC94" s="601"/>
      <c r="AD94" s="601"/>
      <c r="AE94" s="601"/>
      <c r="AF94" s="601"/>
      <c r="AG94" s="601"/>
      <c r="AH94" s="601"/>
      <c r="AI94" s="601"/>
      <c r="AJ94" s="601"/>
      <c r="AK94" s="601"/>
      <c r="AL94" s="601"/>
      <c r="AM94" s="601"/>
      <c r="AN94" s="601"/>
      <c r="AO94" s="601"/>
      <c r="AP94" s="601"/>
      <c r="AQ94" s="601"/>
      <c r="AR94" s="601"/>
      <c r="AS94" s="601"/>
      <c r="AT94" s="601"/>
      <c r="AU94" s="601"/>
      <c r="AV94" s="601"/>
      <c r="AW94" s="601"/>
      <c r="AX94" s="601"/>
      <c r="AY94" s="601"/>
      <c r="AZ94" s="601"/>
      <c r="BA94" s="601"/>
      <c r="BB94" s="601"/>
      <c r="BC94" s="601"/>
      <c r="BD94" s="601"/>
      <c r="BE94" s="601"/>
      <c r="BF94" s="601"/>
      <c r="BG94" s="601"/>
      <c r="BH94" s="601"/>
      <c r="BI94" s="601"/>
      <c r="BJ94" s="601"/>
      <c r="BK94" s="601"/>
      <c r="BL94" s="601"/>
      <c r="BM94" s="601"/>
      <c r="BN94" s="601"/>
      <c r="BO94" s="601"/>
      <c r="BP94" s="601"/>
      <c r="BQ94" s="601"/>
      <c r="BR94" s="601"/>
      <c r="BS94" s="601"/>
      <c r="BT94" s="601"/>
      <c r="BU94" s="601"/>
      <c r="BV94" s="853"/>
      <c r="BW94" s="853"/>
      <c r="BX94" s="853"/>
      <c r="BY94" s="853"/>
      <c r="BZ94" s="853"/>
      <c r="CA94" s="853"/>
      <c r="CB94" s="853"/>
      <c r="CC94" s="853"/>
      <c r="CD94" s="853"/>
      <c r="CE94" s="853"/>
    </row>
    <row r="95" spans="1:83" s="855" customFormat="1" ht="15.75" customHeight="1" x14ac:dyDescent="0.2">
      <c r="A95" s="779"/>
      <c r="B95" s="56"/>
      <c r="C95" s="56"/>
      <c r="D95" s="780"/>
      <c r="E95" s="780"/>
      <c r="F95" s="780"/>
      <c r="G95" s="780"/>
      <c r="H95" s="780"/>
      <c r="I95" s="585"/>
      <c r="J95" s="585"/>
      <c r="K95" s="35"/>
      <c r="L95" s="35"/>
      <c r="M95" s="601"/>
      <c r="N95" s="633"/>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1"/>
      <c r="AY95" s="601"/>
      <c r="AZ95" s="601"/>
      <c r="BA95" s="601"/>
      <c r="BB95" s="601"/>
      <c r="BC95" s="601"/>
      <c r="BD95" s="601"/>
      <c r="BE95" s="601"/>
      <c r="BF95" s="601"/>
      <c r="BG95" s="601"/>
      <c r="BH95" s="601"/>
      <c r="BI95" s="601"/>
      <c r="BJ95" s="601"/>
      <c r="BK95" s="601"/>
      <c r="BL95" s="601"/>
      <c r="BM95" s="601"/>
      <c r="BN95" s="601"/>
      <c r="BO95" s="601"/>
      <c r="BP95" s="601"/>
      <c r="BQ95" s="601"/>
      <c r="BR95" s="601"/>
      <c r="BS95" s="601"/>
      <c r="BT95" s="601"/>
      <c r="BU95" s="601"/>
      <c r="BV95" s="853"/>
      <c r="BW95" s="853"/>
      <c r="BX95" s="853"/>
      <c r="BY95" s="853"/>
      <c r="BZ95" s="853"/>
      <c r="CA95" s="853"/>
      <c r="CB95" s="853"/>
      <c r="CC95" s="853"/>
      <c r="CD95" s="853"/>
      <c r="CE95" s="853"/>
    </row>
    <row r="96" spans="1:83" s="855" customFormat="1" ht="15.75" customHeight="1" x14ac:dyDescent="0.2">
      <c r="A96" s="779"/>
      <c r="B96" s="56"/>
      <c r="C96" s="56"/>
      <c r="D96" s="780"/>
      <c r="E96" s="780"/>
      <c r="F96" s="780"/>
      <c r="G96" s="780"/>
      <c r="H96" s="780"/>
      <c r="I96" s="585"/>
      <c r="J96" s="585"/>
      <c r="K96" s="35"/>
      <c r="L96" s="35"/>
      <c r="M96" s="601"/>
      <c r="N96" s="633"/>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601"/>
      <c r="AM96" s="601"/>
      <c r="AN96" s="601"/>
      <c r="AO96" s="601"/>
      <c r="AP96" s="601"/>
      <c r="AQ96" s="601"/>
      <c r="AR96" s="601"/>
      <c r="AS96" s="601"/>
      <c r="AT96" s="601"/>
      <c r="AU96" s="601"/>
      <c r="AV96" s="601"/>
      <c r="AW96" s="601"/>
      <c r="AX96" s="601"/>
      <c r="AY96" s="601"/>
      <c r="AZ96" s="601"/>
      <c r="BA96" s="601"/>
      <c r="BB96" s="601"/>
      <c r="BC96" s="601"/>
      <c r="BD96" s="601"/>
      <c r="BE96" s="601"/>
      <c r="BF96" s="601"/>
      <c r="BG96" s="601"/>
      <c r="BH96" s="601"/>
      <c r="BI96" s="601"/>
      <c r="BJ96" s="601"/>
      <c r="BK96" s="601"/>
      <c r="BL96" s="601"/>
      <c r="BM96" s="601"/>
      <c r="BN96" s="601"/>
      <c r="BO96" s="601"/>
      <c r="BP96" s="601"/>
      <c r="BQ96" s="601"/>
      <c r="BR96" s="601"/>
      <c r="BS96" s="601"/>
      <c r="BT96" s="601"/>
      <c r="BU96" s="601"/>
      <c r="BV96" s="853"/>
      <c r="BW96" s="853"/>
      <c r="BX96" s="853"/>
      <c r="BY96" s="853"/>
      <c r="BZ96" s="853"/>
      <c r="CA96" s="853"/>
      <c r="CB96" s="853"/>
      <c r="CC96" s="853"/>
      <c r="CD96" s="853"/>
      <c r="CE96" s="853"/>
    </row>
    <row r="97" spans="1:83" s="855" customFormat="1" ht="15.75" customHeight="1" x14ac:dyDescent="0.2">
      <c r="A97" s="779"/>
      <c r="B97" s="56"/>
      <c r="C97" s="56"/>
      <c r="D97" s="780"/>
      <c r="E97" s="780"/>
      <c r="F97" s="780"/>
      <c r="G97" s="780"/>
      <c r="H97" s="780"/>
      <c r="I97" s="585"/>
      <c r="J97" s="585"/>
      <c r="K97" s="35"/>
      <c r="L97" s="35"/>
      <c r="M97" s="601"/>
      <c r="N97" s="633"/>
      <c r="O97" s="601"/>
      <c r="P97" s="601"/>
      <c r="Q97" s="601"/>
      <c r="R97" s="601"/>
      <c r="S97" s="601"/>
      <c r="T97" s="601"/>
      <c r="U97" s="601"/>
      <c r="V97" s="601"/>
      <c r="W97" s="601"/>
      <c r="X97" s="601"/>
      <c r="Y97" s="601"/>
      <c r="Z97" s="601"/>
      <c r="AA97" s="601"/>
      <c r="AB97" s="601"/>
      <c r="AC97" s="601"/>
      <c r="AD97" s="601"/>
      <c r="AE97" s="601"/>
      <c r="AF97" s="601"/>
      <c r="AG97" s="601"/>
      <c r="AH97" s="601"/>
      <c r="AI97" s="601"/>
      <c r="AJ97" s="601"/>
      <c r="AK97" s="601"/>
      <c r="AL97" s="601"/>
      <c r="AM97" s="601"/>
      <c r="AN97" s="601"/>
      <c r="AO97" s="601"/>
      <c r="AP97" s="601"/>
      <c r="AQ97" s="601"/>
      <c r="AR97" s="601"/>
      <c r="AS97" s="601"/>
      <c r="AT97" s="601"/>
      <c r="AU97" s="601"/>
      <c r="AV97" s="601"/>
      <c r="AW97" s="601"/>
      <c r="AX97" s="601"/>
      <c r="AY97" s="601"/>
      <c r="AZ97" s="601"/>
      <c r="BA97" s="601"/>
      <c r="BB97" s="601"/>
      <c r="BC97" s="601"/>
      <c r="BD97" s="601"/>
      <c r="BE97" s="601"/>
      <c r="BF97" s="601"/>
      <c r="BG97" s="601"/>
      <c r="BH97" s="601"/>
      <c r="BI97" s="601"/>
      <c r="BJ97" s="601"/>
      <c r="BK97" s="601"/>
      <c r="BL97" s="601"/>
      <c r="BM97" s="601"/>
      <c r="BN97" s="601"/>
      <c r="BO97" s="601"/>
      <c r="BP97" s="601"/>
      <c r="BQ97" s="601"/>
      <c r="BR97" s="601"/>
      <c r="BS97" s="601"/>
      <c r="BT97" s="601"/>
      <c r="BU97" s="601"/>
      <c r="BV97" s="853"/>
      <c r="BW97" s="853"/>
      <c r="BX97" s="853"/>
      <c r="BY97" s="853"/>
      <c r="BZ97" s="853"/>
      <c r="CA97" s="853"/>
      <c r="CB97" s="853"/>
      <c r="CC97" s="853"/>
      <c r="CD97" s="853"/>
      <c r="CE97" s="853"/>
    </row>
    <row r="98" spans="1:83" s="855" customFormat="1" ht="15.75" customHeight="1" x14ac:dyDescent="0.2">
      <c r="A98" s="779"/>
      <c r="B98" s="56"/>
      <c r="C98" s="56"/>
      <c r="D98" s="780"/>
      <c r="E98" s="780"/>
      <c r="F98" s="780"/>
      <c r="G98" s="780"/>
      <c r="H98" s="780"/>
      <c r="I98" s="585"/>
      <c r="J98" s="585"/>
      <c r="K98" s="35"/>
      <c r="L98" s="35"/>
      <c r="M98" s="601"/>
      <c r="N98" s="633"/>
      <c r="O98" s="601"/>
      <c r="P98" s="601"/>
      <c r="Q98" s="601"/>
      <c r="R98" s="601"/>
      <c r="S98" s="601"/>
      <c r="T98" s="601"/>
      <c r="U98" s="601"/>
      <c r="V98" s="601"/>
      <c r="W98" s="601"/>
      <c r="X98" s="601"/>
      <c r="Y98" s="601"/>
      <c r="Z98" s="601"/>
      <c r="AA98" s="601"/>
      <c r="AB98" s="601"/>
      <c r="AC98" s="601"/>
      <c r="AD98" s="601"/>
      <c r="AE98" s="601"/>
      <c r="AF98" s="601"/>
      <c r="AG98" s="601"/>
      <c r="AH98" s="601"/>
      <c r="AI98" s="601"/>
      <c r="AJ98" s="601"/>
      <c r="AK98" s="601"/>
      <c r="AL98" s="601"/>
      <c r="AM98" s="601"/>
      <c r="AN98" s="601"/>
      <c r="AO98" s="601"/>
      <c r="AP98" s="601"/>
      <c r="AQ98" s="601"/>
      <c r="AR98" s="601"/>
      <c r="AS98" s="601"/>
      <c r="AT98" s="601"/>
      <c r="AU98" s="601"/>
      <c r="AV98" s="601"/>
      <c r="AW98" s="601"/>
      <c r="AX98" s="601"/>
      <c r="AY98" s="601"/>
      <c r="AZ98" s="601"/>
      <c r="BA98" s="601"/>
      <c r="BB98" s="601"/>
      <c r="BC98" s="601"/>
      <c r="BD98" s="601"/>
      <c r="BE98" s="601"/>
      <c r="BF98" s="601"/>
      <c r="BG98" s="601"/>
      <c r="BH98" s="601"/>
      <c r="BI98" s="601"/>
      <c r="BJ98" s="601"/>
      <c r="BK98" s="601"/>
      <c r="BL98" s="601"/>
      <c r="BM98" s="601"/>
      <c r="BN98" s="601"/>
      <c r="BO98" s="601"/>
      <c r="BP98" s="601"/>
      <c r="BQ98" s="601"/>
      <c r="BR98" s="601"/>
      <c r="BS98" s="601"/>
      <c r="BT98" s="601"/>
      <c r="BU98" s="601"/>
      <c r="BV98" s="853"/>
      <c r="BW98" s="853"/>
      <c r="BX98" s="853"/>
      <c r="BY98" s="853"/>
      <c r="BZ98" s="853"/>
      <c r="CA98" s="853"/>
      <c r="CB98" s="853"/>
      <c r="CC98" s="853"/>
      <c r="CD98" s="853"/>
      <c r="CE98" s="853"/>
    </row>
    <row r="99" spans="1:83" s="855" customFormat="1" ht="15.75" customHeight="1" x14ac:dyDescent="0.2">
      <c r="A99" s="779"/>
      <c r="B99" s="56"/>
      <c r="C99" s="56"/>
      <c r="D99" s="780"/>
      <c r="E99" s="780"/>
      <c r="F99" s="780"/>
      <c r="G99" s="780"/>
      <c r="H99" s="780"/>
      <c r="I99" s="585"/>
      <c r="J99" s="585"/>
      <c r="K99" s="35"/>
      <c r="L99" s="35"/>
      <c r="M99" s="601"/>
      <c r="N99" s="633"/>
      <c r="O99" s="601"/>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c r="AU99" s="601"/>
      <c r="AV99" s="601"/>
      <c r="AW99" s="601"/>
      <c r="AX99" s="601"/>
      <c r="AY99" s="601"/>
      <c r="AZ99" s="601"/>
      <c r="BA99" s="601"/>
      <c r="BB99" s="601"/>
      <c r="BC99" s="601"/>
      <c r="BD99" s="601"/>
      <c r="BE99" s="601"/>
      <c r="BF99" s="601"/>
      <c r="BG99" s="601"/>
      <c r="BH99" s="601"/>
      <c r="BI99" s="601"/>
      <c r="BJ99" s="601"/>
      <c r="BK99" s="601"/>
      <c r="BL99" s="601"/>
      <c r="BM99" s="601"/>
      <c r="BN99" s="601"/>
      <c r="BO99" s="601"/>
      <c r="BP99" s="601"/>
      <c r="BQ99" s="601"/>
      <c r="BR99" s="601"/>
      <c r="BS99" s="601"/>
      <c r="BT99" s="601"/>
      <c r="BU99" s="601"/>
      <c r="BV99" s="853"/>
      <c r="BW99" s="853"/>
      <c r="BX99" s="853"/>
      <c r="BY99" s="853"/>
      <c r="BZ99" s="853"/>
      <c r="CA99" s="853"/>
      <c r="CB99" s="853"/>
      <c r="CC99" s="853"/>
      <c r="CD99" s="853"/>
      <c r="CE99" s="853"/>
    </row>
    <row r="100" spans="1:83" s="855" customFormat="1" ht="15.75" customHeight="1" x14ac:dyDescent="0.2">
      <c r="A100" s="779"/>
      <c r="B100" s="56"/>
      <c r="C100" s="56"/>
      <c r="D100" s="780"/>
      <c r="E100" s="780"/>
      <c r="F100" s="780"/>
      <c r="G100" s="780"/>
      <c r="H100" s="780"/>
      <c r="I100" s="585"/>
      <c r="J100" s="585"/>
      <c r="K100" s="35"/>
      <c r="L100" s="35"/>
      <c r="M100" s="601"/>
      <c r="N100" s="633"/>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c r="AJ100" s="601"/>
      <c r="AK100" s="601"/>
      <c r="AL100" s="601"/>
      <c r="AM100" s="601"/>
      <c r="AN100" s="601"/>
      <c r="AO100" s="601"/>
      <c r="AP100" s="601"/>
      <c r="AQ100" s="601"/>
      <c r="AR100" s="601"/>
      <c r="AS100" s="601"/>
      <c r="AT100" s="601"/>
      <c r="AU100" s="601"/>
      <c r="AV100" s="601"/>
      <c r="AW100" s="601"/>
      <c r="AX100" s="601"/>
      <c r="AY100" s="601"/>
      <c r="AZ100" s="601"/>
      <c r="BA100" s="601"/>
      <c r="BB100" s="601"/>
      <c r="BC100" s="601"/>
      <c r="BD100" s="601"/>
      <c r="BE100" s="601"/>
      <c r="BF100" s="601"/>
      <c r="BG100" s="601"/>
      <c r="BH100" s="601"/>
      <c r="BI100" s="601"/>
      <c r="BJ100" s="601"/>
      <c r="BK100" s="601"/>
      <c r="BL100" s="601"/>
      <c r="BM100" s="601"/>
      <c r="BN100" s="601"/>
      <c r="BO100" s="601"/>
      <c r="BP100" s="601"/>
      <c r="BQ100" s="601"/>
      <c r="BR100" s="601"/>
      <c r="BS100" s="601"/>
      <c r="BT100" s="601"/>
      <c r="BU100" s="601"/>
      <c r="BV100" s="853"/>
      <c r="BW100" s="853"/>
      <c r="BX100" s="853"/>
      <c r="BY100" s="853"/>
      <c r="BZ100" s="853"/>
      <c r="CA100" s="853"/>
      <c r="CB100" s="853"/>
      <c r="CC100" s="853"/>
      <c r="CD100" s="853"/>
      <c r="CE100" s="853"/>
    </row>
    <row r="101" spans="1:83" s="855" customFormat="1" ht="15.75" customHeight="1" x14ac:dyDescent="0.2">
      <c r="A101" s="779"/>
      <c r="B101" s="56"/>
      <c r="C101" s="56"/>
      <c r="D101" s="780"/>
      <c r="E101" s="780"/>
      <c r="F101" s="780"/>
      <c r="G101" s="780"/>
      <c r="H101" s="780"/>
      <c r="I101" s="585"/>
      <c r="J101" s="585"/>
      <c r="K101" s="35"/>
      <c r="L101" s="35"/>
      <c r="M101" s="601"/>
      <c r="N101" s="633"/>
      <c r="O101" s="601"/>
      <c r="P101" s="601"/>
      <c r="Q101" s="601"/>
      <c r="R101" s="601"/>
      <c r="S101" s="601"/>
      <c r="T101" s="601"/>
      <c r="U101" s="601"/>
      <c r="V101" s="601"/>
      <c r="W101" s="601"/>
      <c r="X101" s="601"/>
      <c r="Y101" s="601"/>
      <c r="Z101" s="601"/>
      <c r="AA101" s="601"/>
      <c r="AB101" s="601"/>
      <c r="AC101" s="601"/>
      <c r="AD101" s="601"/>
      <c r="AE101" s="601"/>
      <c r="AF101" s="601"/>
      <c r="AG101" s="601"/>
      <c r="AH101" s="601"/>
      <c r="AI101" s="601"/>
      <c r="AJ101" s="601"/>
      <c r="AK101" s="601"/>
      <c r="AL101" s="601"/>
      <c r="AM101" s="601"/>
      <c r="AN101" s="601"/>
      <c r="AO101" s="601"/>
      <c r="AP101" s="601"/>
      <c r="AQ101" s="601"/>
      <c r="AR101" s="601"/>
      <c r="AS101" s="601"/>
      <c r="AT101" s="601"/>
      <c r="AU101" s="601"/>
      <c r="AV101" s="601"/>
      <c r="AW101" s="601"/>
      <c r="AX101" s="601"/>
      <c r="AY101" s="601"/>
      <c r="AZ101" s="601"/>
      <c r="BA101" s="601"/>
      <c r="BB101" s="601"/>
      <c r="BC101" s="601"/>
      <c r="BD101" s="601"/>
      <c r="BE101" s="601"/>
      <c r="BF101" s="601"/>
      <c r="BG101" s="601"/>
      <c r="BH101" s="601"/>
      <c r="BI101" s="601"/>
      <c r="BJ101" s="601"/>
      <c r="BK101" s="601"/>
      <c r="BL101" s="601"/>
      <c r="BM101" s="601"/>
      <c r="BN101" s="601"/>
      <c r="BO101" s="601"/>
      <c r="BP101" s="601"/>
      <c r="BQ101" s="601"/>
      <c r="BR101" s="601"/>
      <c r="BS101" s="601"/>
      <c r="BT101" s="601"/>
      <c r="BU101" s="601"/>
      <c r="BV101" s="853"/>
      <c r="BW101" s="853"/>
      <c r="BX101" s="853"/>
      <c r="BY101" s="853"/>
      <c r="BZ101" s="853"/>
      <c r="CA101" s="853"/>
      <c r="CB101" s="853"/>
      <c r="CC101" s="853"/>
      <c r="CD101" s="853"/>
      <c r="CE101" s="853"/>
    </row>
    <row r="102" spans="1:83" s="855" customFormat="1" ht="15.75" customHeight="1" x14ac:dyDescent="0.2">
      <c r="A102" s="42"/>
      <c r="B102" s="42"/>
      <c r="C102" s="42"/>
      <c r="D102" s="42"/>
      <c r="E102" s="42"/>
      <c r="F102" s="42"/>
      <c r="G102" s="42"/>
      <c r="H102" s="42"/>
      <c r="I102" s="42"/>
      <c r="J102" s="35"/>
      <c r="K102" s="35"/>
      <c r="L102" s="35"/>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1"/>
      <c r="AI102" s="601"/>
      <c r="AJ102" s="601"/>
      <c r="AK102" s="601"/>
      <c r="AL102" s="601"/>
      <c r="AM102" s="601"/>
      <c r="AN102" s="601"/>
      <c r="AO102" s="601"/>
      <c r="AP102" s="601"/>
      <c r="AQ102" s="601"/>
      <c r="AR102" s="601"/>
      <c r="AS102" s="601"/>
      <c r="AT102" s="601"/>
      <c r="AU102" s="601"/>
      <c r="AV102" s="601"/>
      <c r="AW102" s="601"/>
      <c r="AX102" s="601"/>
      <c r="AY102" s="601"/>
      <c r="AZ102" s="601"/>
      <c r="BA102" s="601"/>
      <c r="BB102" s="601"/>
      <c r="BC102" s="601"/>
      <c r="BD102" s="601"/>
      <c r="BE102" s="601"/>
      <c r="BF102" s="601"/>
      <c r="BG102" s="601"/>
      <c r="BH102" s="601"/>
      <c r="BI102" s="601"/>
      <c r="BJ102" s="601"/>
      <c r="BK102" s="601"/>
      <c r="BL102" s="601"/>
      <c r="BM102" s="601"/>
      <c r="BN102" s="601"/>
      <c r="BO102" s="601"/>
      <c r="BP102" s="601"/>
      <c r="BQ102" s="601"/>
      <c r="BR102" s="601"/>
      <c r="BS102" s="601"/>
      <c r="BT102" s="601"/>
      <c r="BU102" s="601"/>
      <c r="BV102" s="853"/>
      <c r="BW102" s="853"/>
      <c r="BX102" s="853"/>
      <c r="BY102" s="853"/>
      <c r="BZ102" s="853"/>
      <c r="CA102" s="853"/>
      <c r="CB102" s="853"/>
      <c r="CC102" s="853"/>
      <c r="CD102" s="853"/>
      <c r="CE102" s="853"/>
    </row>
    <row r="103" spans="1:83" s="855" customFormat="1" ht="23.25" customHeight="1" x14ac:dyDescent="0.2">
      <c r="A103" s="42"/>
      <c r="B103" s="42"/>
      <c r="C103" s="42"/>
      <c r="D103" s="42"/>
      <c r="E103" s="42"/>
      <c r="F103" s="42"/>
      <c r="G103" s="42"/>
      <c r="H103" s="42"/>
      <c r="I103" s="42"/>
      <c r="J103" s="35"/>
      <c r="K103" s="35"/>
      <c r="L103" s="35"/>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601"/>
      <c r="AW103" s="601"/>
      <c r="AX103" s="601"/>
      <c r="AY103" s="601"/>
      <c r="AZ103" s="601"/>
      <c r="BA103" s="601"/>
      <c r="BB103" s="601"/>
      <c r="BC103" s="601"/>
      <c r="BD103" s="601"/>
      <c r="BE103" s="601"/>
      <c r="BF103" s="601"/>
      <c r="BG103" s="601"/>
      <c r="BH103" s="601"/>
      <c r="BI103" s="601"/>
      <c r="BJ103" s="601"/>
      <c r="BK103" s="601"/>
      <c r="BL103" s="601"/>
      <c r="BM103" s="601"/>
      <c r="BN103" s="601"/>
      <c r="BO103" s="601"/>
      <c r="BP103" s="601"/>
      <c r="BQ103" s="601"/>
      <c r="BR103" s="601"/>
      <c r="BS103" s="601"/>
      <c r="BT103" s="601"/>
      <c r="BU103" s="601"/>
      <c r="BV103" s="853"/>
      <c r="BW103" s="853"/>
      <c r="BX103" s="853"/>
      <c r="BY103" s="853"/>
      <c r="BZ103" s="853"/>
      <c r="CA103" s="853"/>
      <c r="CB103" s="853"/>
      <c r="CC103" s="853"/>
      <c r="CD103" s="853"/>
      <c r="CE103" s="853"/>
    </row>
    <row r="104" spans="1:83" s="855" customFormat="1" ht="15.75" customHeight="1" x14ac:dyDescent="0.2">
      <c r="A104" s="42"/>
      <c r="B104" s="42"/>
      <c r="C104" s="42"/>
      <c r="D104" s="42"/>
      <c r="E104" s="42"/>
      <c r="F104" s="42"/>
      <c r="G104" s="42"/>
      <c r="H104" s="42"/>
      <c r="I104" s="42"/>
      <c r="J104" s="35"/>
      <c r="K104" s="35"/>
      <c r="L104" s="35"/>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1"/>
      <c r="AI104" s="601"/>
      <c r="AJ104" s="601"/>
      <c r="AK104" s="601"/>
      <c r="AL104" s="601"/>
      <c r="AM104" s="601"/>
      <c r="AN104" s="601"/>
      <c r="AO104" s="601"/>
      <c r="AP104" s="601"/>
      <c r="AQ104" s="601"/>
      <c r="AR104" s="601"/>
      <c r="AS104" s="601"/>
      <c r="AT104" s="601"/>
      <c r="AU104" s="601"/>
      <c r="AV104" s="601"/>
      <c r="AW104" s="601"/>
      <c r="AX104" s="601"/>
      <c r="AY104" s="601"/>
      <c r="AZ104" s="601"/>
      <c r="BA104" s="601"/>
      <c r="BB104" s="601"/>
      <c r="BC104" s="601"/>
      <c r="BD104" s="601"/>
      <c r="BE104" s="601"/>
      <c r="BF104" s="601"/>
      <c r="BG104" s="601"/>
      <c r="BH104" s="601"/>
      <c r="BI104" s="601"/>
      <c r="BJ104" s="601"/>
      <c r="BK104" s="601"/>
      <c r="BL104" s="601"/>
      <c r="BM104" s="601"/>
      <c r="BN104" s="601"/>
      <c r="BO104" s="601"/>
      <c r="BP104" s="601"/>
      <c r="BQ104" s="601"/>
      <c r="BR104" s="601"/>
      <c r="BS104" s="601"/>
      <c r="BT104" s="601"/>
      <c r="BU104" s="601"/>
      <c r="BV104" s="853"/>
      <c r="BW104" s="853"/>
      <c r="BX104" s="853"/>
      <c r="BY104" s="853"/>
      <c r="BZ104" s="853"/>
      <c r="CA104" s="853"/>
      <c r="CB104" s="853"/>
      <c r="CC104" s="853"/>
      <c r="CD104" s="853"/>
      <c r="CE104" s="853"/>
    </row>
    <row r="105" spans="1:83" s="855" customFormat="1" ht="15.75" customHeight="1" thickBot="1" x14ac:dyDescent="0.25">
      <c r="A105" s="1383" t="s">
        <v>556</v>
      </c>
      <c r="B105" s="1383"/>
      <c r="C105" s="1383"/>
      <c r="D105" s="1383"/>
      <c r="E105" s="1383"/>
      <c r="F105" s="1383"/>
      <c r="G105" s="1383"/>
      <c r="H105" s="1383"/>
      <c r="I105" s="1383"/>
      <c r="J105" s="1383"/>
      <c r="K105" s="35"/>
      <c r="L105" s="35"/>
      <c r="M105" s="601"/>
      <c r="N105" s="601"/>
      <c r="O105" s="601"/>
      <c r="P105" s="601"/>
      <c r="Q105" s="601"/>
      <c r="R105" s="601"/>
      <c r="S105" s="601"/>
      <c r="T105" s="601"/>
      <c r="U105" s="601"/>
      <c r="V105" s="601"/>
      <c r="W105" s="601"/>
      <c r="X105" s="601"/>
      <c r="Y105" s="601"/>
      <c r="Z105" s="601"/>
      <c r="AA105" s="601"/>
      <c r="AB105" s="601"/>
      <c r="AC105" s="601"/>
      <c r="AD105" s="601"/>
      <c r="AE105" s="601"/>
      <c r="AF105" s="601"/>
      <c r="AG105" s="601"/>
      <c r="AH105" s="601"/>
      <c r="AI105" s="601"/>
      <c r="AJ105" s="601"/>
      <c r="AK105" s="601"/>
      <c r="AL105" s="601"/>
      <c r="AM105" s="601"/>
      <c r="AN105" s="601"/>
      <c r="AO105" s="601"/>
      <c r="AP105" s="601"/>
      <c r="AQ105" s="601"/>
      <c r="AR105" s="601"/>
      <c r="AS105" s="601"/>
      <c r="AT105" s="601"/>
      <c r="AU105" s="601"/>
      <c r="AV105" s="601"/>
      <c r="AW105" s="601"/>
      <c r="AX105" s="601"/>
      <c r="AY105" s="601"/>
      <c r="AZ105" s="601"/>
      <c r="BA105" s="601"/>
      <c r="BB105" s="601"/>
      <c r="BC105" s="601"/>
      <c r="BD105" s="601"/>
      <c r="BE105" s="601"/>
      <c r="BF105" s="601"/>
      <c r="BG105" s="601"/>
      <c r="BH105" s="601"/>
      <c r="BI105" s="601"/>
      <c r="BJ105" s="601"/>
      <c r="BK105" s="601"/>
      <c r="BL105" s="601"/>
      <c r="BM105" s="601"/>
      <c r="BN105" s="601"/>
      <c r="BO105" s="601"/>
      <c r="BP105" s="601"/>
      <c r="BQ105" s="601"/>
      <c r="BR105" s="601"/>
      <c r="BS105" s="601"/>
      <c r="BT105" s="601"/>
      <c r="BU105" s="601"/>
      <c r="BV105" s="853"/>
      <c r="BW105" s="853"/>
      <c r="BX105" s="853"/>
      <c r="BY105" s="853"/>
      <c r="BZ105" s="853"/>
      <c r="CA105" s="853"/>
      <c r="CB105" s="853"/>
      <c r="CC105" s="853"/>
      <c r="CD105" s="853"/>
      <c r="CE105" s="853"/>
    </row>
    <row r="106" spans="1:83" s="855" customFormat="1" ht="15.75" customHeight="1" thickBot="1" x14ac:dyDescent="0.25">
      <c r="A106" s="1384" t="s">
        <v>490</v>
      </c>
      <c r="B106" s="1385"/>
      <c r="C106" s="1385"/>
      <c r="D106" s="1385"/>
      <c r="E106" s="1385"/>
      <c r="F106" s="1385"/>
      <c r="G106" s="1385"/>
      <c r="H106" s="1385"/>
      <c r="I106" s="1385"/>
      <c r="J106" s="1386"/>
      <c r="K106" s="35"/>
      <c r="L106" s="35"/>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1"/>
      <c r="BE106" s="601"/>
      <c r="BF106" s="601"/>
      <c r="BG106" s="601"/>
      <c r="BH106" s="601"/>
      <c r="BI106" s="601"/>
      <c r="BJ106" s="601"/>
      <c r="BK106" s="601"/>
      <c r="BL106" s="601"/>
      <c r="BM106" s="601"/>
      <c r="BN106" s="601"/>
      <c r="BO106" s="601"/>
      <c r="BP106" s="601"/>
      <c r="BQ106" s="601"/>
      <c r="BR106" s="601"/>
      <c r="BS106" s="601"/>
      <c r="BT106" s="601"/>
      <c r="BU106" s="601"/>
      <c r="BV106" s="853"/>
      <c r="BW106" s="853"/>
      <c r="BX106" s="853"/>
      <c r="BY106" s="853"/>
      <c r="BZ106" s="853"/>
      <c r="CA106" s="853"/>
      <c r="CB106" s="853"/>
      <c r="CC106" s="853"/>
      <c r="CD106" s="853"/>
      <c r="CE106" s="853"/>
    </row>
    <row r="107" spans="1:83" s="849" customFormat="1" ht="6.75" customHeight="1" thickBot="1" x14ac:dyDescent="0.25">
      <c r="A107" s="1"/>
      <c r="B107" s="43"/>
      <c r="C107" s="43"/>
      <c r="D107" s="44"/>
      <c r="E107" s="44"/>
      <c r="F107" s="44"/>
      <c r="G107" s="44"/>
      <c r="H107" s="44"/>
      <c r="I107" s="44"/>
      <c r="J107" s="45"/>
      <c r="K107" s="45"/>
      <c r="L107" s="45"/>
      <c r="M107" s="649"/>
      <c r="N107" s="649"/>
      <c r="O107" s="649"/>
      <c r="P107" s="649"/>
      <c r="Q107" s="649"/>
      <c r="R107" s="649"/>
      <c r="S107" s="649"/>
      <c r="T107" s="649"/>
      <c r="U107" s="649"/>
      <c r="V107" s="649"/>
      <c r="W107" s="649"/>
      <c r="X107" s="649"/>
      <c r="Y107" s="649"/>
      <c r="Z107" s="649"/>
      <c r="AA107" s="649"/>
      <c r="AB107" s="649"/>
      <c r="AC107" s="649"/>
      <c r="AD107" s="649"/>
      <c r="AE107" s="649"/>
      <c r="AF107" s="649"/>
      <c r="AG107" s="649"/>
      <c r="AH107" s="649"/>
      <c r="AI107" s="649"/>
      <c r="AJ107" s="649"/>
      <c r="AK107" s="649"/>
      <c r="AL107" s="649"/>
      <c r="AM107" s="649"/>
      <c r="AN107" s="649"/>
      <c r="AO107" s="649"/>
      <c r="AP107" s="649"/>
      <c r="AQ107" s="649"/>
      <c r="AR107" s="649"/>
      <c r="AS107" s="649"/>
      <c r="AT107" s="649"/>
      <c r="AU107" s="649"/>
      <c r="AV107" s="649"/>
      <c r="AW107" s="649"/>
      <c r="AX107" s="649"/>
      <c r="AY107" s="649"/>
      <c r="AZ107" s="649"/>
      <c r="BA107" s="649"/>
      <c r="BB107" s="649"/>
      <c r="BC107" s="649"/>
      <c r="BD107" s="649"/>
      <c r="BE107" s="649"/>
      <c r="BF107" s="649"/>
      <c r="BG107" s="649"/>
      <c r="BH107" s="649"/>
      <c r="BI107" s="649"/>
      <c r="BJ107" s="649"/>
      <c r="BK107" s="649"/>
      <c r="BL107" s="649"/>
      <c r="BM107" s="649"/>
      <c r="BN107" s="649"/>
      <c r="BO107" s="649"/>
      <c r="BP107" s="649"/>
      <c r="BQ107" s="649"/>
      <c r="BR107" s="649"/>
      <c r="BS107" s="649"/>
      <c r="BT107" s="649"/>
      <c r="BU107" s="649"/>
      <c r="BV107" s="860"/>
      <c r="BW107" s="860"/>
      <c r="BX107" s="860"/>
      <c r="BY107" s="860"/>
      <c r="BZ107" s="860"/>
      <c r="CA107" s="860"/>
      <c r="CB107" s="860"/>
      <c r="CC107" s="860"/>
      <c r="CD107" s="860"/>
      <c r="CE107" s="860"/>
    </row>
    <row r="108" spans="1:83" s="855" customFormat="1" ht="18" customHeight="1" x14ac:dyDescent="0.2">
      <c r="A108" s="868" t="s">
        <v>410</v>
      </c>
      <c r="B108" s="869"/>
      <c r="C108" s="1360" t="s">
        <v>409</v>
      </c>
      <c r="D108" s="1361"/>
      <c r="E108" s="1360" t="s">
        <v>42</v>
      </c>
      <c r="F108" s="1361"/>
      <c r="G108" s="1359" t="s">
        <v>539</v>
      </c>
      <c r="H108" s="1359"/>
      <c r="I108" s="1362" t="s">
        <v>415</v>
      </c>
      <c r="J108" s="1363"/>
      <c r="K108" s="35"/>
      <c r="L108" s="35"/>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1"/>
      <c r="BE108" s="601"/>
      <c r="BF108" s="601"/>
      <c r="BG108" s="601"/>
      <c r="BH108" s="601"/>
      <c r="BI108" s="601"/>
      <c r="BJ108" s="601"/>
      <c r="BK108" s="601"/>
      <c r="BL108" s="601"/>
      <c r="BM108" s="601"/>
      <c r="BN108" s="601"/>
      <c r="BO108" s="601"/>
      <c r="BP108" s="601"/>
      <c r="BQ108" s="601"/>
      <c r="BR108" s="601"/>
      <c r="BS108" s="601"/>
      <c r="BT108" s="601"/>
      <c r="BU108" s="601"/>
      <c r="BV108" s="853"/>
      <c r="BW108" s="853"/>
      <c r="BX108" s="853"/>
      <c r="BY108" s="853"/>
      <c r="BZ108" s="853"/>
      <c r="CA108" s="853"/>
      <c r="CB108" s="853"/>
      <c r="CC108" s="853"/>
      <c r="CD108" s="853"/>
      <c r="CE108" s="853"/>
    </row>
    <row r="109" spans="1:83" s="855" customFormat="1" ht="19.5" customHeight="1" thickBot="1" x14ac:dyDescent="0.25">
      <c r="A109" s="870"/>
      <c r="B109" s="871"/>
      <c r="C109" s="1398" t="s">
        <v>506</v>
      </c>
      <c r="D109" s="1365"/>
      <c r="E109" s="1398" t="s">
        <v>41</v>
      </c>
      <c r="F109" s="1365"/>
      <c r="G109" s="1364" t="s">
        <v>41</v>
      </c>
      <c r="H109" s="1364"/>
      <c r="I109" s="872" t="s">
        <v>391</v>
      </c>
      <c r="J109" s="1039" t="s">
        <v>392</v>
      </c>
      <c r="K109" s="35"/>
      <c r="L109" s="35"/>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1"/>
      <c r="BE109" s="601"/>
      <c r="BF109" s="601"/>
      <c r="BG109" s="601"/>
      <c r="BH109" s="601"/>
      <c r="BI109" s="601"/>
      <c r="BJ109" s="601"/>
      <c r="BK109" s="601"/>
      <c r="BL109" s="601"/>
      <c r="BM109" s="601"/>
      <c r="BN109" s="601"/>
      <c r="BO109" s="601"/>
      <c r="BP109" s="601"/>
      <c r="BQ109" s="601"/>
      <c r="BR109" s="601"/>
      <c r="BS109" s="601"/>
      <c r="BT109" s="601"/>
      <c r="BU109" s="601"/>
      <c r="BV109" s="853"/>
      <c r="BW109" s="853"/>
      <c r="BX109" s="853"/>
      <c r="BY109" s="853"/>
      <c r="BZ109" s="853"/>
      <c r="CA109" s="853"/>
      <c r="CB109" s="853"/>
      <c r="CC109" s="853"/>
      <c r="CD109" s="853"/>
      <c r="CE109" s="853"/>
    </row>
    <row r="110" spans="1:83" s="855" customFormat="1" ht="18" customHeight="1" x14ac:dyDescent="0.2">
      <c r="A110" s="1425" t="s">
        <v>43</v>
      </c>
      <c r="B110" s="1426"/>
      <c r="C110" s="1431" t="s">
        <v>391</v>
      </c>
      <c r="D110" s="1432"/>
      <c r="E110" s="1435"/>
      <c r="F110" s="1418"/>
      <c r="G110" s="1418"/>
      <c r="H110" s="1419"/>
      <c r="I110" s="907" t="str">
        <f>IF(M110=TRUE,E110/2*E110/2*3.1415926*G110," ")</f>
        <v xml:space="preserve"> </v>
      </c>
      <c r="J110" s="955"/>
      <c r="K110" s="35"/>
      <c r="L110" s="35"/>
      <c r="M110" s="601" t="b">
        <f>AND(E110&gt;0.1,G110&gt;0.1)</f>
        <v>0</v>
      </c>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1"/>
      <c r="BE110" s="601"/>
      <c r="BF110" s="601"/>
      <c r="BG110" s="601"/>
      <c r="BH110" s="601"/>
      <c r="BI110" s="601"/>
      <c r="BJ110" s="601"/>
      <c r="BK110" s="601"/>
      <c r="BL110" s="601"/>
      <c r="BM110" s="601"/>
      <c r="BN110" s="601"/>
      <c r="BO110" s="601"/>
      <c r="BP110" s="601"/>
      <c r="BQ110" s="601"/>
      <c r="BR110" s="601"/>
      <c r="BS110" s="601"/>
      <c r="BT110" s="601"/>
      <c r="BU110" s="601"/>
      <c r="BV110" s="853"/>
      <c r="BW110" s="853"/>
      <c r="BX110" s="853"/>
      <c r="BY110" s="853"/>
      <c r="BZ110" s="853"/>
      <c r="CA110" s="853"/>
      <c r="CB110" s="853"/>
      <c r="CC110" s="853"/>
      <c r="CD110" s="853"/>
      <c r="CE110" s="853"/>
    </row>
    <row r="111" spans="1:83" s="855" customFormat="1" ht="18" customHeight="1" x14ac:dyDescent="0.2">
      <c r="A111" s="1403" t="s">
        <v>44</v>
      </c>
      <c r="B111" s="1427"/>
      <c r="C111" s="1389" t="s">
        <v>391</v>
      </c>
      <c r="D111" s="1390"/>
      <c r="E111" s="1417"/>
      <c r="F111" s="1387"/>
      <c r="G111" s="1387"/>
      <c r="H111" s="1388"/>
      <c r="I111" s="908" t="str">
        <f>IF(M111=TRUE,E111/2*E111/2*3.1415926*G111," ")</f>
        <v xml:space="preserve"> </v>
      </c>
      <c r="J111" s="956"/>
      <c r="K111" s="35"/>
      <c r="L111" s="35"/>
      <c r="M111" s="601" t="b">
        <f>AND(E111&gt;0.1,G111&gt;0.1)</f>
        <v>0</v>
      </c>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1"/>
      <c r="BE111" s="601"/>
      <c r="BF111" s="601"/>
      <c r="BG111" s="601"/>
      <c r="BH111" s="601"/>
      <c r="BI111" s="601"/>
      <c r="BJ111" s="601"/>
      <c r="BK111" s="601"/>
      <c r="BL111" s="601"/>
      <c r="BM111" s="601"/>
      <c r="BN111" s="601"/>
      <c r="BO111" s="601"/>
      <c r="BP111" s="601"/>
      <c r="BQ111" s="601"/>
      <c r="BR111" s="601"/>
      <c r="BS111" s="601"/>
      <c r="BT111" s="601"/>
      <c r="BU111" s="601"/>
      <c r="BV111" s="853"/>
      <c r="BW111" s="853"/>
      <c r="BX111" s="853"/>
      <c r="BY111" s="853"/>
      <c r="BZ111" s="853"/>
      <c r="CA111" s="853"/>
      <c r="CB111" s="853"/>
      <c r="CC111" s="853"/>
      <c r="CD111" s="853"/>
      <c r="CE111" s="853"/>
    </row>
    <row r="112" spans="1:83" s="855" customFormat="1" ht="18" customHeight="1" x14ac:dyDescent="0.2">
      <c r="A112" s="1403" t="s">
        <v>45</v>
      </c>
      <c r="B112" s="1427"/>
      <c r="C112" s="1389" t="s">
        <v>391</v>
      </c>
      <c r="D112" s="1390"/>
      <c r="E112" s="1417"/>
      <c r="F112" s="1387"/>
      <c r="G112" s="1387"/>
      <c r="H112" s="1388"/>
      <c r="I112" s="908" t="str">
        <f>IF(M112=TRUE,E112/2*E112/2*3.1415926*G112," ")</f>
        <v xml:space="preserve"> </v>
      </c>
      <c r="J112" s="956"/>
      <c r="K112" s="35"/>
      <c r="L112" s="35"/>
      <c r="M112" s="601" t="b">
        <f>AND(E112&gt;0.1,G112&gt;0.1)</f>
        <v>0</v>
      </c>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N112" s="601"/>
      <c r="AO112" s="601"/>
      <c r="AP112" s="601"/>
      <c r="AQ112" s="601"/>
      <c r="AR112" s="601"/>
      <c r="AS112" s="601"/>
      <c r="AT112" s="601"/>
      <c r="AU112" s="601"/>
      <c r="AV112" s="601"/>
      <c r="AW112" s="601"/>
      <c r="AX112" s="601"/>
      <c r="AY112" s="601"/>
      <c r="AZ112" s="601"/>
      <c r="BA112" s="601"/>
      <c r="BB112" s="601"/>
      <c r="BC112" s="601"/>
      <c r="BD112" s="601"/>
      <c r="BE112" s="601"/>
      <c r="BF112" s="601"/>
      <c r="BG112" s="601"/>
      <c r="BH112" s="601"/>
      <c r="BI112" s="601"/>
      <c r="BJ112" s="601"/>
      <c r="BK112" s="601"/>
      <c r="BL112" s="601"/>
      <c r="BM112" s="601"/>
      <c r="BN112" s="601"/>
      <c r="BO112" s="601"/>
      <c r="BP112" s="601"/>
      <c r="BQ112" s="601"/>
      <c r="BR112" s="601"/>
      <c r="BS112" s="601"/>
      <c r="BT112" s="601"/>
      <c r="BU112" s="601"/>
      <c r="BV112" s="853"/>
      <c r="BW112" s="853"/>
      <c r="BX112" s="853"/>
      <c r="BY112" s="853"/>
      <c r="BZ112" s="853"/>
      <c r="CA112" s="853"/>
      <c r="CB112" s="853"/>
      <c r="CC112" s="853"/>
      <c r="CD112" s="853"/>
      <c r="CE112" s="853"/>
    </row>
    <row r="113" spans="1:83" s="855" customFormat="1" ht="18" customHeight="1" thickBot="1" x14ac:dyDescent="0.25">
      <c r="A113" s="1454" t="s">
        <v>47</v>
      </c>
      <c r="B113" s="1455"/>
      <c r="C113" s="1438" t="s">
        <v>391</v>
      </c>
      <c r="D113" s="1439"/>
      <c r="E113" s="1407"/>
      <c r="F113" s="1401"/>
      <c r="G113" s="1401"/>
      <c r="H113" s="1402"/>
      <c r="I113" s="909" t="str">
        <f>IF(M113=TRUE,E113/2*E113/2*3.1415926*G113," ")</f>
        <v xml:space="preserve"> </v>
      </c>
      <c r="J113" s="957"/>
      <c r="K113" s="35"/>
      <c r="L113" s="35"/>
      <c r="M113" s="601" t="b">
        <f>AND(E113&gt;0.1,G113&gt;0.1)</f>
        <v>0</v>
      </c>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601"/>
      <c r="AM113" s="601"/>
      <c r="AN113" s="601"/>
      <c r="AO113" s="601"/>
      <c r="AP113" s="601"/>
      <c r="AQ113" s="601"/>
      <c r="AR113" s="601"/>
      <c r="AS113" s="601"/>
      <c r="AT113" s="601"/>
      <c r="AU113" s="601"/>
      <c r="AV113" s="601"/>
      <c r="AW113" s="601"/>
      <c r="AX113" s="601"/>
      <c r="AY113" s="601"/>
      <c r="AZ113" s="601"/>
      <c r="BA113" s="601"/>
      <c r="BB113" s="601"/>
      <c r="BC113" s="601"/>
      <c r="BD113" s="601"/>
      <c r="BE113" s="601"/>
      <c r="BF113" s="601"/>
      <c r="BG113" s="601"/>
      <c r="BH113" s="601"/>
      <c r="BI113" s="601"/>
      <c r="BJ113" s="601"/>
      <c r="BK113" s="601"/>
      <c r="BL113" s="601"/>
      <c r="BM113" s="601"/>
      <c r="BN113" s="601"/>
      <c r="BO113" s="601"/>
      <c r="BP113" s="601"/>
      <c r="BQ113" s="601"/>
      <c r="BR113" s="601"/>
      <c r="BS113" s="601"/>
      <c r="BT113" s="601"/>
      <c r="BU113" s="601"/>
      <c r="BV113" s="853"/>
      <c r="BW113" s="853"/>
      <c r="BX113" s="853"/>
      <c r="BY113" s="853"/>
      <c r="BZ113" s="853"/>
      <c r="CA113" s="853"/>
      <c r="CB113" s="853"/>
      <c r="CC113" s="853"/>
      <c r="CD113" s="853"/>
      <c r="CE113" s="853"/>
    </row>
    <row r="114" spans="1:83" s="855" customFormat="1" ht="15.75" customHeight="1" x14ac:dyDescent="0.2">
      <c r="A114" s="873" t="s">
        <v>411</v>
      </c>
      <c r="B114" s="874"/>
      <c r="C114" s="1398" t="s">
        <v>409</v>
      </c>
      <c r="D114" s="1365"/>
      <c r="E114" s="1038" t="s">
        <v>46</v>
      </c>
      <c r="F114" s="1038" t="s">
        <v>51</v>
      </c>
      <c r="G114" s="1398" t="s">
        <v>539</v>
      </c>
      <c r="H114" s="1364"/>
      <c r="I114" s="906"/>
      <c r="J114" s="899"/>
      <c r="K114" s="35"/>
      <c r="L114" s="35"/>
      <c r="M114" s="601"/>
      <c r="N114" s="601"/>
      <c r="O114" s="601"/>
      <c r="P114" s="601"/>
      <c r="Q114" s="601"/>
      <c r="R114" s="601"/>
      <c r="S114" s="601"/>
      <c r="T114" s="601"/>
      <c r="U114" s="601"/>
      <c r="V114" s="601"/>
      <c r="W114" s="601"/>
      <c r="X114" s="601"/>
      <c r="Y114" s="601"/>
      <c r="Z114" s="601"/>
      <c r="AA114" s="601"/>
      <c r="AB114" s="601"/>
      <c r="AC114" s="601"/>
      <c r="AD114" s="601"/>
      <c r="AE114" s="601"/>
      <c r="AF114" s="601"/>
      <c r="AG114" s="601"/>
      <c r="AH114" s="601"/>
      <c r="AI114" s="601"/>
      <c r="AJ114" s="601"/>
      <c r="AK114" s="601"/>
      <c r="AL114" s="601"/>
      <c r="AM114" s="601"/>
      <c r="AN114" s="601"/>
      <c r="AO114" s="601"/>
      <c r="AP114" s="601"/>
      <c r="AQ114" s="601"/>
      <c r="AR114" s="601"/>
      <c r="AS114" s="601"/>
      <c r="AT114" s="601"/>
      <c r="AU114" s="601"/>
      <c r="AV114" s="601"/>
      <c r="AW114" s="601"/>
      <c r="AX114" s="601"/>
      <c r="AY114" s="601"/>
      <c r="AZ114" s="601"/>
      <c r="BA114" s="601"/>
      <c r="BB114" s="601"/>
      <c r="BC114" s="601"/>
      <c r="BD114" s="601"/>
      <c r="BE114" s="601"/>
      <c r="BF114" s="601"/>
      <c r="BG114" s="601"/>
      <c r="BH114" s="601"/>
      <c r="BI114" s="601"/>
      <c r="BJ114" s="601"/>
      <c r="BK114" s="601"/>
      <c r="BL114" s="601"/>
      <c r="BM114" s="601"/>
      <c r="BN114" s="601"/>
      <c r="BO114" s="601"/>
      <c r="BP114" s="601"/>
      <c r="BQ114" s="601"/>
      <c r="BR114" s="601"/>
      <c r="BS114" s="601"/>
      <c r="BT114" s="601"/>
      <c r="BU114" s="601"/>
      <c r="BV114" s="853"/>
      <c r="BW114" s="853"/>
      <c r="BX114" s="853"/>
      <c r="BY114" s="853"/>
      <c r="BZ114" s="853"/>
      <c r="CA114" s="853"/>
      <c r="CB114" s="853"/>
      <c r="CC114" s="853"/>
      <c r="CD114" s="853"/>
      <c r="CE114" s="853"/>
    </row>
    <row r="115" spans="1:83" s="855" customFormat="1" ht="19.5" customHeight="1" thickBot="1" x14ac:dyDescent="0.25">
      <c r="A115" s="873" t="s">
        <v>412</v>
      </c>
      <c r="B115" s="874"/>
      <c r="C115" s="1398" t="s">
        <v>506</v>
      </c>
      <c r="D115" s="1365"/>
      <c r="E115" s="1038" t="s">
        <v>41</v>
      </c>
      <c r="F115" s="1038" t="s">
        <v>41</v>
      </c>
      <c r="G115" s="1405" t="s">
        <v>41</v>
      </c>
      <c r="H115" s="1406"/>
      <c r="I115" s="899"/>
      <c r="J115" s="899"/>
      <c r="K115" s="35"/>
      <c r="L115" s="35"/>
      <c r="M115" s="601"/>
      <c r="N115" s="601"/>
      <c r="O115" s="601"/>
      <c r="P115" s="601"/>
      <c r="Q115" s="601"/>
      <c r="R115" s="601" t="s">
        <v>27</v>
      </c>
      <c r="S115" s="601"/>
      <c r="T115" s="601"/>
      <c r="U115" s="601"/>
      <c r="V115" s="601"/>
      <c r="W115" s="601"/>
      <c r="X115" s="601"/>
      <c r="Y115" s="601"/>
      <c r="Z115" s="601"/>
      <c r="AA115" s="601"/>
      <c r="AB115" s="601"/>
      <c r="AC115" s="601"/>
      <c r="AD115" s="601"/>
      <c r="AE115" s="601"/>
      <c r="AF115" s="601"/>
      <c r="AG115" s="601"/>
      <c r="AH115" s="601"/>
      <c r="AI115" s="601"/>
      <c r="AJ115" s="601"/>
      <c r="AK115" s="601"/>
      <c r="AL115" s="601"/>
      <c r="AM115" s="601"/>
      <c r="AN115" s="601"/>
      <c r="AO115" s="601"/>
      <c r="AP115" s="601"/>
      <c r="AQ115" s="601"/>
      <c r="AR115" s="601"/>
      <c r="AS115" s="601"/>
      <c r="AT115" s="601"/>
      <c r="AU115" s="601"/>
      <c r="AV115" s="601"/>
      <c r="AW115" s="601"/>
      <c r="AX115" s="601"/>
      <c r="AY115" s="601"/>
      <c r="AZ115" s="601"/>
      <c r="BA115" s="601"/>
      <c r="BB115" s="601"/>
      <c r="BC115" s="601"/>
      <c r="BD115" s="601"/>
      <c r="BE115" s="601"/>
      <c r="BF115" s="601"/>
      <c r="BG115" s="601"/>
      <c r="BH115" s="601"/>
      <c r="BI115" s="601"/>
      <c r="BJ115" s="601"/>
      <c r="BK115" s="601"/>
      <c r="BL115" s="601"/>
      <c r="BM115" s="601"/>
      <c r="BN115" s="601"/>
      <c r="BO115" s="601"/>
      <c r="BP115" s="601"/>
      <c r="BQ115" s="601"/>
      <c r="BR115" s="601"/>
      <c r="BS115" s="601"/>
      <c r="BT115" s="601"/>
      <c r="BU115" s="601"/>
      <c r="BV115" s="853"/>
      <c r="BW115" s="853"/>
      <c r="BX115" s="853"/>
      <c r="BY115" s="853"/>
      <c r="BZ115" s="853"/>
      <c r="CA115" s="853"/>
      <c r="CB115" s="853"/>
      <c r="CC115" s="853"/>
      <c r="CD115" s="853"/>
      <c r="CE115" s="853"/>
    </row>
    <row r="116" spans="1:83" s="855" customFormat="1" ht="18" customHeight="1" x14ac:dyDescent="0.2">
      <c r="A116" s="1425" t="s">
        <v>413</v>
      </c>
      <c r="B116" s="1443"/>
      <c r="C116" s="1459"/>
      <c r="D116" s="1460"/>
      <c r="E116" s="952"/>
      <c r="F116" s="911"/>
      <c r="G116" s="1418"/>
      <c r="H116" s="1419"/>
      <c r="I116" s="907" t="str">
        <f>IF(M116=TRUE,IF(U116=2,E116*F116*G116," ")," ")</f>
        <v xml:space="preserve"> </v>
      </c>
      <c r="J116" s="958" t="str">
        <f>IF(M116=TRUE,IF(U116=3,E116*F116*G116," ")," ")</f>
        <v xml:space="preserve"> </v>
      </c>
      <c r="K116" s="35"/>
      <c r="L116" s="35"/>
      <c r="M116" s="601" t="b">
        <f>AND(E116&gt;0.1,F116&gt;0.1,G116&gt;0.1)</f>
        <v>0</v>
      </c>
      <c r="N116" s="601"/>
      <c r="O116" s="601"/>
      <c r="P116" s="601"/>
      <c r="Q116" s="601"/>
      <c r="R116" s="601" t="s">
        <v>391</v>
      </c>
      <c r="S116" s="601"/>
      <c r="T116" s="601"/>
      <c r="U116" s="601">
        <v>1</v>
      </c>
      <c r="V116" s="601"/>
      <c r="W116" s="601"/>
      <c r="X116" s="601"/>
      <c r="Y116" s="601"/>
      <c r="Z116" s="601"/>
      <c r="AA116" s="601"/>
      <c r="AB116" s="601"/>
      <c r="AC116" s="601"/>
      <c r="AD116" s="601"/>
      <c r="AE116" s="601"/>
      <c r="AF116" s="601"/>
      <c r="AG116" s="601"/>
      <c r="AH116" s="601"/>
      <c r="AI116" s="601"/>
      <c r="AJ116" s="601"/>
      <c r="AK116" s="601"/>
      <c r="AL116" s="601"/>
      <c r="AM116" s="601"/>
      <c r="AN116" s="601"/>
      <c r="AO116" s="601"/>
      <c r="AP116" s="601"/>
      <c r="AQ116" s="601"/>
      <c r="AR116" s="601"/>
      <c r="AS116" s="601"/>
      <c r="AT116" s="601"/>
      <c r="AU116" s="601"/>
      <c r="AV116" s="601"/>
      <c r="AW116" s="601"/>
      <c r="AX116" s="601"/>
      <c r="AY116" s="601"/>
      <c r="AZ116" s="601"/>
      <c r="BA116" s="601"/>
      <c r="BB116" s="601"/>
      <c r="BC116" s="601"/>
      <c r="BD116" s="601"/>
      <c r="BE116" s="601"/>
      <c r="BF116" s="601"/>
      <c r="BG116" s="601"/>
      <c r="BH116" s="601"/>
      <c r="BI116" s="601"/>
      <c r="BJ116" s="601"/>
      <c r="BK116" s="601"/>
      <c r="BL116" s="601"/>
      <c r="BM116" s="601"/>
      <c r="BN116" s="601"/>
      <c r="BO116" s="601"/>
      <c r="BP116" s="601"/>
      <c r="BQ116" s="601"/>
      <c r="BR116" s="601"/>
      <c r="BS116" s="601"/>
      <c r="BT116" s="601"/>
      <c r="BU116" s="601"/>
      <c r="BV116" s="853"/>
      <c r="BW116" s="853"/>
      <c r="BX116" s="853"/>
      <c r="BY116" s="853"/>
      <c r="BZ116" s="853"/>
      <c r="CA116" s="853"/>
      <c r="CB116" s="853"/>
      <c r="CC116" s="853"/>
      <c r="CD116" s="853"/>
      <c r="CE116" s="853"/>
    </row>
    <row r="117" spans="1:83" s="855" customFormat="1" ht="18" customHeight="1" x14ac:dyDescent="0.2">
      <c r="A117" s="1403" t="s">
        <v>449</v>
      </c>
      <c r="B117" s="1404"/>
      <c r="C117" s="1391"/>
      <c r="D117" s="1392"/>
      <c r="E117" s="953"/>
      <c r="F117" s="912"/>
      <c r="G117" s="1387"/>
      <c r="H117" s="1388"/>
      <c r="I117" s="908" t="str">
        <f>IF(M117=TRUE,IF(U117=2,E117*F117*G117," ")," ")</f>
        <v xml:space="preserve"> </v>
      </c>
      <c r="J117" s="959" t="str">
        <f>IF(M117=TRUE,IF(U117=3,E117*F117*G117," ")," ")</f>
        <v xml:space="preserve"> </v>
      </c>
      <c r="K117" s="35"/>
      <c r="L117" s="35"/>
      <c r="M117" s="601" t="b">
        <f>AND(E117&gt;0.1,F117&gt;0.1,G117&gt;0.1)</f>
        <v>0</v>
      </c>
      <c r="N117" s="601"/>
      <c r="O117" s="601"/>
      <c r="P117" s="601"/>
      <c r="Q117" s="601"/>
      <c r="R117" s="601" t="s">
        <v>392</v>
      </c>
      <c r="S117" s="601"/>
      <c r="T117" s="601"/>
      <c r="U117" s="601">
        <v>1</v>
      </c>
      <c r="V117" s="601"/>
      <c r="W117" s="601"/>
      <c r="X117" s="601"/>
      <c r="Y117" s="601"/>
      <c r="Z117" s="601"/>
      <c r="AA117" s="601"/>
      <c r="AB117" s="601"/>
      <c r="AC117" s="601"/>
      <c r="AD117" s="601"/>
      <c r="AE117" s="601"/>
      <c r="AF117" s="601"/>
      <c r="AG117" s="601"/>
      <c r="AH117" s="601"/>
      <c r="AI117" s="601"/>
      <c r="AJ117" s="601"/>
      <c r="AK117" s="601"/>
      <c r="AL117" s="601"/>
      <c r="AM117" s="601"/>
      <c r="AN117" s="601"/>
      <c r="AO117" s="601"/>
      <c r="AP117" s="601"/>
      <c r="AQ117" s="601"/>
      <c r="AR117" s="601"/>
      <c r="AS117" s="601"/>
      <c r="AT117" s="601"/>
      <c r="AU117" s="601"/>
      <c r="AV117" s="601"/>
      <c r="AW117" s="601"/>
      <c r="AX117" s="601"/>
      <c r="AY117" s="601"/>
      <c r="AZ117" s="601"/>
      <c r="BA117" s="601"/>
      <c r="BB117" s="601"/>
      <c r="BC117" s="601"/>
      <c r="BD117" s="601"/>
      <c r="BE117" s="601"/>
      <c r="BF117" s="601"/>
      <c r="BG117" s="601"/>
      <c r="BH117" s="601"/>
      <c r="BI117" s="601"/>
      <c r="BJ117" s="601"/>
      <c r="BK117" s="601"/>
      <c r="BL117" s="601"/>
      <c r="BM117" s="601"/>
      <c r="BN117" s="601"/>
      <c r="BO117" s="601"/>
      <c r="BP117" s="601"/>
      <c r="BQ117" s="601"/>
      <c r="BR117" s="601"/>
      <c r="BS117" s="601"/>
      <c r="BT117" s="601"/>
      <c r="BU117" s="601"/>
      <c r="BV117" s="853"/>
      <c r="BW117" s="853"/>
      <c r="BX117" s="853"/>
      <c r="BY117" s="853"/>
      <c r="BZ117" s="853"/>
      <c r="CA117" s="853"/>
      <c r="CB117" s="853"/>
      <c r="CC117" s="853"/>
      <c r="CD117" s="853"/>
      <c r="CE117" s="853"/>
    </row>
    <row r="118" spans="1:83" s="855" customFormat="1" ht="18" customHeight="1" x14ac:dyDescent="0.2">
      <c r="A118" s="1403" t="s">
        <v>450</v>
      </c>
      <c r="B118" s="1404"/>
      <c r="C118" s="1391"/>
      <c r="D118" s="1392"/>
      <c r="E118" s="953"/>
      <c r="F118" s="912"/>
      <c r="G118" s="1387"/>
      <c r="H118" s="1388"/>
      <c r="I118" s="908" t="str">
        <f>IF(M118=TRUE,IF(U118=2,E118*F118*G118," ")," ")</f>
        <v xml:space="preserve"> </v>
      </c>
      <c r="J118" s="959" t="str">
        <f>IF(M118=TRUE,IF(U118=3,E118*F118*G118," ")," ")</f>
        <v xml:space="preserve"> </v>
      </c>
      <c r="K118" s="35"/>
      <c r="L118" s="35"/>
      <c r="M118" s="601" t="b">
        <f>AND(E118&gt;0.1,F118&gt;0.1,G118&gt;0.1)</f>
        <v>0</v>
      </c>
      <c r="N118" s="601"/>
      <c r="O118" s="601"/>
      <c r="P118" s="601"/>
      <c r="Q118" s="601"/>
      <c r="R118" s="601"/>
      <c r="S118" s="601"/>
      <c r="T118" s="601"/>
      <c r="U118" s="601">
        <v>1</v>
      </c>
      <c r="V118" s="601"/>
      <c r="W118" s="601"/>
      <c r="X118" s="601"/>
      <c r="Y118" s="601"/>
      <c r="Z118" s="601"/>
      <c r="AA118" s="601"/>
      <c r="AB118" s="601"/>
      <c r="AC118" s="601"/>
      <c r="AD118" s="601"/>
      <c r="AE118" s="601"/>
      <c r="AF118" s="601"/>
      <c r="AG118" s="601"/>
      <c r="AH118" s="601"/>
      <c r="AI118" s="601"/>
      <c r="AJ118" s="601"/>
      <c r="AK118" s="601"/>
      <c r="AL118" s="601"/>
      <c r="AM118" s="601"/>
      <c r="AN118" s="601"/>
      <c r="AO118" s="601"/>
      <c r="AP118" s="601"/>
      <c r="AQ118" s="601"/>
      <c r="AR118" s="601"/>
      <c r="AS118" s="601"/>
      <c r="AT118" s="601"/>
      <c r="AU118" s="601"/>
      <c r="AV118" s="601"/>
      <c r="AW118" s="601"/>
      <c r="AX118" s="601"/>
      <c r="AY118" s="601"/>
      <c r="AZ118" s="601"/>
      <c r="BA118" s="601"/>
      <c r="BB118" s="601"/>
      <c r="BC118" s="601"/>
      <c r="BD118" s="601"/>
      <c r="BE118" s="601"/>
      <c r="BF118" s="601"/>
      <c r="BG118" s="601"/>
      <c r="BH118" s="601"/>
      <c r="BI118" s="601"/>
      <c r="BJ118" s="601"/>
      <c r="BK118" s="601"/>
      <c r="BL118" s="601"/>
      <c r="BM118" s="601"/>
      <c r="BN118" s="601"/>
      <c r="BO118" s="601"/>
      <c r="BP118" s="601"/>
      <c r="BQ118" s="601"/>
      <c r="BR118" s="601"/>
      <c r="BS118" s="601"/>
      <c r="BT118" s="601"/>
      <c r="BU118" s="601"/>
      <c r="BV118" s="853"/>
      <c r="BW118" s="853"/>
      <c r="BX118" s="853"/>
      <c r="BY118" s="853"/>
      <c r="BZ118" s="853"/>
      <c r="CA118" s="853"/>
      <c r="CB118" s="853"/>
      <c r="CC118" s="853"/>
      <c r="CD118" s="853"/>
      <c r="CE118" s="853"/>
    </row>
    <row r="119" spans="1:83" s="855" customFormat="1" ht="18" customHeight="1" thickBot="1" x14ac:dyDescent="0.25">
      <c r="A119" s="1454" t="s">
        <v>451</v>
      </c>
      <c r="B119" s="1461"/>
      <c r="C119" s="1444"/>
      <c r="D119" s="1445"/>
      <c r="E119" s="954"/>
      <c r="F119" s="913"/>
      <c r="G119" s="1401"/>
      <c r="H119" s="1402"/>
      <c r="I119" s="909" t="str">
        <f>IF(M119=TRUE,IF(U119=2,E119*F119*G119," ")," ")</f>
        <v xml:space="preserve"> </v>
      </c>
      <c r="J119" s="1034" t="str">
        <f>IF(M119=TRUE,IF(U119=3,E119*F119*G119," ")," ")</f>
        <v xml:space="preserve"> </v>
      </c>
      <c r="K119" s="35"/>
      <c r="L119" s="35"/>
      <c r="M119" s="601" t="b">
        <f>AND(E119&gt;0.1,F119&gt;0.1,G119&gt;0.1)</f>
        <v>0</v>
      </c>
      <c r="N119" s="601"/>
      <c r="O119" s="601"/>
      <c r="P119" s="601"/>
      <c r="Q119" s="601"/>
      <c r="R119" s="601"/>
      <c r="S119" s="601"/>
      <c r="T119" s="601"/>
      <c r="U119" s="601">
        <v>1</v>
      </c>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1"/>
      <c r="AZ119" s="601"/>
      <c r="BA119" s="601"/>
      <c r="BB119" s="601"/>
      <c r="BC119" s="601"/>
      <c r="BD119" s="601"/>
      <c r="BE119" s="601"/>
      <c r="BF119" s="601"/>
      <c r="BG119" s="601"/>
      <c r="BH119" s="601"/>
      <c r="BI119" s="601"/>
      <c r="BJ119" s="601"/>
      <c r="BK119" s="601"/>
      <c r="BL119" s="601"/>
      <c r="BM119" s="601"/>
      <c r="BN119" s="601"/>
      <c r="BO119" s="601"/>
      <c r="BP119" s="601"/>
      <c r="BQ119" s="601"/>
      <c r="BR119" s="601"/>
      <c r="BS119" s="601"/>
      <c r="BT119" s="601"/>
      <c r="BU119" s="601"/>
      <c r="BV119" s="853"/>
      <c r="BW119" s="853"/>
      <c r="BX119" s="853"/>
      <c r="BY119" s="853"/>
      <c r="BZ119" s="853"/>
      <c r="CA119" s="853"/>
      <c r="CB119" s="853"/>
      <c r="CC119" s="853"/>
      <c r="CD119" s="853"/>
      <c r="CE119" s="853"/>
    </row>
    <row r="120" spans="1:83" s="855" customFormat="1" ht="21" customHeight="1" thickBot="1" x14ac:dyDescent="0.25">
      <c r="A120" s="870" t="s">
        <v>535</v>
      </c>
      <c r="B120" s="875"/>
      <c r="C120" s="1035"/>
      <c r="D120" s="871"/>
      <c r="E120" s="871"/>
      <c r="F120" s="1468"/>
      <c r="G120" s="1468"/>
      <c r="H120" s="1469"/>
      <c r="I120" s="910"/>
      <c r="J120" s="910"/>
      <c r="K120" s="35"/>
      <c r="L120" s="35"/>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1"/>
      <c r="AI120" s="601"/>
      <c r="AJ120" s="601"/>
      <c r="AK120" s="601"/>
      <c r="AL120" s="601"/>
      <c r="AM120" s="601"/>
      <c r="AN120" s="601"/>
      <c r="AO120" s="601"/>
      <c r="AP120" s="601"/>
      <c r="AQ120" s="601"/>
      <c r="AR120" s="601"/>
      <c r="AS120" s="601"/>
      <c r="AT120" s="601"/>
      <c r="AU120" s="601"/>
      <c r="AV120" s="601"/>
      <c r="AW120" s="601"/>
      <c r="AX120" s="601"/>
      <c r="AY120" s="601"/>
      <c r="AZ120" s="601"/>
      <c r="BA120" s="601"/>
      <c r="BB120" s="601"/>
      <c r="BC120" s="601"/>
      <c r="BD120" s="601"/>
      <c r="BE120" s="601"/>
      <c r="BF120" s="601"/>
      <c r="BG120" s="601"/>
      <c r="BH120" s="601"/>
      <c r="BI120" s="601"/>
      <c r="BJ120" s="601"/>
      <c r="BK120" s="601"/>
      <c r="BL120" s="601"/>
      <c r="BM120" s="601"/>
      <c r="BN120" s="601"/>
      <c r="BO120" s="601"/>
      <c r="BP120" s="601"/>
      <c r="BQ120" s="601"/>
      <c r="BR120" s="601"/>
      <c r="BS120" s="601"/>
      <c r="BT120" s="601"/>
      <c r="BU120" s="601"/>
      <c r="BV120" s="853"/>
      <c r="BW120" s="853"/>
      <c r="BX120" s="853"/>
      <c r="BY120" s="853"/>
      <c r="BZ120" s="853"/>
      <c r="CA120" s="853"/>
      <c r="CB120" s="853"/>
      <c r="CC120" s="853"/>
      <c r="CD120" s="853"/>
      <c r="CE120" s="853"/>
    </row>
    <row r="121" spans="1:83" s="855" customFormat="1" ht="18" customHeight="1" x14ac:dyDescent="0.2">
      <c r="A121" s="1447" t="s">
        <v>414</v>
      </c>
      <c r="B121" s="1448"/>
      <c r="C121" s="1435"/>
      <c r="D121" s="1418"/>
      <c r="E121" s="1418"/>
      <c r="F121" s="1418"/>
      <c r="G121" s="1418"/>
      <c r="H121" s="1419"/>
      <c r="I121" s="917"/>
      <c r="J121" s="914"/>
      <c r="K121" s="35"/>
      <c r="L121" s="35"/>
      <c r="M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c r="BQ121" s="601"/>
      <c r="BR121" s="601"/>
      <c r="BS121" s="601"/>
      <c r="BT121" s="601"/>
      <c r="BU121" s="601"/>
      <c r="BV121" s="853"/>
      <c r="BW121" s="853"/>
      <c r="BX121" s="853"/>
      <c r="BY121" s="853"/>
      <c r="BZ121" s="853"/>
      <c r="CA121" s="853"/>
      <c r="CB121" s="853"/>
      <c r="CC121" s="853"/>
      <c r="CD121" s="853"/>
      <c r="CE121" s="853"/>
    </row>
    <row r="122" spans="1:83" s="855" customFormat="1" ht="18" customHeight="1" x14ac:dyDescent="0.2">
      <c r="A122" s="1378" t="s">
        <v>419</v>
      </c>
      <c r="B122" s="1379"/>
      <c r="C122" s="1417"/>
      <c r="D122" s="1387"/>
      <c r="E122" s="1387"/>
      <c r="F122" s="1387"/>
      <c r="G122" s="1387"/>
      <c r="H122" s="1388"/>
      <c r="I122" s="918"/>
      <c r="J122" s="915"/>
      <c r="K122" s="35"/>
      <c r="L122" s="35"/>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1"/>
      <c r="AI122" s="601"/>
      <c r="AJ122" s="601"/>
      <c r="AK122" s="601"/>
      <c r="AL122" s="601"/>
      <c r="AM122" s="601"/>
      <c r="AN122" s="601"/>
      <c r="AO122" s="601"/>
      <c r="AP122" s="601"/>
      <c r="AQ122" s="601"/>
      <c r="AR122" s="601"/>
      <c r="AS122" s="601"/>
      <c r="AT122" s="601"/>
      <c r="AU122" s="601"/>
      <c r="AV122" s="601"/>
      <c r="AW122" s="601"/>
      <c r="AX122" s="601"/>
      <c r="AY122" s="601"/>
      <c r="AZ122" s="601"/>
      <c r="BA122" s="601"/>
      <c r="BB122" s="601"/>
      <c r="BC122" s="601"/>
      <c r="BD122" s="601"/>
      <c r="BE122" s="601"/>
      <c r="BF122" s="601"/>
      <c r="BG122" s="601"/>
      <c r="BH122" s="601"/>
      <c r="BI122" s="601"/>
      <c r="BJ122" s="601"/>
      <c r="BK122" s="601"/>
      <c r="BL122" s="601"/>
      <c r="BM122" s="601"/>
      <c r="BN122" s="601"/>
      <c r="BO122" s="601"/>
      <c r="BP122" s="601"/>
      <c r="BQ122" s="601"/>
      <c r="BR122" s="601"/>
      <c r="BS122" s="601"/>
      <c r="BT122" s="601"/>
      <c r="BU122" s="601"/>
      <c r="BV122" s="853"/>
      <c r="BW122" s="853"/>
      <c r="BX122" s="853"/>
      <c r="BY122" s="853"/>
      <c r="BZ122" s="853"/>
      <c r="CA122" s="853"/>
      <c r="CB122" s="853"/>
      <c r="CC122" s="853"/>
      <c r="CD122" s="853"/>
      <c r="CE122" s="853"/>
    </row>
    <row r="123" spans="1:83" s="855" customFormat="1" ht="18" customHeight="1" x14ac:dyDescent="0.2">
      <c r="A123" s="1378" t="s">
        <v>420</v>
      </c>
      <c r="B123" s="1379"/>
      <c r="C123" s="1417"/>
      <c r="D123" s="1387"/>
      <c r="E123" s="1387"/>
      <c r="F123" s="1387"/>
      <c r="G123" s="1387"/>
      <c r="H123" s="1388"/>
      <c r="I123" s="918"/>
      <c r="J123" s="915"/>
      <c r="K123" s="35"/>
      <c r="L123" s="35"/>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1"/>
      <c r="AI123" s="601"/>
      <c r="AJ123" s="601"/>
      <c r="AK123" s="601"/>
      <c r="AL123" s="601"/>
      <c r="AM123" s="601"/>
      <c r="AN123" s="601"/>
      <c r="AO123" s="601"/>
      <c r="AP123" s="601"/>
      <c r="AQ123" s="601"/>
      <c r="AR123" s="601"/>
      <c r="AS123" s="601"/>
      <c r="AT123" s="601"/>
      <c r="AU123" s="601"/>
      <c r="AV123" s="601"/>
      <c r="AW123" s="601"/>
      <c r="AX123" s="601"/>
      <c r="AY123" s="601"/>
      <c r="AZ123" s="601"/>
      <c r="BA123" s="601"/>
      <c r="BB123" s="601"/>
      <c r="BC123" s="601"/>
      <c r="BD123" s="601"/>
      <c r="BE123" s="601"/>
      <c r="BF123" s="601"/>
      <c r="BG123" s="601"/>
      <c r="BH123" s="601"/>
      <c r="BI123" s="601"/>
      <c r="BJ123" s="601"/>
      <c r="BK123" s="601"/>
      <c r="BL123" s="601"/>
      <c r="BM123" s="601"/>
      <c r="BN123" s="601"/>
      <c r="BO123" s="601"/>
      <c r="BP123" s="601"/>
      <c r="BQ123" s="601"/>
      <c r="BR123" s="601"/>
      <c r="BS123" s="601"/>
      <c r="BT123" s="601"/>
      <c r="BU123" s="601"/>
      <c r="BV123" s="853"/>
      <c r="BW123" s="853"/>
      <c r="BX123" s="853"/>
      <c r="BY123" s="853"/>
      <c r="BZ123" s="853"/>
      <c r="CA123" s="853"/>
      <c r="CB123" s="853"/>
      <c r="CC123" s="853"/>
      <c r="CD123" s="853"/>
      <c r="CE123" s="853"/>
    </row>
    <row r="124" spans="1:83" s="855" customFormat="1" ht="18" customHeight="1" thickBot="1" x14ac:dyDescent="0.25">
      <c r="A124" s="1465" t="s">
        <v>421</v>
      </c>
      <c r="B124" s="1466"/>
      <c r="C124" s="1407"/>
      <c r="D124" s="1401"/>
      <c r="E124" s="1401"/>
      <c r="F124" s="1401"/>
      <c r="G124" s="1401"/>
      <c r="H124" s="1402"/>
      <c r="I124" s="919"/>
      <c r="J124" s="916"/>
      <c r="K124" s="35"/>
      <c r="L124" s="35"/>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1"/>
      <c r="AI124" s="601"/>
      <c r="AJ124" s="601"/>
      <c r="AK124" s="601"/>
      <c r="AL124" s="601"/>
      <c r="AM124" s="601"/>
      <c r="AN124" s="601"/>
      <c r="AO124" s="601"/>
      <c r="AP124" s="601"/>
      <c r="AQ124" s="601"/>
      <c r="AR124" s="601"/>
      <c r="AS124" s="601"/>
      <c r="AT124" s="601"/>
      <c r="AU124" s="601"/>
      <c r="AV124" s="601"/>
      <c r="AW124" s="601"/>
      <c r="AX124" s="601"/>
      <c r="AY124" s="601"/>
      <c r="AZ124" s="601"/>
      <c r="BA124" s="601"/>
      <c r="BB124" s="601"/>
      <c r="BC124" s="601"/>
      <c r="BD124" s="601"/>
      <c r="BE124" s="601"/>
      <c r="BF124" s="601"/>
      <c r="BG124" s="601"/>
      <c r="BH124" s="601"/>
      <c r="BI124" s="601"/>
      <c r="BJ124" s="601"/>
      <c r="BK124" s="601"/>
      <c r="BL124" s="601"/>
      <c r="BM124" s="601"/>
      <c r="BN124" s="601"/>
      <c r="BO124" s="601"/>
      <c r="BP124" s="601"/>
      <c r="BQ124" s="601"/>
      <c r="BR124" s="601"/>
      <c r="BS124" s="601"/>
      <c r="BT124" s="601"/>
      <c r="BU124" s="601"/>
      <c r="BV124" s="853"/>
      <c r="BW124" s="853"/>
      <c r="BX124" s="853"/>
      <c r="BY124" s="853"/>
      <c r="BZ124" s="853"/>
      <c r="CA124" s="853"/>
      <c r="CB124" s="853"/>
      <c r="CC124" s="853"/>
      <c r="CD124" s="853"/>
      <c r="CE124" s="853"/>
    </row>
    <row r="125" spans="1:83" s="849" customFormat="1" ht="20.25" customHeight="1" thickBot="1" x14ac:dyDescent="0.25">
      <c r="A125" s="894" t="s">
        <v>422</v>
      </c>
      <c r="B125" s="895"/>
      <c r="C125" s="895"/>
      <c r="D125" s="896" t="str">
        <f>IF(X131&gt;1,"Verpacht mit Vorzeichen minus"," ")</f>
        <v xml:space="preserve"> </v>
      </c>
      <c r="E125" s="897"/>
      <c r="F125" s="897"/>
      <c r="G125" s="897"/>
      <c r="H125" s="897"/>
      <c r="I125" s="946"/>
      <c r="J125" s="946"/>
      <c r="K125" s="45"/>
      <c r="L125" s="45"/>
      <c r="M125" s="649"/>
      <c r="N125" s="649"/>
      <c r="O125" s="649"/>
      <c r="P125" s="649"/>
      <c r="Q125" s="649"/>
      <c r="R125" s="649"/>
      <c r="S125" s="649"/>
      <c r="T125" s="649"/>
      <c r="U125" s="649"/>
      <c r="V125" s="649"/>
      <c r="W125" s="649"/>
      <c r="X125" s="649"/>
      <c r="Y125" s="649"/>
      <c r="Z125" s="649"/>
      <c r="AA125" s="649"/>
      <c r="AB125" s="649"/>
      <c r="AC125" s="649"/>
      <c r="AD125" s="649"/>
      <c r="AE125" s="649"/>
      <c r="AF125" s="649"/>
      <c r="AG125" s="649"/>
      <c r="AH125" s="649"/>
      <c r="AI125" s="649"/>
      <c r="AJ125" s="649"/>
      <c r="AK125" s="649"/>
      <c r="AL125" s="649"/>
      <c r="AM125" s="649"/>
      <c r="AN125" s="649"/>
      <c r="AO125" s="649"/>
      <c r="AP125" s="649"/>
      <c r="AQ125" s="649"/>
      <c r="AR125" s="649"/>
      <c r="AS125" s="649"/>
      <c r="AT125" s="649"/>
      <c r="AU125" s="649"/>
      <c r="AV125" s="649"/>
      <c r="AW125" s="649"/>
      <c r="AX125" s="649"/>
      <c r="AY125" s="649"/>
      <c r="AZ125" s="649"/>
      <c r="BA125" s="649"/>
      <c r="BB125" s="649"/>
      <c r="BC125" s="649"/>
      <c r="BD125" s="649"/>
      <c r="BE125" s="649"/>
      <c r="BF125" s="649"/>
      <c r="BG125" s="649"/>
      <c r="BH125" s="649"/>
      <c r="BI125" s="649"/>
      <c r="BJ125" s="649"/>
      <c r="BK125" s="649"/>
      <c r="BL125" s="649"/>
      <c r="BM125" s="649"/>
      <c r="BN125" s="649"/>
      <c r="BO125" s="649"/>
      <c r="BP125" s="649"/>
      <c r="BQ125" s="649"/>
      <c r="BR125" s="649"/>
      <c r="BS125" s="649"/>
      <c r="BT125" s="649"/>
      <c r="BU125" s="649"/>
      <c r="BV125" s="860"/>
      <c r="BW125" s="860"/>
      <c r="BX125" s="860"/>
      <c r="BY125" s="860"/>
      <c r="BZ125" s="860"/>
      <c r="CA125" s="860"/>
      <c r="CB125" s="860"/>
      <c r="CC125" s="860"/>
      <c r="CD125" s="860"/>
      <c r="CE125" s="860"/>
    </row>
    <row r="126" spans="1:83" s="855" customFormat="1" ht="19.5" customHeight="1" thickBot="1" x14ac:dyDescent="0.25">
      <c r="A126" s="894" t="s">
        <v>417</v>
      </c>
      <c r="B126" s="894" t="s">
        <v>416</v>
      </c>
      <c r="C126" s="898"/>
      <c r="D126" s="1036"/>
      <c r="E126" s="1036"/>
      <c r="F126" s="1036"/>
      <c r="G126" s="1036"/>
      <c r="H126" s="1036"/>
      <c r="I126" s="945"/>
      <c r="J126" s="945"/>
      <c r="K126" s="37"/>
      <c r="L126" s="37"/>
      <c r="M126" s="633"/>
      <c r="N126" s="633"/>
      <c r="O126" s="633"/>
      <c r="P126" s="633"/>
      <c r="Q126" s="633"/>
      <c r="R126" s="633"/>
      <c r="S126" s="633"/>
      <c r="T126" s="633"/>
      <c r="U126" s="633"/>
      <c r="V126" s="633"/>
      <c r="W126" s="633"/>
      <c r="X126" s="633"/>
      <c r="Y126" s="633"/>
      <c r="Z126" s="633"/>
      <c r="AA126" s="633"/>
      <c r="AB126" s="633"/>
      <c r="AC126" s="633"/>
      <c r="AD126" s="633"/>
      <c r="AE126" s="633"/>
      <c r="AF126" s="633"/>
      <c r="AG126" s="633"/>
      <c r="AH126" s="633"/>
      <c r="AI126" s="633"/>
      <c r="AJ126" s="633"/>
      <c r="AK126" s="633"/>
      <c r="AL126" s="633"/>
      <c r="AM126" s="633"/>
      <c r="AN126" s="633"/>
      <c r="AO126" s="633"/>
      <c r="AP126" s="633"/>
      <c r="AQ126" s="601"/>
      <c r="AR126" s="601"/>
      <c r="AS126" s="601"/>
      <c r="AT126" s="601"/>
      <c r="AU126" s="601"/>
      <c r="AV126" s="601"/>
      <c r="AW126" s="601"/>
      <c r="AX126" s="601"/>
      <c r="AY126" s="601"/>
      <c r="AZ126" s="601"/>
      <c r="BA126" s="601"/>
      <c r="BB126" s="601"/>
      <c r="BC126" s="601"/>
      <c r="BD126" s="601"/>
      <c r="BE126" s="601"/>
      <c r="BF126" s="601"/>
      <c r="BG126" s="601"/>
      <c r="BH126" s="601"/>
      <c r="BI126" s="601"/>
      <c r="BJ126" s="601"/>
      <c r="BK126" s="601"/>
      <c r="BL126" s="601"/>
      <c r="BM126" s="601"/>
      <c r="BN126" s="601"/>
      <c r="BO126" s="601"/>
      <c r="BP126" s="601"/>
      <c r="BQ126" s="601"/>
      <c r="BR126" s="601"/>
      <c r="BS126" s="601"/>
      <c r="BT126" s="601"/>
      <c r="BU126" s="601"/>
      <c r="BV126" s="853"/>
      <c r="BW126" s="853"/>
      <c r="BX126" s="853"/>
      <c r="BY126" s="853"/>
      <c r="BZ126" s="853"/>
      <c r="CA126" s="853"/>
      <c r="CB126" s="853"/>
      <c r="CC126" s="853"/>
      <c r="CD126" s="853"/>
      <c r="CE126" s="853"/>
    </row>
    <row r="127" spans="1:83" s="855" customFormat="1" ht="18" customHeight="1" x14ac:dyDescent="0.2">
      <c r="A127" s="554"/>
      <c r="B127" s="1451"/>
      <c r="C127" s="1452"/>
      <c r="D127" s="1452"/>
      <c r="E127" s="1452"/>
      <c r="F127" s="1452"/>
      <c r="G127" s="1452"/>
      <c r="H127" s="1453"/>
      <c r="I127" s="1042"/>
      <c r="J127" s="1043"/>
      <c r="K127" s="37"/>
      <c r="L127" s="37"/>
      <c r="M127" s="633"/>
      <c r="N127" s="633"/>
      <c r="O127" s="633"/>
      <c r="P127" s="633"/>
      <c r="Q127" s="633"/>
      <c r="R127" s="601" t="s">
        <v>27</v>
      </c>
      <c r="S127" s="633"/>
      <c r="T127" s="633"/>
      <c r="U127" s="633">
        <v>1</v>
      </c>
      <c r="V127" s="633"/>
      <c r="W127" s="633"/>
      <c r="X127" s="633">
        <f>IF(U127=3,IF(I127&gt;0,99,IF(J127&gt;0,99,0)),0)</f>
        <v>0</v>
      </c>
      <c r="Y127" s="633"/>
      <c r="Z127" s="633"/>
      <c r="AA127" s="633"/>
      <c r="AB127" s="633"/>
      <c r="AC127" s="633"/>
      <c r="AD127" s="633"/>
      <c r="AE127" s="633"/>
      <c r="AF127" s="633"/>
      <c r="AG127" s="633"/>
      <c r="AH127" s="633"/>
      <c r="AI127" s="633"/>
      <c r="AJ127" s="633"/>
      <c r="AK127" s="633"/>
      <c r="AL127" s="633"/>
      <c r="AM127" s="633"/>
      <c r="AN127" s="633"/>
      <c r="AO127" s="633"/>
      <c r="AP127" s="633"/>
      <c r="AQ127" s="601"/>
      <c r="AR127" s="601"/>
      <c r="AS127" s="601"/>
      <c r="AT127" s="601"/>
      <c r="AU127" s="601"/>
      <c r="AV127" s="601"/>
      <c r="AW127" s="601"/>
      <c r="AX127" s="601"/>
      <c r="AY127" s="601"/>
      <c r="AZ127" s="601"/>
      <c r="BA127" s="601"/>
      <c r="BB127" s="601"/>
      <c r="BC127" s="601"/>
      <c r="BD127" s="601"/>
      <c r="BE127" s="601"/>
      <c r="BF127" s="601"/>
      <c r="BG127" s="601"/>
      <c r="BH127" s="601"/>
      <c r="BI127" s="601"/>
      <c r="BJ127" s="601"/>
      <c r="BK127" s="601"/>
      <c r="BL127" s="601"/>
      <c r="BM127" s="601"/>
      <c r="BN127" s="601"/>
      <c r="BO127" s="601"/>
      <c r="BP127" s="601"/>
      <c r="BQ127" s="601"/>
      <c r="BR127" s="601"/>
      <c r="BS127" s="601"/>
      <c r="BT127" s="601"/>
      <c r="BU127" s="601"/>
      <c r="BV127" s="853"/>
      <c r="BW127" s="853"/>
      <c r="BX127" s="853"/>
      <c r="BY127" s="853"/>
      <c r="BZ127" s="853"/>
      <c r="CA127" s="853"/>
      <c r="CB127" s="853"/>
      <c r="CC127" s="853"/>
      <c r="CD127" s="853"/>
      <c r="CE127" s="853"/>
    </row>
    <row r="128" spans="1:83" s="855" customFormat="1" ht="18" customHeight="1" x14ac:dyDescent="0.2">
      <c r="A128" s="555"/>
      <c r="B128" s="1440"/>
      <c r="C128" s="1441"/>
      <c r="D128" s="1441"/>
      <c r="E128" s="1441"/>
      <c r="F128" s="1441"/>
      <c r="G128" s="1441"/>
      <c r="H128" s="1442"/>
      <c r="I128" s="918"/>
      <c r="J128" s="1044"/>
      <c r="K128" s="37"/>
      <c r="L128" s="37"/>
      <c r="M128" s="633"/>
      <c r="N128" s="633"/>
      <c r="O128" s="633"/>
      <c r="P128" s="633"/>
      <c r="Q128" s="633"/>
      <c r="R128" s="601" t="s">
        <v>452</v>
      </c>
      <c r="S128" s="633"/>
      <c r="T128" s="633"/>
      <c r="U128" s="633">
        <v>1</v>
      </c>
      <c r="V128" s="633"/>
      <c r="W128" s="633"/>
      <c r="X128" s="633">
        <f>IF(U128=3,IF(I128&gt;0,99,IF(J128&gt;0,99,0)),0)</f>
        <v>0</v>
      </c>
      <c r="Y128" s="633"/>
      <c r="Z128" s="633"/>
      <c r="AA128" s="633"/>
      <c r="AB128" s="633"/>
      <c r="AC128" s="633"/>
      <c r="AD128" s="633"/>
      <c r="AE128" s="633"/>
      <c r="AF128" s="633"/>
      <c r="AG128" s="633"/>
      <c r="AH128" s="633"/>
      <c r="AI128" s="633"/>
      <c r="AJ128" s="633"/>
      <c r="AK128" s="633"/>
      <c r="AL128" s="633"/>
      <c r="AM128" s="633"/>
      <c r="AN128" s="633"/>
      <c r="AO128" s="633"/>
      <c r="AP128" s="633"/>
      <c r="AQ128" s="601"/>
      <c r="AR128" s="601"/>
      <c r="AS128" s="601"/>
      <c r="AT128" s="601"/>
      <c r="AU128" s="601"/>
      <c r="AV128" s="601"/>
      <c r="AW128" s="601"/>
      <c r="AX128" s="601"/>
      <c r="AY128" s="601"/>
      <c r="AZ128" s="601"/>
      <c r="BA128" s="601"/>
      <c r="BB128" s="601"/>
      <c r="BC128" s="601"/>
      <c r="BD128" s="601"/>
      <c r="BE128" s="601"/>
      <c r="BF128" s="601"/>
      <c r="BG128" s="601"/>
      <c r="BH128" s="601"/>
      <c r="BI128" s="601"/>
      <c r="BJ128" s="601"/>
      <c r="BK128" s="601"/>
      <c r="BL128" s="601"/>
      <c r="BM128" s="601"/>
      <c r="BN128" s="601"/>
      <c r="BO128" s="601"/>
      <c r="BP128" s="601"/>
      <c r="BQ128" s="601"/>
      <c r="BR128" s="601"/>
      <c r="BS128" s="601"/>
      <c r="BT128" s="601"/>
      <c r="BU128" s="601"/>
      <c r="BV128" s="853"/>
      <c r="BW128" s="853"/>
      <c r="BX128" s="853"/>
      <c r="BY128" s="853"/>
      <c r="BZ128" s="853"/>
      <c r="CA128" s="853"/>
      <c r="CB128" s="853"/>
      <c r="CC128" s="853"/>
      <c r="CD128" s="853"/>
      <c r="CE128" s="853"/>
    </row>
    <row r="129" spans="1:83" s="855" customFormat="1" ht="18" customHeight="1" x14ac:dyDescent="0.2">
      <c r="A129" s="555"/>
      <c r="B129" s="1440"/>
      <c r="C129" s="1441"/>
      <c r="D129" s="1441"/>
      <c r="E129" s="1441"/>
      <c r="F129" s="1441"/>
      <c r="G129" s="1441"/>
      <c r="H129" s="1442"/>
      <c r="I129" s="918"/>
      <c r="J129" s="1044"/>
      <c r="K129" s="37"/>
      <c r="L129" s="37"/>
      <c r="M129" s="633"/>
      <c r="N129" s="633"/>
      <c r="O129" s="633"/>
      <c r="P129" s="633"/>
      <c r="Q129" s="633"/>
      <c r="R129" s="601" t="s">
        <v>453</v>
      </c>
      <c r="S129" s="633"/>
      <c r="T129" s="633"/>
      <c r="U129" s="633">
        <v>1</v>
      </c>
      <c r="V129" s="633"/>
      <c r="W129" s="633"/>
      <c r="X129" s="633">
        <f>IF(U129=3,IF(I129&gt;0,99,IF(J129&gt;0,99,0)),0)</f>
        <v>0</v>
      </c>
      <c r="Y129" s="633"/>
      <c r="Z129" s="633"/>
      <c r="AA129" s="633"/>
      <c r="AB129" s="633"/>
      <c r="AC129" s="633"/>
      <c r="AD129" s="633"/>
      <c r="AE129" s="633"/>
      <c r="AF129" s="633"/>
      <c r="AG129" s="633"/>
      <c r="AH129" s="633"/>
      <c r="AI129" s="633"/>
      <c r="AJ129" s="633"/>
      <c r="AK129" s="633"/>
      <c r="AL129" s="633"/>
      <c r="AM129" s="633"/>
      <c r="AN129" s="633"/>
      <c r="AO129" s="633"/>
      <c r="AP129" s="633"/>
      <c r="AQ129" s="601"/>
      <c r="AR129" s="601"/>
      <c r="AS129" s="601"/>
      <c r="AT129" s="601"/>
      <c r="AU129" s="601"/>
      <c r="AV129" s="601"/>
      <c r="AW129" s="601"/>
      <c r="AX129" s="601"/>
      <c r="AY129" s="601"/>
      <c r="AZ129" s="601"/>
      <c r="BA129" s="601"/>
      <c r="BB129" s="601"/>
      <c r="BC129" s="601"/>
      <c r="BD129" s="601"/>
      <c r="BE129" s="601"/>
      <c r="BF129" s="601"/>
      <c r="BG129" s="601"/>
      <c r="BH129" s="601"/>
      <c r="BI129" s="601"/>
      <c r="BJ129" s="601"/>
      <c r="BK129" s="601"/>
      <c r="BL129" s="601"/>
      <c r="BM129" s="601"/>
      <c r="BN129" s="601"/>
      <c r="BO129" s="601"/>
      <c r="BP129" s="601"/>
      <c r="BQ129" s="601"/>
      <c r="BR129" s="601"/>
      <c r="BS129" s="601"/>
      <c r="BT129" s="601"/>
      <c r="BU129" s="601"/>
      <c r="BV129" s="853"/>
      <c r="BW129" s="853"/>
      <c r="BX129" s="853"/>
      <c r="BY129" s="853"/>
      <c r="BZ129" s="853"/>
      <c r="CA129" s="853"/>
      <c r="CB129" s="853"/>
      <c r="CC129" s="853"/>
      <c r="CD129" s="853"/>
      <c r="CE129" s="853"/>
    </row>
    <row r="130" spans="1:83" s="855" customFormat="1" ht="18" customHeight="1" thickBot="1" x14ac:dyDescent="0.25">
      <c r="A130" s="555"/>
      <c r="B130" s="1462"/>
      <c r="C130" s="1463"/>
      <c r="D130" s="1463"/>
      <c r="E130" s="1463"/>
      <c r="F130" s="1463"/>
      <c r="G130" s="1463"/>
      <c r="H130" s="1464"/>
      <c r="I130" s="919"/>
      <c r="J130" s="1045"/>
      <c r="K130" s="37"/>
      <c r="L130" s="37"/>
      <c r="M130" s="633"/>
      <c r="N130" s="633"/>
      <c r="O130" s="633"/>
      <c r="P130" s="633"/>
      <c r="Q130" s="633"/>
      <c r="R130" s="633"/>
      <c r="S130" s="633"/>
      <c r="T130" s="633"/>
      <c r="U130" s="633">
        <v>1</v>
      </c>
      <c r="V130" s="633"/>
      <c r="W130" s="633"/>
      <c r="X130" s="633">
        <f>IF(U130=3,IF(I130&gt;0,99,IF(J130&gt;0,99,0)),0)</f>
        <v>0</v>
      </c>
      <c r="Y130" s="633"/>
      <c r="Z130" s="633"/>
      <c r="AA130" s="633"/>
      <c r="AB130" s="633"/>
      <c r="AC130" s="633"/>
      <c r="AD130" s="633"/>
      <c r="AE130" s="633"/>
      <c r="AF130" s="633"/>
      <c r="AG130" s="633"/>
      <c r="AH130" s="633"/>
      <c r="AI130" s="633"/>
      <c r="AJ130" s="633"/>
      <c r="AK130" s="633"/>
      <c r="AL130" s="633"/>
      <c r="AM130" s="633"/>
      <c r="AN130" s="633"/>
      <c r="AO130" s="633"/>
      <c r="AP130" s="633"/>
      <c r="AQ130" s="601"/>
      <c r="AR130" s="601"/>
      <c r="AS130" s="601"/>
      <c r="AT130" s="601"/>
      <c r="AU130" s="601"/>
      <c r="AV130" s="601"/>
      <c r="AW130" s="601"/>
      <c r="AX130" s="601"/>
      <c r="AY130" s="601"/>
      <c r="AZ130" s="601"/>
      <c r="BA130" s="601"/>
      <c r="BB130" s="601"/>
      <c r="BC130" s="601"/>
      <c r="BD130" s="601"/>
      <c r="BE130" s="601"/>
      <c r="BF130" s="601"/>
      <c r="BG130" s="601"/>
      <c r="BH130" s="601"/>
      <c r="BI130" s="601"/>
      <c r="BJ130" s="601"/>
      <c r="BK130" s="601"/>
      <c r="BL130" s="601"/>
      <c r="BM130" s="601"/>
      <c r="BN130" s="601"/>
      <c r="BO130" s="601"/>
      <c r="BP130" s="601"/>
      <c r="BQ130" s="601"/>
      <c r="BR130" s="601"/>
      <c r="BS130" s="601"/>
      <c r="BT130" s="601"/>
      <c r="BU130" s="601"/>
      <c r="BV130" s="853"/>
      <c r="BW130" s="853"/>
      <c r="BX130" s="853"/>
      <c r="BY130" s="853"/>
      <c r="BZ130" s="853"/>
      <c r="CA130" s="853"/>
      <c r="CB130" s="853"/>
      <c r="CC130" s="853"/>
      <c r="CD130" s="853"/>
      <c r="CE130" s="853"/>
    </row>
    <row r="131" spans="1:83" s="857" customFormat="1" ht="27.75" customHeight="1" thickBot="1" x14ac:dyDescent="0.25">
      <c r="A131" s="903" t="s">
        <v>423</v>
      </c>
      <c r="B131" s="904"/>
      <c r="C131" s="904"/>
      <c r="D131" s="905"/>
      <c r="E131" s="905"/>
      <c r="F131" s="905"/>
      <c r="G131" s="905"/>
      <c r="H131" s="905"/>
      <c r="I131" s="1019" t="str">
        <f t="shared" ref="I131:J133" si="34">IF(M131=0," ",M131)</f>
        <v xml:space="preserve"> </v>
      </c>
      <c r="J131" s="1019" t="str">
        <f t="shared" si="34"/>
        <v xml:space="preserve"> </v>
      </c>
      <c r="K131" s="585"/>
      <c r="L131" s="585"/>
      <c r="M131" s="640">
        <f>+M132+M133</f>
        <v>0</v>
      </c>
      <c r="N131" s="640">
        <f>+N132+N133</f>
        <v>0</v>
      </c>
      <c r="O131" s="639"/>
      <c r="P131" s="639"/>
      <c r="Q131" s="639"/>
      <c r="R131" s="639"/>
      <c r="S131" s="639"/>
      <c r="T131" s="639"/>
      <c r="U131" s="639"/>
      <c r="V131" s="639"/>
      <c r="W131" s="639"/>
      <c r="X131" s="639">
        <f>SUM(X127:X130)</f>
        <v>0</v>
      </c>
      <c r="Y131" s="639"/>
      <c r="Z131" s="639"/>
      <c r="AA131" s="639"/>
      <c r="AB131" s="639"/>
      <c r="AC131" s="639"/>
      <c r="AD131" s="639"/>
      <c r="AE131" s="639"/>
      <c r="AF131" s="639"/>
      <c r="AG131" s="639"/>
      <c r="AH131" s="639"/>
      <c r="AI131" s="639"/>
      <c r="AJ131" s="639"/>
      <c r="AK131" s="639"/>
      <c r="AL131" s="639"/>
      <c r="AM131" s="639"/>
      <c r="AN131" s="639"/>
      <c r="AO131" s="639"/>
      <c r="AP131" s="639"/>
      <c r="AQ131" s="641"/>
      <c r="AR131" s="641"/>
      <c r="AS131" s="641"/>
      <c r="AT131" s="641"/>
      <c r="AU131" s="641"/>
      <c r="AV131" s="641"/>
      <c r="AW131" s="641"/>
      <c r="AX131" s="641"/>
      <c r="AY131" s="641"/>
      <c r="AZ131" s="641"/>
      <c r="BA131" s="641"/>
      <c r="BB131" s="641"/>
      <c r="BC131" s="641"/>
      <c r="BD131" s="641"/>
      <c r="BE131" s="641"/>
      <c r="BF131" s="641"/>
      <c r="BG131" s="641"/>
      <c r="BH131" s="641"/>
      <c r="BI131" s="641"/>
      <c r="BJ131" s="641"/>
      <c r="BK131" s="641"/>
      <c r="BL131" s="641"/>
      <c r="BM131" s="641"/>
      <c r="BN131" s="641"/>
      <c r="BO131" s="641"/>
      <c r="BP131" s="641"/>
      <c r="BQ131" s="641"/>
      <c r="BR131" s="641"/>
      <c r="BS131" s="641"/>
      <c r="BT131" s="641"/>
      <c r="BU131" s="641"/>
      <c r="BV131" s="856"/>
      <c r="BW131" s="856"/>
      <c r="BX131" s="856"/>
      <c r="BY131" s="856"/>
      <c r="BZ131" s="856"/>
      <c r="CA131" s="856"/>
      <c r="CB131" s="856"/>
      <c r="CC131" s="856"/>
      <c r="CD131" s="856"/>
      <c r="CE131" s="856"/>
    </row>
    <row r="132" spans="1:83" s="859" customFormat="1" ht="10.5" customHeight="1" thickBot="1" x14ac:dyDescent="0.25">
      <c r="A132" s="577" t="s">
        <v>444</v>
      </c>
      <c r="B132" s="578"/>
      <c r="C132" s="578"/>
      <c r="D132" s="579"/>
      <c r="E132" s="579"/>
      <c r="F132" s="579"/>
      <c r="G132" s="579"/>
      <c r="H132" s="579"/>
      <c r="I132" s="584" t="str">
        <f t="shared" si="34"/>
        <v xml:space="preserve"> </v>
      </c>
      <c r="J132" s="580" t="str">
        <f t="shared" si="34"/>
        <v xml:space="preserve"> </v>
      </c>
      <c r="K132" s="539"/>
      <c r="L132" s="539"/>
      <c r="M132" s="650">
        <f>SUM(I110:I124)</f>
        <v>0</v>
      </c>
      <c r="N132" s="651">
        <f>SUM(J110:J124)</f>
        <v>0</v>
      </c>
      <c r="O132" s="644"/>
      <c r="P132" s="644"/>
      <c r="Q132" s="644"/>
      <c r="R132" s="644"/>
      <c r="S132" s="644"/>
      <c r="T132" s="644"/>
      <c r="U132" s="644"/>
      <c r="V132" s="644"/>
      <c r="W132" s="644"/>
      <c r="X132" s="644"/>
      <c r="Y132" s="644"/>
      <c r="Z132" s="644"/>
      <c r="AA132" s="644"/>
      <c r="AB132" s="644"/>
      <c r="AC132" s="644"/>
      <c r="AD132" s="644"/>
      <c r="AE132" s="644"/>
      <c r="AF132" s="644"/>
      <c r="AG132" s="644"/>
      <c r="AH132" s="644"/>
      <c r="AI132" s="644"/>
      <c r="AJ132" s="644"/>
      <c r="AK132" s="644"/>
      <c r="AL132" s="644"/>
      <c r="AM132" s="644"/>
      <c r="AN132" s="644"/>
      <c r="AO132" s="644"/>
      <c r="AP132" s="644"/>
      <c r="AQ132" s="645"/>
      <c r="AR132" s="645"/>
      <c r="AS132" s="645"/>
      <c r="AT132" s="645"/>
      <c r="AU132" s="645"/>
      <c r="AV132" s="645"/>
      <c r="AW132" s="645"/>
      <c r="AX132" s="645"/>
      <c r="AY132" s="645"/>
      <c r="AZ132" s="645"/>
      <c r="BA132" s="645"/>
      <c r="BB132" s="645"/>
      <c r="BC132" s="645"/>
      <c r="BD132" s="645"/>
      <c r="BE132" s="645"/>
      <c r="BF132" s="645"/>
      <c r="BG132" s="645"/>
      <c r="BH132" s="645"/>
      <c r="BI132" s="645"/>
      <c r="BJ132" s="645"/>
      <c r="BK132" s="645"/>
      <c r="BL132" s="645"/>
      <c r="BM132" s="645"/>
      <c r="BN132" s="645"/>
      <c r="BO132" s="645"/>
      <c r="BP132" s="645"/>
      <c r="BQ132" s="645"/>
      <c r="BR132" s="645"/>
      <c r="BS132" s="645"/>
      <c r="BT132" s="645"/>
      <c r="BU132" s="645"/>
      <c r="BV132" s="858"/>
      <c r="BW132" s="858"/>
      <c r="BX132" s="858"/>
      <c r="BY132" s="858"/>
      <c r="BZ132" s="858"/>
      <c r="CA132" s="858"/>
      <c r="CB132" s="858"/>
      <c r="CC132" s="858"/>
      <c r="CD132" s="858"/>
      <c r="CE132" s="858"/>
    </row>
    <row r="133" spans="1:83" s="859" customFormat="1" ht="10.5" customHeight="1" thickBot="1" x14ac:dyDescent="0.25">
      <c r="A133" s="548" t="s">
        <v>445</v>
      </c>
      <c r="B133" s="581"/>
      <c r="C133" s="581"/>
      <c r="D133" s="582"/>
      <c r="E133" s="582"/>
      <c r="F133" s="582"/>
      <c r="G133" s="582"/>
      <c r="H133" s="582"/>
      <c r="I133" s="576" t="str">
        <f t="shared" si="34"/>
        <v xml:space="preserve"> </v>
      </c>
      <c r="J133" s="583" t="str">
        <f t="shared" si="34"/>
        <v xml:space="preserve"> </v>
      </c>
      <c r="K133" s="539"/>
      <c r="L133" s="539"/>
      <c r="M133" s="652">
        <f>SUM(I127:I130)</f>
        <v>0</v>
      </c>
      <c r="N133" s="652">
        <f>SUM(J127:J130)</f>
        <v>0</v>
      </c>
      <c r="O133" s="644"/>
      <c r="P133" s="644"/>
      <c r="Q133" s="644"/>
      <c r="R133" s="653" t="s">
        <v>436</v>
      </c>
      <c r="S133" s="644"/>
      <c r="T133" s="644"/>
      <c r="U133" s="644"/>
      <c r="V133" s="644"/>
      <c r="W133" s="644"/>
      <c r="X133" s="644"/>
      <c r="Y133" s="644"/>
      <c r="Z133" s="654" t="s">
        <v>434</v>
      </c>
      <c r="AA133" s="654"/>
      <c r="AB133" s="654"/>
      <c r="AC133" s="654"/>
      <c r="AD133" s="654"/>
      <c r="AE133" s="644"/>
      <c r="AF133" s="644"/>
      <c r="AG133" s="644"/>
      <c r="AH133" s="644"/>
      <c r="AI133" s="644"/>
      <c r="AJ133" s="644"/>
      <c r="AK133" s="644"/>
      <c r="AL133" s="644"/>
      <c r="AM133" s="653" t="s">
        <v>437</v>
      </c>
      <c r="AN133" s="644"/>
      <c r="AO133" s="644"/>
      <c r="AP133" s="644"/>
      <c r="AQ133" s="645"/>
      <c r="AR133" s="645"/>
      <c r="AS133" s="645"/>
      <c r="AT133" s="645"/>
      <c r="AU133" s="645"/>
      <c r="AV133" s="645"/>
      <c r="AW133" s="645"/>
      <c r="AX133" s="645"/>
      <c r="AY133" s="645"/>
      <c r="AZ133" s="645"/>
      <c r="BA133" s="645"/>
      <c r="BB133" s="645"/>
      <c r="BC133" s="645"/>
      <c r="BD133" s="645"/>
      <c r="BE133" s="645"/>
      <c r="BF133" s="645"/>
      <c r="BG133" s="645"/>
      <c r="BH133" s="645"/>
      <c r="BI133" s="645"/>
      <c r="BJ133" s="645"/>
      <c r="BK133" s="645"/>
      <c r="BL133" s="645"/>
      <c r="BM133" s="645"/>
      <c r="BN133" s="645"/>
      <c r="BO133" s="645"/>
      <c r="BP133" s="645"/>
      <c r="BQ133" s="645"/>
      <c r="BR133" s="645"/>
      <c r="BS133" s="645"/>
      <c r="BT133" s="645"/>
      <c r="BU133" s="645"/>
      <c r="BV133" s="858"/>
      <c r="BW133" s="858"/>
      <c r="BX133" s="858"/>
      <c r="BY133" s="858"/>
      <c r="BZ133" s="858"/>
      <c r="CA133" s="858"/>
      <c r="CB133" s="858"/>
      <c r="CC133" s="858"/>
      <c r="CD133" s="858"/>
      <c r="CE133" s="858"/>
    </row>
    <row r="134" spans="1:83" s="855" customFormat="1" ht="3.75" customHeight="1" x14ac:dyDescent="0.2">
      <c r="A134" s="38"/>
      <c r="B134" s="38"/>
      <c r="C134" s="38"/>
      <c r="D134" s="38"/>
      <c r="E134" s="38"/>
      <c r="F134" s="38"/>
      <c r="G134" s="38"/>
      <c r="H134" s="38"/>
      <c r="I134" s="38"/>
      <c r="J134" s="38"/>
      <c r="K134" s="38"/>
      <c r="L134" s="38"/>
      <c r="M134" s="655"/>
      <c r="N134" s="655"/>
      <c r="O134" s="633"/>
      <c r="P134" s="633"/>
      <c r="Q134" s="633"/>
      <c r="R134" s="633"/>
      <c r="S134" s="633"/>
      <c r="T134" s="633"/>
      <c r="U134" s="633"/>
      <c r="V134" s="633"/>
      <c r="W134" s="633"/>
      <c r="X134" s="633"/>
      <c r="Y134" s="633"/>
      <c r="Z134" s="633"/>
      <c r="AA134" s="633"/>
      <c r="AB134" s="633"/>
      <c r="AC134" s="633"/>
      <c r="AD134" s="633"/>
      <c r="AE134" s="633"/>
      <c r="AF134" s="633"/>
      <c r="AG134" s="633"/>
      <c r="AH134" s="633"/>
      <c r="AI134" s="633"/>
      <c r="AJ134" s="633"/>
      <c r="AK134" s="633"/>
      <c r="AL134" s="633"/>
      <c r="AM134" s="633"/>
      <c r="AN134" s="633"/>
      <c r="AO134" s="633"/>
      <c r="AP134" s="633"/>
      <c r="AQ134" s="601"/>
      <c r="AR134" s="601"/>
      <c r="AS134" s="601"/>
      <c r="AT134" s="601"/>
      <c r="AU134" s="601"/>
      <c r="AV134" s="601"/>
      <c r="AW134" s="601"/>
      <c r="AX134" s="601"/>
      <c r="AY134" s="601"/>
      <c r="AZ134" s="601"/>
      <c r="BA134" s="601"/>
      <c r="BB134" s="601"/>
      <c r="BC134" s="601"/>
      <c r="BD134" s="601"/>
      <c r="BE134" s="601"/>
      <c r="BF134" s="601"/>
      <c r="BG134" s="601"/>
      <c r="BH134" s="601"/>
      <c r="BI134" s="601"/>
      <c r="BJ134" s="601"/>
      <c r="BK134" s="601"/>
      <c r="BL134" s="601"/>
      <c r="BM134" s="601"/>
      <c r="BN134" s="601"/>
      <c r="BO134" s="601"/>
      <c r="BP134" s="601"/>
      <c r="BQ134" s="601"/>
      <c r="BR134" s="601"/>
      <c r="BS134" s="601"/>
      <c r="BT134" s="601"/>
      <c r="BU134" s="601"/>
      <c r="BV134" s="853"/>
      <c r="BW134" s="853"/>
      <c r="BX134" s="853"/>
      <c r="BY134" s="853"/>
      <c r="BZ134" s="853"/>
      <c r="CA134" s="853"/>
      <c r="CB134" s="853"/>
      <c r="CC134" s="853"/>
      <c r="CD134" s="853"/>
      <c r="CE134" s="853"/>
    </row>
    <row r="135" spans="1:83" s="855" customFormat="1" ht="3.75" customHeight="1" thickBot="1" x14ac:dyDescent="0.25">
      <c r="A135" s="41"/>
      <c r="B135" s="6"/>
      <c r="C135" s="6"/>
      <c r="D135" s="12"/>
      <c r="E135" s="12"/>
      <c r="F135" s="12"/>
      <c r="G135" s="12"/>
      <c r="H135" s="12"/>
      <c r="I135" s="35"/>
      <c r="J135" s="18"/>
      <c r="K135" s="35"/>
      <c r="L135" s="35"/>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601"/>
      <c r="AW135" s="601"/>
      <c r="AX135" s="601"/>
      <c r="AY135" s="601"/>
      <c r="AZ135" s="601"/>
      <c r="BA135" s="601"/>
      <c r="BB135" s="601"/>
      <c r="BC135" s="601"/>
      <c r="BD135" s="601"/>
      <c r="BE135" s="601"/>
      <c r="BF135" s="601"/>
      <c r="BG135" s="601"/>
      <c r="BH135" s="601"/>
      <c r="BI135" s="601"/>
      <c r="BJ135" s="601"/>
      <c r="BK135" s="601"/>
      <c r="BL135" s="601"/>
      <c r="BM135" s="601"/>
      <c r="BN135" s="601"/>
      <c r="BO135" s="601"/>
      <c r="BP135" s="601"/>
      <c r="BQ135" s="601"/>
      <c r="BR135" s="601"/>
      <c r="BS135" s="601"/>
      <c r="BT135" s="601"/>
      <c r="BU135" s="601"/>
      <c r="BV135" s="853"/>
      <c r="BW135" s="853"/>
      <c r="BX135" s="853"/>
      <c r="BY135" s="853"/>
      <c r="BZ135" s="853"/>
      <c r="CA135" s="853"/>
      <c r="CB135" s="853"/>
      <c r="CC135" s="853"/>
      <c r="CD135" s="853"/>
      <c r="CE135" s="853"/>
    </row>
    <row r="136" spans="1:83" s="855" customFormat="1" ht="30.75" customHeight="1" thickBot="1" x14ac:dyDescent="0.25">
      <c r="A136" s="947" t="s">
        <v>425</v>
      </c>
      <c r="B136" s="951"/>
      <c r="C136" s="1449"/>
      <c r="D136" s="1449"/>
      <c r="E136" s="1449"/>
      <c r="F136" s="1449"/>
      <c r="G136" s="1449"/>
      <c r="H136" s="1450"/>
      <c r="I136" s="950" t="s">
        <v>391</v>
      </c>
      <c r="J136" s="944" t="s">
        <v>392</v>
      </c>
      <c r="K136" s="35"/>
      <c r="L136" s="35"/>
      <c r="M136" s="601">
        <f>IF(I85=0,"0",6)</f>
        <v>6</v>
      </c>
      <c r="N136" s="694">
        <f>ROUND(N137,1)</f>
        <v>0</v>
      </c>
      <c r="O136" s="601"/>
      <c r="P136" s="601"/>
      <c r="Q136" s="601"/>
      <c r="R136" s="601"/>
      <c r="S136" s="601"/>
      <c r="T136" s="601"/>
      <c r="U136" s="601"/>
      <c r="V136" s="601"/>
      <c r="W136" s="601"/>
      <c r="X136" s="601"/>
      <c r="Y136" s="601"/>
      <c r="Z136" s="601"/>
      <c r="AA136" s="601"/>
      <c r="AB136" s="601"/>
      <c r="AC136" s="601"/>
      <c r="AD136" s="601"/>
      <c r="AE136" s="601"/>
      <c r="AF136" s="601"/>
      <c r="AG136" s="601"/>
      <c r="AH136" s="601"/>
      <c r="AI136" s="601"/>
      <c r="AJ136" s="601"/>
      <c r="AK136" s="601"/>
      <c r="AL136" s="601"/>
      <c r="AM136" s="601"/>
      <c r="AN136" s="601"/>
      <c r="AO136" s="601"/>
      <c r="AP136" s="601"/>
      <c r="AQ136" s="601"/>
      <c r="AR136" s="601"/>
      <c r="AS136" s="601"/>
      <c r="AT136" s="601"/>
      <c r="AU136" s="601"/>
      <c r="AV136" s="601"/>
      <c r="AW136" s="601"/>
      <c r="AX136" s="601"/>
      <c r="AY136" s="601"/>
      <c r="AZ136" s="601"/>
      <c r="BA136" s="601"/>
      <c r="BB136" s="601"/>
      <c r="BC136" s="601"/>
      <c r="BD136" s="601"/>
      <c r="BE136" s="601"/>
      <c r="BF136" s="601"/>
      <c r="BG136" s="601"/>
      <c r="BH136" s="601"/>
      <c r="BI136" s="601"/>
      <c r="BJ136" s="601"/>
      <c r="BK136" s="601"/>
      <c r="BL136" s="601"/>
      <c r="BM136" s="601"/>
      <c r="BN136" s="601"/>
      <c r="BO136" s="601"/>
      <c r="BP136" s="601"/>
      <c r="BQ136" s="601"/>
      <c r="BR136" s="601"/>
      <c r="BS136" s="601"/>
      <c r="BT136" s="601"/>
      <c r="BU136" s="601"/>
      <c r="BV136" s="853"/>
      <c r="BW136" s="853"/>
      <c r="BX136" s="853"/>
      <c r="BY136" s="853"/>
      <c r="BZ136" s="853"/>
      <c r="CA136" s="853"/>
      <c r="CB136" s="853"/>
      <c r="CC136" s="853"/>
      <c r="CD136" s="853"/>
      <c r="CE136" s="853"/>
    </row>
    <row r="137" spans="1:83" s="855" customFormat="1" ht="15.75" customHeight="1" thickBot="1" x14ac:dyDescent="0.25">
      <c r="A137" s="571" t="s">
        <v>446</v>
      </c>
      <c r="B137" s="572"/>
      <c r="C137" s="572"/>
      <c r="D137" s="572"/>
      <c r="E137" s="572"/>
      <c r="F137" s="572"/>
      <c r="G137" s="572"/>
      <c r="H137" s="573"/>
      <c r="I137" s="586" t="str">
        <f>CONCATENATE(M136," Mo.")</f>
        <v>6 Mo.</v>
      </c>
      <c r="J137" s="587" t="str">
        <f>CONCATENATE(N136," Mo.")</f>
        <v>0 Mo.</v>
      </c>
      <c r="K137" s="35"/>
      <c r="L137" s="35"/>
      <c r="M137" s="656">
        <v>6</v>
      </c>
      <c r="N137" s="657">
        <f>+BN43</f>
        <v>0</v>
      </c>
      <c r="O137" s="601"/>
      <c r="P137" s="601"/>
      <c r="Q137" s="601"/>
      <c r="R137" s="1467" t="s">
        <v>426</v>
      </c>
      <c r="S137" s="1467" t="s">
        <v>427</v>
      </c>
      <c r="T137" s="1467" t="s">
        <v>431</v>
      </c>
      <c r="U137" s="1467" t="s">
        <v>432</v>
      </c>
      <c r="V137" s="658"/>
      <c r="W137" s="658"/>
      <c r="X137" s="1467" t="s">
        <v>433</v>
      </c>
      <c r="Y137" s="601"/>
      <c r="Z137" s="1467" t="s">
        <v>426</v>
      </c>
      <c r="AA137" s="658"/>
      <c r="AB137" s="658"/>
      <c r="AC137" s="658"/>
      <c r="AD137" s="658"/>
      <c r="AE137" s="1467" t="s">
        <v>427</v>
      </c>
      <c r="AF137" s="1467" t="s">
        <v>435</v>
      </c>
      <c r="AG137" s="1467" t="s">
        <v>545</v>
      </c>
      <c r="AH137" s="1467" t="s">
        <v>546</v>
      </c>
      <c r="AI137" s="1467" t="s">
        <v>547</v>
      </c>
      <c r="AJ137" s="1467" t="s">
        <v>432</v>
      </c>
      <c r="AK137" s="1467" t="s">
        <v>433</v>
      </c>
      <c r="AL137" s="655"/>
      <c r="AM137" s="1467" t="s">
        <v>432</v>
      </c>
      <c r="AN137" s="1467" t="s">
        <v>433</v>
      </c>
      <c r="AO137" s="601"/>
      <c r="AP137" s="601"/>
      <c r="AQ137" s="601"/>
      <c r="AR137" s="601"/>
      <c r="AS137" s="601"/>
      <c r="AT137" s="601"/>
      <c r="AU137" s="601"/>
      <c r="AV137" s="601"/>
      <c r="AW137" s="601"/>
      <c r="AX137" s="601"/>
      <c r="AY137" s="601"/>
      <c r="AZ137" s="601"/>
      <c r="BA137" s="601"/>
      <c r="BB137" s="601"/>
      <c r="BC137" s="601"/>
      <c r="BD137" s="601"/>
      <c r="BE137" s="601"/>
      <c r="BF137" s="601"/>
      <c r="BG137" s="601"/>
      <c r="BH137" s="601"/>
      <c r="BI137" s="601"/>
      <c r="BJ137" s="601"/>
      <c r="BK137" s="601"/>
      <c r="BL137" s="601"/>
      <c r="BM137" s="601"/>
      <c r="BN137" s="601"/>
      <c r="BO137" s="601"/>
      <c r="BP137" s="601"/>
      <c r="BQ137" s="601"/>
      <c r="BR137" s="601"/>
      <c r="BS137" s="601"/>
      <c r="BT137" s="601"/>
      <c r="BU137" s="601"/>
      <c r="BV137" s="853"/>
      <c r="BW137" s="853"/>
      <c r="BX137" s="853"/>
      <c r="BY137" s="853"/>
      <c r="BZ137" s="853"/>
      <c r="CA137" s="853"/>
      <c r="CB137" s="853"/>
      <c r="CC137" s="853"/>
      <c r="CD137" s="853"/>
      <c r="CE137" s="853"/>
    </row>
    <row r="138" spans="1:83" s="855" customFormat="1" ht="15.75" customHeight="1" x14ac:dyDescent="0.2">
      <c r="A138" s="536" t="s">
        <v>447</v>
      </c>
      <c r="B138" s="533"/>
      <c r="C138" s="533"/>
      <c r="D138" s="534"/>
      <c r="E138" s="534"/>
      <c r="F138" s="534"/>
      <c r="G138" s="534"/>
      <c r="H138" s="534"/>
      <c r="I138" s="535" t="str">
        <f>IF(M138=0," ",M138)</f>
        <v xml:space="preserve"> </v>
      </c>
      <c r="J138" s="535" t="str">
        <f>IF(N138=0," ",N138)</f>
        <v xml:space="preserve"> </v>
      </c>
      <c r="K138" s="35"/>
      <c r="L138" s="35"/>
      <c r="M138" s="659">
        <f>+M84/12*M137</f>
        <v>0</v>
      </c>
      <c r="N138" s="660">
        <f>+N85/12*N137</f>
        <v>0</v>
      </c>
      <c r="O138" s="601"/>
      <c r="P138" s="601"/>
      <c r="Q138" s="601"/>
      <c r="R138" s="1467"/>
      <c r="S138" s="1467"/>
      <c r="T138" s="1467"/>
      <c r="U138" s="1467"/>
      <c r="V138" s="658"/>
      <c r="W138" s="658"/>
      <c r="X138" s="1467"/>
      <c r="Y138" s="601"/>
      <c r="Z138" s="1467"/>
      <c r="AA138" s="658"/>
      <c r="AB138" s="658"/>
      <c r="AC138" s="658"/>
      <c r="AD138" s="658"/>
      <c r="AE138" s="1467"/>
      <c r="AF138" s="1467"/>
      <c r="AG138" s="1467"/>
      <c r="AH138" s="1467"/>
      <c r="AI138" s="1467"/>
      <c r="AJ138" s="1467"/>
      <c r="AK138" s="1467"/>
      <c r="AL138" s="655"/>
      <c r="AM138" s="1467"/>
      <c r="AN138" s="1467"/>
      <c r="AO138" s="601"/>
      <c r="AP138" s="601"/>
      <c r="AQ138" s="601"/>
      <c r="AR138" s="601"/>
      <c r="AS138" s="601"/>
      <c r="AT138" s="601"/>
      <c r="AU138" s="601"/>
      <c r="AV138" s="601"/>
      <c r="AW138" s="601"/>
      <c r="AX138" s="601"/>
      <c r="AY138" s="601"/>
      <c r="AZ138" s="601"/>
      <c r="BA138" s="601"/>
      <c r="BB138" s="601"/>
      <c r="BC138" s="601"/>
      <c r="BD138" s="601"/>
      <c r="BE138" s="601"/>
      <c r="BF138" s="601"/>
      <c r="BG138" s="601"/>
      <c r="BH138" s="601"/>
      <c r="BI138" s="601"/>
      <c r="BJ138" s="601"/>
      <c r="BK138" s="601"/>
      <c r="BL138" s="601"/>
      <c r="BM138" s="601"/>
      <c r="BN138" s="601"/>
      <c r="BO138" s="601"/>
      <c r="BP138" s="601"/>
      <c r="BQ138" s="601"/>
      <c r="BR138" s="601"/>
      <c r="BS138" s="601"/>
      <c r="BT138" s="601"/>
      <c r="BU138" s="601"/>
      <c r="BV138" s="853"/>
      <c r="BW138" s="853"/>
      <c r="BX138" s="853"/>
      <c r="BY138" s="853"/>
      <c r="BZ138" s="853"/>
      <c r="CA138" s="853"/>
      <c r="CB138" s="853"/>
      <c r="CC138" s="853"/>
      <c r="CD138" s="853"/>
      <c r="CE138" s="853"/>
    </row>
    <row r="139" spans="1:83" s="855" customFormat="1" ht="15.75" customHeight="1" thickBot="1" x14ac:dyDescent="0.25">
      <c r="A139" s="575" t="s">
        <v>423</v>
      </c>
      <c r="B139" s="6"/>
      <c r="C139" s="6"/>
      <c r="D139" s="12"/>
      <c r="E139" s="12"/>
      <c r="F139" s="12"/>
      <c r="G139" s="12"/>
      <c r="H139" s="12"/>
      <c r="I139" s="570" t="str">
        <f>IF(M139=0," ",M139)</f>
        <v xml:space="preserve"> </v>
      </c>
      <c r="J139" s="570" t="str">
        <f>IF(N139=0," ",N139)</f>
        <v xml:space="preserve"> </v>
      </c>
      <c r="K139" s="35"/>
      <c r="L139" s="35"/>
      <c r="M139" s="659">
        <f>+M131</f>
        <v>0</v>
      </c>
      <c r="N139" s="661">
        <f>+N131</f>
        <v>0</v>
      </c>
      <c r="O139" s="601"/>
      <c r="P139" s="601"/>
      <c r="Q139" s="601"/>
      <c r="R139" s="1467"/>
      <c r="S139" s="1467"/>
      <c r="T139" s="1467"/>
      <c r="U139" s="1467"/>
      <c r="V139" s="658"/>
      <c r="W139" s="658"/>
      <c r="X139" s="1467"/>
      <c r="Y139" s="601"/>
      <c r="Z139" s="1467"/>
      <c r="AA139" s="658"/>
      <c r="AB139" s="658"/>
      <c r="AC139" s="658"/>
      <c r="AD139" s="658"/>
      <c r="AE139" s="1467"/>
      <c r="AF139" s="1467"/>
      <c r="AG139" s="1467"/>
      <c r="AH139" s="1467"/>
      <c r="AI139" s="1467"/>
      <c r="AJ139" s="1467"/>
      <c r="AK139" s="1467"/>
      <c r="AL139" s="655"/>
      <c r="AM139" s="1467"/>
      <c r="AN139" s="1467"/>
      <c r="AO139" s="601"/>
      <c r="AP139" s="601"/>
      <c r="AQ139" s="601"/>
      <c r="AR139" s="601"/>
      <c r="AS139" s="601"/>
      <c r="AT139" s="601"/>
      <c r="AU139" s="601"/>
      <c r="AV139" s="601"/>
      <c r="AW139" s="601"/>
      <c r="AX139" s="601"/>
      <c r="AY139" s="601"/>
      <c r="AZ139" s="601"/>
      <c r="BA139" s="601"/>
      <c r="BB139" s="601"/>
      <c r="BC139" s="601"/>
      <c r="BD139" s="601"/>
      <c r="BE139" s="601"/>
      <c r="BF139" s="601"/>
      <c r="BG139" s="601"/>
      <c r="BH139" s="601"/>
      <c r="BI139" s="601"/>
      <c r="BJ139" s="601"/>
      <c r="BK139" s="601"/>
      <c r="BL139" s="601"/>
      <c r="BM139" s="601"/>
      <c r="BN139" s="601"/>
      <c r="BO139" s="601"/>
      <c r="BP139" s="601"/>
      <c r="BQ139" s="601"/>
      <c r="BR139" s="601"/>
      <c r="BS139" s="601"/>
      <c r="BT139" s="601"/>
      <c r="BU139" s="601"/>
      <c r="BV139" s="853"/>
      <c r="BW139" s="853"/>
      <c r="BX139" s="853"/>
      <c r="BY139" s="853"/>
      <c r="BZ139" s="853"/>
      <c r="CA139" s="853"/>
      <c r="CB139" s="853"/>
      <c r="CC139" s="853"/>
      <c r="CD139" s="853"/>
      <c r="CE139" s="853"/>
    </row>
    <row r="140" spans="1:83" s="857" customFormat="1" ht="25.5" customHeight="1" thickBot="1" x14ac:dyDescent="0.25">
      <c r="A140" s="903" t="s">
        <v>424</v>
      </c>
      <c r="B140" s="904"/>
      <c r="C140" s="904"/>
      <c r="D140" s="905"/>
      <c r="E140" s="905"/>
      <c r="F140" s="905"/>
      <c r="G140" s="905"/>
      <c r="H140" s="905"/>
      <c r="I140" s="1020" t="str">
        <f>IF(M138&gt;0.1,IF(M138&lt;M139,"ja","nein")," ")</f>
        <v xml:space="preserve"> </v>
      </c>
      <c r="J140" s="1021" t="str">
        <f>IF(N138&gt;0.1,IF(N138&lt;N139,"ja","nein")," ")</f>
        <v xml:space="preserve"> </v>
      </c>
      <c r="K140" s="574"/>
      <c r="L140" s="574"/>
      <c r="M140" s="641"/>
      <c r="N140" s="641"/>
      <c r="O140" s="641"/>
      <c r="P140" s="641" t="s">
        <v>507</v>
      </c>
      <c r="Q140" s="641" t="s">
        <v>508</v>
      </c>
      <c r="R140" s="1467"/>
      <c r="S140" s="1467"/>
      <c r="T140" s="1467"/>
      <c r="U140" s="1467"/>
      <c r="V140" s="658"/>
      <c r="W140" s="658"/>
      <c r="X140" s="1467"/>
      <c r="Y140" s="641"/>
      <c r="Z140" s="1467"/>
      <c r="AA140" s="658"/>
      <c r="AB140" s="662"/>
      <c r="AC140" s="662"/>
      <c r="AD140" s="662"/>
      <c r="AE140" s="1467"/>
      <c r="AF140" s="1467"/>
      <c r="AG140" s="1467"/>
      <c r="AH140" s="1467"/>
      <c r="AI140" s="1467"/>
      <c r="AJ140" s="1467"/>
      <c r="AK140" s="1467"/>
      <c r="AL140" s="663"/>
      <c r="AM140" s="1467"/>
      <c r="AN140" s="1467"/>
      <c r="AO140" s="641"/>
      <c r="AP140" s="641"/>
      <c r="AQ140" s="641"/>
      <c r="AR140" s="641"/>
      <c r="AS140" s="641"/>
      <c r="AT140" s="641"/>
      <c r="AU140" s="641"/>
      <c r="AV140" s="641"/>
      <c r="AW140" s="641"/>
      <c r="AX140" s="641"/>
      <c r="AY140" s="641"/>
      <c r="AZ140" s="641"/>
      <c r="BA140" s="641"/>
      <c r="BB140" s="641"/>
      <c r="BC140" s="641"/>
      <c r="BD140" s="641"/>
      <c r="BE140" s="641"/>
      <c r="BF140" s="641"/>
      <c r="BG140" s="641"/>
      <c r="BH140" s="641"/>
      <c r="BI140" s="641"/>
      <c r="BJ140" s="641"/>
      <c r="BK140" s="641"/>
      <c r="BL140" s="641"/>
      <c r="BM140" s="641"/>
      <c r="BN140" s="641"/>
      <c r="BO140" s="641"/>
      <c r="BP140" s="641"/>
      <c r="BQ140" s="641"/>
      <c r="BR140" s="641"/>
      <c r="BS140" s="641"/>
      <c r="BT140" s="641"/>
      <c r="BU140" s="641"/>
      <c r="BV140" s="856"/>
      <c r="BW140" s="856"/>
      <c r="BX140" s="856"/>
      <c r="BY140" s="856"/>
      <c r="BZ140" s="856"/>
      <c r="CA140" s="856"/>
      <c r="CB140" s="856"/>
      <c r="CC140" s="856"/>
      <c r="CD140" s="856"/>
      <c r="CE140" s="856"/>
    </row>
    <row r="141" spans="1:83" s="855" customFormat="1" ht="15.75" customHeight="1" thickBot="1" x14ac:dyDescent="0.25">
      <c r="A141" s="41"/>
      <c r="B141" s="6"/>
      <c r="C141" s="6"/>
      <c r="D141" s="12"/>
      <c r="E141" s="12"/>
      <c r="F141" s="12"/>
      <c r="G141" s="12"/>
      <c r="H141" s="12"/>
      <c r="I141" s="35"/>
      <c r="J141" s="18"/>
      <c r="K141" s="35"/>
      <c r="L141" s="35"/>
      <c r="M141" s="601"/>
      <c r="N141" s="601"/>
      <c r="O141" s="601"/>
      <c r="P141" s="601"/>
      <c r="Q141" s="601"/>
      <c r="R141" s="1467"/>
      <c r="S141" s="1467"/>
      <c r="T141" s="1467"/>
      <c r="U141" s="1467"/>
      <c r="V141" s="658"/>
      <c r="W141" s="658"/>
      <c r="X141" s="1467"/>
      <c r="Y141" s="601"/>
      <c r="Z141" s="1467"/>
      <c r="AA141" s="658"/>
      <c r="AB141" s="658"/>
      <c r="AC141" s="658"/>
      <c r="AD141" s="658"/>
      <c r="AE141" s="1467"/>
      <c r="AF141" s="1467"/>
      <c r="AG141" s="1467"/>
      <c r="AH141" s="1467"/>
      <c r="AI141" s="1467"/>
      <c r="AJ141" s="1467"/>
      <c r="AK141" s="1467"/>
      <c r="AL141" s="655"/>
      <c r="AM141" s="1467"/>
      <c r="AN141" s="1467"/>
      <c r="AO141" s="601"/>
      <c r="AP141" s="601"/>
      <c r="AQ141" s="601"/>
      <c r="AR141" s="601"/>
      <c r="AS141" s="601"/>
      <c r="AT141" s="601"/>
      <c r="AU141" s="601"/>
      <c r="AV141" s="601"/>
      <c r="AW141" s="601"/>
      <c r="AX141" s="601"/>
      <c r="AY141" s="601"/>
      <c r="AZ141" s="601"/>
      <c r="BA141" s="601"/>
      <c r="BB141" s="601"/>
      <c r="BC141" s="601"/>
      <c r="BD141" s="601"/>
      <c r="BE141" s="601"/>
      <c r="BF141" s="601"/>
      <c r="BG141" s="601"/>
      <c r="BH141" s="601"/>
      <c r="BI141" s="601"/>
      <c r="BJ141" s="601"/>
      <c r="BK141" s="601"/>
      <c r="BL141" s="601"/>
      <c r="BM141" s="601"/>
      <c r="BN141" s="601"/>
      <c r="BO141" s="601"/>
      <c r="BP141" s="601"/>
      <c r="BQ141" s="601"/>
      <c r="BR141" s="601"/>
      <c r="BS141" s="601"/>
      <c r="BT141" s="601"/>
      <c r="BU141" s="601"/>
      <c r="BV141" s="853"/>
      <c r="BW141" s="853"/>
      <c r="BX141" s="853"/>
      <c r="BY141" s="853"/>
      <c r="BZ141" s="853"/>
      <c r="CA141" s="853"/>
      <c r="CB141" s="853"/>
      <c r="CC141" s="853"/>
      <c r="CD141" s="853"/>
      <c r="CE141" s="853"/>
    </row>
    <row r="142" spans="1:83" s="855" customFormat="1" ht="26.25" customHeight="1" thickBot="1" x14ac:dyDescent="0.25">
      <c r="A142" s="947" t="s">
        <v>448</v>
      </c>
      <c r="B142" s="948"/>
      <c r="C142" s="948"/>
      <c r="D142" s="948"/>
      <c r="E142" s="948"/>
      <c r="F142" s="948"/>
      <c r="G142" s="948"/>
      <c r="H142" s="949"/>
      <c r="I142" s="950" t="s">
        <v>391</v>
      </c>
      <c r="J142" s="944" t="s">
        <v>392</v>
      </c>
      <c r="K142" s="35"/>
      <c r="L142" s="35"/>
      <c r="M142" s="694">
        <f>IF(I85=0,"0",ROUND(M143,1))</f>
        <v>9</v>
      </c>
      <c r="N142" s="694">
        <f>ROUND(N143,1)</f>
        <v>0</v>
      </c>
      <c r="O142" s="601"/>
      <c r="P142" s="601"/>
      <c r="Q142" s="601"/>
      <c r="R142" s="1467"/>
      <c r="S142" s="1467"/>
      <c r="T142" s="1467"/>
      <c r="U142" s="1467"/>
      <c r="V142" s="658"/>
      <c r="W142" s="658"/>
      <c r="X142" s="1467"/>
      <c r="Y142" s="601"/>
      <c r="Z142" s="1467"/>
      <c r="AA142" s="658"/>
      <c r="AB142" s="658"/>
      <c r="AC142" s="658"/>
      <c r="AD142" s="658"/>
      <c r="AE142" s="1467"/>
      <c r="AF142" s="1467"/>
      <c r="AG142" s="1467"/>
      <c r="AH142" s="1467"/>
      <c r="AI142" s="1467"/>
      <c r="AJ142" s="1467"/>
      <c r="AK142" s="1467"/>
      <c r="AL142" s="655"/>
      <c r="AM142" s="1467"/>
      <c r="AN142" s="1467"/>
      <c r="AO142" s="601"/>
      <c r="AP142" s="601"/>
      <c r="AQ142" s="601"/>
      <c r="AR142" s="601"/>
      <c r="AS142" s="601"/>
      <c r="AT142" s="601"/>
      <c r="AU142" s="601"/>
      <c r="AV142" s="601"/>
      <c r="AW142" s="601"/>
      <c r="AX142" s="601"/>
      <c r="AY142" s="601"/>
      <c r="AZ142" s="601"/>
      <c r="BA142" s="601"/>
      <c r="BB142" s="601"/>
      <c r="BC142" s="601"/>
      <c r="BD142" s="601"/>
      <c r="BE142" s="601"/>
      <c r="BF142" s="601"/>
      <c r="BG142" s="601"/>
      <c r="BH142" s="601"/>
      <c r="BI142" s="601"/>
      <c r="BJ142" s="601"/>
      <c r="BK142" s="601"/>
      <c r="BL142" s="601"/>
      <c r="BM142" s="601"/>
      <c r="BN142" s="601"/>
      <c r="BO142" s="601"/>
      <c r="BP142" s="601"/>
      <c r="BQ142" s="601"/>
      <c r="BR142" s="601"/>
      <c r="BS142" s="601"/>
      <c r="BT142" s="601"/>
      <c r="BU142" s="601"/>
      <c r="BV142" s="853"/>
      <c r="BW142" s="853"/>
      <c r="BX142" s="853"/>
      <c r="BY142" s="853"/>
      <c r="BZ142" s="853"/>
      <c r="CA142" s="853"/>
      <c r="CB142" s="853"/>
      <c r="CC142" s="853"/>
      <c r="CD142" s="853"/>
      <c r="CE142" s="853"/>
    </row>
    <row r="143" spans="1:83" s="855" customFormat="1" ht="15.75" customHeight="1" thickBot="1" x14ac:dyDescent="0.25">
      <c r="A143" s="3" t="s">
        <v>418</v>
      </c>
      <c r="B143" s="4"/>
      <c r="C143" s="4"/>
      <c r="D143" s="4"/>
      <c r="E143" s="4"/>
      <c r="F143" s="4"/>
      <c r="G143" s="4"/>
      <c r="H143" s="568"/>
      <c r="I143" s="587" t="str">
        <f>CONCATENATE(M142," Mo.")</f>
        <v>9 Mo.</v>
      </c>
      <c r="J143" s="587" t="str">
        <f>CONCATENATE(N142," Mo.")</f>
        <v>0 Mo.</v>
      </c>
      <c r="K143" s="35"/>
      <c r="L143" s="35"/>
      <c r="M143" s="664">
        <f>IF(R144=0,9,IF(S144&gt;3,(6*AM144+9*AN144)/100,6))</f>
        <v>9</v>
      </c>
      <c r="N143" s="665">
        <f>+BO43</f>
        <v>0</v>
      </c>
      <c r="O143" s="601"/>
      <c r="P143" s="601"/>
      <c r="Q143" s="601"/>
      <c r="R143" s="1467"/>
      <c r="S143" s="1467"/>
      <c r="T143" s="1467"/>
      <c r="U143" s="1467"/>
      <c r="V143" s="658"/>
      <c r="W143" s="658"/>
      <c r="X143" s="1467"/>
      <c r="Y143" s="658"/>
      <c r="Z143" s="1467"/>
      <c r="AA143" s="658"/>
      <c r="AB143" s="658"/>
      <c r="AC143" s="658"/>
      <c r="AD143" s="658"/>
      <c r="AE143" s="1467"/>
      <c r="AF143" s="1467"/>
      <c r="AG143" s="1467"/>
      <c r="AH143" s="1467"/>
      <c r="AI143" s="1467"/>
      <c r="AJ143" s="1467"/>
      <c r="AK143" s="1467"/>
      <c r="AL143" s="655"/>
      <c r="AM143" s="1467"/>
      <c r="AN143" s="1467"/>
      <c r="AO143" s="601"/>
      <c r="AP143" s="601"/>
      <c r="AQ143" s="601"/>
      <c r="AR143" s="601"/>
      <c r="AS143" s="601"/>
      <c r="AT143" s="601"/>
      <c r="AU143" s="601"/>
      <c r="AV143" s="601"/>
      <c r="AW143" s="601"/>
      <c r="AX143" s="601"/>
      <c r="AY143" s="601"/>
      <c r="AZ143" s="601"/>
      <c r="BA143" s="601"/>
      <c r="BB143" s="601"/>
      <c r="BC143" s="601"/>
      <c r="BD143" s="601"/>
      <c r="BE143" s="601"/>
      <c r="BF143" s="601"/>
      <c r="BG143" s="601"/>
      <c r="BH143" s="601"/>
      <c r="BI143" s="601"/>
      <c r="BJ143" s="601"/>
      <c r="BK143" s="601"/>
      <c r="BL143" s="601"/>
      <c r="BM143" s="601"/>
      <c r="BN143" s="601"/>
      <c r="BO143" s="601"/>
      <c r="BP143" s="601"/>
      <c r="BQ143" s="601"/>
      <c r="BR143" s="601"/>
      <c r="BS143" s="601"/>
      <c r="BT143" s="601"/>
      <c r="BU143" s="601"/>
      <c r="BV143" s="853"/>
      <c r="BW143" s="853"/>
      <c r="BX143" s="853"/>
      <c r="BY143" s="853"/>
      <c r="BZ143" s="853"/>
      <c r="CA143" s="853"/>
      <c r="CB143" s="853"/>
      <c r="CC143" s="853"/>
      <c r="CD143" s="853"/>
      <c r="CE143" s="853"/>
    </row>
    <row r="144" spans="1:83" s="855" customFormat="1" ht="15.75" customHeight="1" thickBot="1" x14ac:dyDescent="0.25">
      <c r="A144" s="7" t="s">
        <v>544</v>
      </c>
      <c r="B144" s="8"/>
      <c r="C144" s="8"/>
      <c r="D144" s="8"/>
      <c r="E144" s="8"/>
      <c r="F144" s="8"/>
      <c r="G144" s="8"/>
      <c r="H144" s="9"/>
      <c r="I144" s="459" t="str">
        <f>IF(M144=0," ",M144)</f>
        <v xml:space="preserve"> </v>
      </c>
      <c r="J144" s="459" t="str">
        <f>IF(N144=0," ",N144)</f>
        <v xml:space="preserve"> </v>
      </c>
      <c r="K144" s="35"/>
      <c r="L144" s="35"/>
      <c r="M144" s="666">
        <f>+M84/12*M143</f>
        <v>0</v>
      </c>
      <c r="N144" s="667">
        <f>+N85/12*N143</f>
        <v>0</v>
      </c>
      <c r="O144" s="601"/>
      <c r="P144" s="601"/>
      <c r="Q144" s="601"/>
      <c r="R144" s="668">
        <f>+F6-G7+F8-G9</f>
        <v>0</v>
      </c>
      <c r="S144" s="668" t="e">
        <f>+AT48/R144</f>
        <v>#DIV/0!</v>
      </c>
      <c r="T144" s="668">
        <f>R48/170</f>
        <v>0</v>
      </c>
      <c r="U144" s="669" t="e">
        <f>IF(R144+F11&gt;T144,100,(1-(T144-R144-F11)/T144)*100)</f>
        <v>#DIV/0!</v>
      </c>
      <c r="V144" s="668"/>
      <c r="W144" s="668"/>
      <c r="X144" s="669" t="e">
        <f>100-U144</f>
        <v>#DIV/0!</v>
      </c>
      <c r="Y144" s="601"/>
      <c r="Z144" s="601">
        <f>+R144</f>
        <v>0</v>
      </c>
      <c r="AA144" s="601"/>
      <c r="AB144" s="601"/>
      <c r="AC144" s="601"/>
      <c r="AD144" s="601"/>
      <c r="AE144" s="601" t="e">
        <f>+S144</f>
        <v>#DIV/0!</v>
      </c>
      <c r="AF144" s="655">
        <f>+F8-G9</f>
        <v>0</v>
      </c>
      <c r="AG144" s="655">
        <f>+S48/255</f>
        <v>0</v>
      </c>
      <c r="AH144" s="655">
        <f>IF(AF144&lt;AG144,AF144,AG144)</f>
        <v>0</v>
      </c>
      <c r="AI144" s="643">
        <f>+AH144*255</f>
        <v>0</v>
      </c>
      <c r="AJ144" s="669" t="e">
        <f>+(AI144/R48)*100</f>
        <v>#DIV/0!</v>
      </c>
      <c r="AK144" s="669" t="e">
        <f>100-AJ144</f>
        <v>#DIV/0!</v>
      </c>
      <c r="AL144" s="655"/>
      <c r="AM144" s="669" t="e">
        <f>+(AJ144*T13+U144*(100-T13))/100</f>
        <v>#DIV/0!</v>
      </c>
      <c r="AN144" s="669" t="e">
        <f>100-AM144</f>
        <v>#DIV/0!</v>
      </c>
      <c r="AO144" s="601"/>
      <c r="AP144" s="601"/>
      <c r="AQ144" s="601"/>
      <c r="AR144" s="601"/>
      <c r="AS144" s="601"/>
      <c r="AT144" s="601"/>
      <c r="AU144" s="601"/>
      <c r="AV144" s="601"/>
      <c r="AW144" s="601"/>
      <c r="AX144" s="601"/>
      <c r="AY144" s="601"/>
      <c r="AZ144" s="601"/>
      <c r="BA144" s="601"/>
      <c r="BB144" s="601"/>
      <c r="BC144" s="601"/>
      <c r="BD144" s="601"/>
      <c r="BE144" s="601"/>
      <c r="BF144" s="601"/>
      <c r="BG144" s="601"/>
      <c r="BH144" s="601"/>
      <c r="BI144" s="601"/>
      <c r="BJ144" s="601"/>
      <c r="BK144" s="601"/>
      <c r="BL144" s="601"/>
      <c r="BM144" s="601"/>
      <c r="BN144" s="601"/>
      <c r="BO144" s="601"/>
      <c r="BP144" s="601"/>
      <c r="BQ144" s="601"/>
      <c r="BR144" s="601"/>
      <c r="BS144" s="601"/>
      <c r="BT144" s="601"/>
      <c r="BU144" s="601"/>
      <c r="BV144" s="853"/>
      <c r="BW144" s="853"/>
      <c r="BX144" s="853"/>
      <c r="BY144" s="853"/>
      <c r="BZ144" s="853"/>
      <c r="CA144" s="853"/>
      <c r="CB144" s="853"/>
      <c r="CC144" s="853"/>
      <c r="CD144" s="853"/>
      <c r="CE144" s="853"/>
    </row>
    <row r="145" spans="1:83" s="855" customFormat="1" ht="9.75" customHeight="1" x14ac:dyDescent="0.2">
      <c r="A145" s="62" t="s">
        <v>457</v>
      </c>
      <c r="B145" s="687" t="str">
        <f>IF(F5=0,"Betrieb ohne Fläche",S144)</f>
        <v>Betrieb ohne Fläche</v>
      </c>
      <c r="C145" s="6"/>
      <c r="D145" s="6"/>
      <c r="E145" s="6"/>
      <c r="F145" s="6"/>
      <c r="G145" s="6"/>
      <c r="H145" s="12"/>
      <c r="I145" s="688"/>
      <c r="J145" s="688"/>
      <c r="K145" s="35"/>
      <c r="L145" s="35"/>
      <c r="M145" s="633"/>
      <c r="N145" s="633"/>
      <c r="O145" s="601"/>
      <c r="P145" s="601"/>
      <c r="Q145" s="601"/>
      <c r="R145" s="668"/>
      <c r="S145" s="668"/>
      <c r="T145" s="668"/>
      <c r="U145" s="668"/>
      <c r="V145" s="668"/>
      <c r="W145" s="668"/>
      <c r="X145" s="668"/>
      <c r="Y145" s="601"/>
      <c r="Z145" s="601"/>
      <c r="AA145" s="601"/>
      <c r="AB145" s="601"/>
      <c r="AC145" s="601"/>
      <c r="AD145" s="601"/>
      <c r="AE145" s="601"/>
      <c r="AF145" s="655"/>
      <c r="AG145" s="655"/>
      <c r="AH145" s="655"/>
      <c r="AI145" s="601"/>
      <c r="AJ145" s="668"/>
      <c r="AK145" s="668"/>
      <c r="AL145" s="655"/>
      <c r="AM145" s="669"/>
      <c r="AN145" s="668"/>
      <c r="AO145" s="601"/>
      <c r="AP145" s="601"/>
      <c r="AQ145" s="601"/>
      <c r="AR145" s="601"/>
      <c r="AS145" s="601"/>
      <c r="AT145" s="601"/>
      <c r="AU145" s="601"/>
      <c r="AV145" s="601"/>
      <c r="AW145" s="601"/>
      <c r="AX145" s="601"/>
      <c r="AY145" s="601"/>
      <c r="AZ145" s="601"/>
      <c r="BA145" s="601"/>
      <c r="BB145" s="601"/>
      <c r="BC145" s="601"/>
      <c r="BD145" s="601"/>
      <c r="BE145" s="601"/>
      <c r="BF145" s="601"/>
      <c r="BG145" s="601"/>
      <c r="BH145" s="601"/>
      <c r="BI145" s="601"/>
      <c r="BJ145" s="601"/>
      <c r="BK145" s="601"/>
      <c r="BL145" s="601"/>
      <c r="BM145" s="601"/>
      <c r="BN145" s="601"/>
      <c r="BO145" s="601"/>
      <c r="BP145" s="601"/>
      <c r="BQ145" s="601"/>
      <c r="BR145" s="601"/>
      <c r="BS145" s="601"/>
      <c r="BT145" s="601"/>
      <c r="BU145" s="601"/>
      <c r="BV145" s="853"/>
      <c r="BW145" s="853"/>
      <c r="BX145" s="853"/>
      <c r="BY145" s="853"/>
      <c r="BZ145" s="853"/>
      <c r="CA145" s="853"/>
      <c r="CB145" s="853"/>
      <c r="CC145" s="853"/>
      <c r="CD145" s="853"/>
      <c r="CE145" s="853"/>
    </row>
    <row r="146" spans="1:83" s="855" customFormat="1" ht="18.75" customHeight="1" x14ac:dyDescent="0.2">
      <c r="A146" s="866" t="str">
        <f>IF(M48=0," ",IF(M146=" "," ",IF(M146&lt;=10," ",IF(M146&gt;10,"Achtung: Anlagenverordnung beachten; Gärsaft + verunreinigtes Wasser &gt; 10 % des Anfalls"))))</f>
        <v xml:space="preserve"> </v>
      </c>
      <c r="B146" s="38"/>
      <c r="C146" s="6"/>
      <c r="D146" s="6"/>
      <c r="E146" s="6"/>
      <c r="F146" s="6"/>
      <c r="G146" s="6"/>
      <c r="H146" s="12"/>
      <c r="I146" s="12"/>
      <c r="J146" s="35"/>
      <c r="K146" s="35"/>
      <c r="L146" s="35"/>
      <c r="M146" s="647" t="e">
        <f>((M46+M43)/I49)*100</f>
        <v>#VALUE!</v>
      </c>
      <c r="N146" s="601"/>
      <c r="O146" s="601"/>
      <c r="P146" s="601"/>
      <c r="Q146" s="601"/>
      <c r="R146" s="601"/>
      <c r="S146" s="601"/>
      <c r="T146" s="601"/>
      <c r="U146" s="601"/>
      <c r="V146" s="601"/>
      <c r="W146" s="601"/>
      <c r="X146" s="601"/>
      <c r="Y146" s="601"/>
      <c r="Z146" s="601"/>
      <c r="AA146" s="601"/>
      <c r="AB146" s="601"/>
      <c r="AC146" s="601"/>
      <c r="AD146" s="601"/>
      <c r="AE146" s="601"/>
      <c r="AF146" s="601"/>
      <c r="AG146" s="601"/>
      <c r="AH146" s="601"/>
      <c r="AI146" s="601"/>
      <c r="AJ146" s="601"/>
      <c r="AK146" s="601"/>
      <c r="AL146" s="601"/>
      <c r="AM146" s="601"/>
      <c r="AN146" s="601"/>
      <c r="AO146" s="601"/>
      <c r="AP146" s="601"/>
      <c r="AQ146" s="601"/>
      <c r="AR146" s="601"/>
      <c r="AS146" s="601"/>
      <c r="AT146" s="601"/>
      <c r="AU146" s="601"/>
      <c r="AV146" s="601"/>
      <c r="AW146" s="601"/>
      <c r="AX146" s="601"/>
      <c r="AY146" s="601"/>
      <c r="AZ146" s="601"/>
      <c r="BA146" s="601"/>
      <c r="BB146" s="601"/>
      <c r="BC146" s="601"/>
      <c r="BD146" s="601"/>
      <c r="BE146" s="601"/>
      <c r="BF146" s="601"/>
      <c r="BG146" s="601"/>
      <c r="BH146" s="601"/>
      <c r="BI146" s="601"/>
      <c r="BJ146" s="601"/>
      <c r="BK146" s="601"/>
      <c r="BL146" s="601"/>
      <c r="BM146" s="601"/>
      <c r="BN146" s="601"/>
      <c r="BO146" s="601"/>
      <c r="BP146" s="601"/>
      <c r="BQ146" s="601"/>
      <c r="BR146" s="601"/>
      <c r="BS146" s="601"/>
      <c r="BT146" s="601"/>
      <c r="BU146" s="601"/>
      <c r="BV146" s="853"/>
      <c r="BW146" s="853"/>
      <c r="BX146" s="853"/>
      <c r="BY146" s="853"/>
      <c r="BZ146" s="853"/>
      <c r="CA146" s="853"/>
      <c r="CB146" s="853"/>
      <c r="CC146" s="853"/>
      <c r="CD146" s="853"/>
      <c r="CE146" s="853"/>
    </row>
    <row r="147" spans="1:83" s="859" customFormat="1" ht="10.5" customHeight="1" x14ac:dyDescent="0.2">
      <c r="A147" s="532" t="s">
        <v>540</v>
      </c>
      <c r="B147" s="30"/>
      <c r="C147" s="30"/>
      <c r="D147" s="30"/>
      <c r="E147" s="30"/>
      <c r="F147" s="30"/>
      <c r="G147" s="30"/>
      <c r="H147" s="30"/>
      <c r="I147" s="30"/>
      <c r="J147" s="30"/>
      <c r="K147" s="47"/>
      <c r="L147" s="47"/>
      <c r="M147" s="670"/>
      <c r="N147" s="670"/>
      <c r="O147" s="670"/>
      <c r="P147" s="670"/>
      <c r="Q147" s="670"/>
      <c r="R147" s="670"/>
      <c r="S147" s="670"/>
      <c r="T147" s="670"/>
      <c r="U147" s="670"/>
      <c r="V147" s="670"/>
      <c r="W147" s="670"/>
      <c r="X147" s="670"/>
      <c r="Y147" s="670"/>
      <c r="Z147" s="670"/>
      <c r="AA147" s="670"/>
      <c r="AB147" s="670"/>
      <c r="AC147" s="670"/>
      <c r="AD147" s="670"/>
      <c r="AE147" s="670"/>
      <c r="AF147" s="670"/>
      <c r="AG147" s="670"/>
      <c r="AH147" s="670"/>
      <c r="AI147" s="670"/>
      <c r="AJ147" s="670"/>
      <c r="AK147" s="670"/>
      <c r="AL147" s="670"/>
      <c r="AM147" s="670"/>
      <c r="AN147" s="670"/>
      <c r="AO147" s="670"/>
      <c r="AP147" s="670"/>
      <c r="AQ147" s="670"/>
      <c r="AR147" s="670"/>
      <c r="AS147" s="670"/>
      <c r="AT147" s="670"/>
      <c r="AU147" s="670"/>
      <c r="AV147" s="670"/>
      <c r="AW147" s="670"/>
      <c r="AX147" s="670"/>
      <c r="AY147" s="670"/>
      <c r="AZ147" s="670"/>
      <c r="BA147" s="670"/>
      <c r="BB147" s="670"/>
      <c r="BC147" s="670"/>
      <c r="BD147" s="670"/>
      <c r="BE147" s="670"/>
      <c r="BF147" s="670"/>
      <c r="BG147" s="670"/>
      <c r="BH147" s="670"/>
      <c r="BI147" s="670"/>
      <c r="BJ147" s="670"/>
      <c r="BK147" s="670"/>
      <c r="BL147" s="670"/>
      <c r="BM147" s="670"/>
      <c r="BN147" s="670"/>
      <c r="BO147" s="670"/>
      <c r="BP147" s="670"/>
      <c r="BQ147" s="670"/>
      <c r="BR147" s="670"/>
      <c r="BS147" s="670"/>
      <c r="BT147" s="670"/>
      <c r="BU147" s="670"/>
      <c r="BV147" s="861"/>
      <c r="BW147" s="861"/>
      <c r="BX147" s="861"/>
      <c r="BY147" s="861"/>
      <c r="BZ147" s="861"/>
      <c r="CA147" s="861"/>
      <c r="CB147" s="861"/>
      <c r="CC147" s="861"/>
      <c r="CD147" s="861"/>
      <c r="CE147" s="861"/>
    </row>
    <row r="148" spans="1:83" s="859" customFormat="1" ht="10.5" customHeight="1" x14ac:dyDescent="0.2">
      <c r="A148" s="532" t="s">
        <v>543</v>
      </c>
      <c r="B148" s="532"/>
      <c r="C148" s="532"/>
      <c r="D148" s="532"/>
      <c r="E148" s="532"/>
      <c r="F148" s="532"/>
      <c r="G148" s="532"/>
      <c r="H148" s="532"/>
      <c r="I148" s="532"/>
      <c r="J148" s="30"/>
      <c r="K148" s="47"/>
      <c r="L148" s="47"/>
      <c r="M148" s="670"/>
      <c r="N148" s="670"/>
      <c r="O148" s="670"/>
      <c r="P148" s="670"/>
      <c r="Q148" s="670"/>
      <c r="R148" s="670"/>
      <c r="S148" s="670"/>
      <c r="T148" s="670"/>
      <c r="U148" s="670"/>
      <c r="V148" s="670"/>
      <c r="W148" s="670"/>
      <c r="X148" s="670"/>
      <c r="Y148" s="670"/>
      <c r="Z148" s="670"/>
      <c r="AA148" s="670"/>
      <c r="AB148" s="670"/>
      <c r="AC148" s="670"/>
      <c r="AD148" s="670"/>
      <c r="AE148" s="670"/>
      <c r="AF148" s="670"/>
      <c r="AG148" s="670"/>
      <c r="AH148" s="670"/>
      <c r="AI148" s="670"/>
      <c r="AJ148" s="670"/>
      <c r="AK148" s="670"/>
      <c r="AL148" s="670"/>
      <c r="AM148" s="670"/>
      <c r="AN148" s="670"/>
      <c r="AO148" s="670"/>
      <c r="AP148" s="670"/>
      <c r="AQ148" s="670"/>
      <c r="AR148" s="670"/>
      <c r="AS148" s="670"/>
      <c r="AT148" s="670"/>
      <c r="AU148" s="670"/>
      <c r="AV148" s="670"/>
      <c r="AW148" s="670"/>
      <c r="AX148" s="670"/>
      <c r="AY148" s="670"/>
      <c r="AZ148" s="670"/>
      <c r="BA148" s="670"/>
      <c r="BB148" s="670"/>
      <c r="BC148" s="670"/>
      <c r="BD148" s="670"/>
      <c r="BE148" s="670"/>
      <c r="BF148" s="670"/>
      <c r="BG148" s="670"/>
      <c r="BH148" s="670"/>
      <c r="BI148" s="670"/>
      <c r="BJ148" s="670"/>
      <c r="BK148" s="670"/>
      <c r="BL148" s="670"/>
      <c r="BM148" s="670"/>
      <c r="BN148" s="670"/>
      <c r="BO148" s="670"/>
      <c r="BP148" s="670"/>
      <c r="BQ148" s="670"/>
      <c r="BR148" s="670"/>
      <c r="BS148" s="670"/>
      <c r="BT148" s="670"/>
      <c r="BU148" s="670"/>
      <c r="BV148" s="861"/>
      <c r="BW148" s="861"/>
      <c r="BX148" s="861"/>
      <c r="BY148" s="861"/>
      <c r="BZ148" s="861"/>
      <c r="CA148" s="861"/>
      <c r="CB148" s="861"/>
      <c r="CC148" s="861"/>
      <c r="CD148" s="861"/>
      <c r="CE148" s="861"/>
    </row>
    <row r="149" spans="1:83" s="859" customFormat="1" ht="10.5" customHeight="1" x14ac:dyDescent="0.2">
      <c r="A149" s="52" t="s">
        <v>541</v>
      </c>
      <c r="B149" s="30"/>
      <c r="C149" s="30"/>
      <c r="D149" s="30"/>
      <c r="E149" s="30"/>
      <c r="F149" s="30"/>
      <c r="G149" s="30"/>
      <c r="H149" s="30"/>
      <c r="I149" s="30"/>
      <c r="J149" s="13"/>
      <c r="K149" s="47"/>
      <c r="L149" s="47"/>
      <c r="M149" s="670"/>
      <c r="N149" s="670"/>
      <c r="O149" s="670"/>
      <c r="P149" s="670"/>
      <c r="Q149" s="670"/>
      <c r="R149" s="670"/>
      <c r="S149" s="670"/>
      <c r="T149" s="670"/>
      <c r="U149" s="670"/>
      <c r="V149" s="670"/>
      <c r="W149" s="670"/>
      <c r="X149" s="670"/>
      <c r="Y149" s="670"/>
      <c r="Z149" s="670"/>
      <c r="AA149" s="670"/>
      <c r="AB149" s="670"/>
      <c r="AC149" s="670"/>
      <c r="AD149" s="670"/>
      <c r="AE149" s="670"/>
      <c r="AF149" s="670"/>
      <c r="AG149" s="670"/>
      <c r="AH149" s="670"/>
      <c r="AI149" s="670"/>
      <c r="AJ149" s="670"/>
      <c r="AK149" s="670"/>
      <c r="AL149" s="670"/>
      <c r="AM149" s="670"/>
      <c r="AN149" s="670"/>
      <c r="AO149" s="670"/>
      <c r="AP149" s="670"/>
      <c r="AQ149" s="670"/>
      <c r="AR149" s="670"/>
      <c r="AS149" s="670"/>
      <c r="AT149" s="670"/>
      <c r="AU149" s="670"/>
      <c r="AV149" s="670"/>
      <c r="AW149" s="670"/>
      <c r="AX149" s="670"/>
      <c r="AY149" s="670"/>
      <c r="AZ149" s="670"/>
      <c r="BA149" s="670"/>
      <c r="BB149" s="670"/>
      <c r="BC149" s="670"/>
      <c r="BD149" s="670"/>
      <c r="BE149" s="670"/>
      <c r="BF149" s="670"/>
      <c r="BG149" s="670"/>
      <c r="BH149" s="670"/>
      <c r="BI149" s="670"/>
      <c r="BJ149" s="670"/>
      <c r="BK149" s="670"/>
      <c r="BL149" s="670"/>
      <c r="BM149" s="670"/>
      <c r="BN149" s="670"/>
      <c r="BO149" s="670"/>
      <c r="BP149" s="670"/>
      <c r="BQ149" s="670"/>
      <c r="BR149" s="670"/>
      <c r="BS149" s="670"/>
      <c r="BT149" s="670"/>
      <c r="BU149" s="670"/>
      <c r="BV149" s="861"/>
      <c r="BW149" s="861"/>
      <c r="BX149" s="861"/>
      <c r="BY149" s="861"/>
      <c r="BZ149" s="861"/>
      <c r="CA149" s="861"/>
      <c r="CB149" s="861"/>
      <c r="CC149" s="861"/>
      <c r="CD149" s="861"/>
      <c r="CE149" s="861"/>
    </row>
    <row r="150" spans="1:83" s="859" customFormat="1" ht="10.5" customHeight="1" x14ac:dyDescent="0.2">
      <c r="A150" s="52" t="s">
        <v>538</v>
      </c>
      <c r="B150" s="30"/>
      <c r="C150" s="30"/>
      <c r="D150" s="30"/>
      <c r="E150" s="30"/>
      <c r="F150" s="30"/>
      <c r="G150" s="30"/>
      <c r="H150" s="30"/>
      <c r="I150" s="30"/>
      <c r="J150" s="532"/>
      <c r="K150" s="47"/>
      <c r="L150" s="47"/>
      <c r="M150" s="670"/>
      <c r="N150" s="670"/>
      <c r="O150" s="670"/>
      <c r="P150" s="670"/>
      <c r="Q150" s="670"/>
      <c r="R150" s="670"/>
      <c r="S150" s="670"/>
      <c r="T150" s="670"/>
      <c r="U150" s="670"/>
      <c r="V150" s="670"/>
      <c r="W150" s="670"/>
      <c r="X150" s="670"/>
      <c r="Y150" s="670"/>
      <c r="Z150" s="670"/>
      <c r="AA150" s="670"/>
      <c r="AB150" s="670"/>
      <c r="AC150" s="670"/>
      <c r="AD150" s="670"/>
      <c r="AE150" s="670"/>
      <c r="AF150" s="670"/>
      <c r="AG150" s="670"/>
      <c r="AH150" s="670"/>
      <c r="AI150" s="670"/>
      <c r="AJ150" s="670"/>
      <c r="AK150" s="670"/>
      <c r="AL150" s="670"/>
      <c r="AM150" s="670"/>
      <c r="AN150" s="670"/>
      <c r="AO150" s="670"/>
      <c r="AP150" s="670"/>
      <c r="AQ150" s="670"/>
      <c r="AR150" s="670"/>
      <c r="AS150" s="670"/>
      <c r="AT150" s="670"/>
      <c r="AU150" s="670"/>
      <c r="AV150" s="670"/>
      <c r="AW150" s="670"/>
      <c r="AX150" s="670"/>
      <c r="AY150" s="670"/>
      <c r="AZ150" s="670"/>
      <c r="BA150" s="670"/>
      <c r="BB150" s="670"/>
      <c r="BC150" s="670"/>
      <c r="BD150" s="670"/>
      <c r="BE150" s="670"/>
      <c r="BF150" s="670"/>
      <c r="BG150" s="670"/>
      <c r="BH150" s="670"/>
      <c r="BI150" s="670"/>
      <c r="BJ150" s="670"/>
      <c r="BK150" s="670"/>
      <c r="BL150" s="670"/>
      <c r="BM150" s="670"/>
      <c r="BN150" s="670"/>
      <c r="BO150" s="670"/>
      <c r="BP150" s="670"/>
      <c r="BQ150" s="670"/>
      <c r="BR150" s="670"/>
      <c r="BS150" s="670"/>
      <c r="BT150" s="670"/>
      <c r="BU150" s="670"/>
      <c r="BV150" s="861"/>
      <c r="BW150" s="861"/>
      <c r="BX150" s="861"/>
      <c r="BY150" s="861"/>
      <c r="BZ150" s="861"/>
      <c r="CA150" s="861"/>
      <c r="CB150" s="861"/>
      <c r="CC150" s="861"/>
      <c r="CD150" s="861"/>
      <c r="CE150" s="861"/>
    </row>
    <row r="151" spans="1:83" s="859" customFormat="1" ht="7.5" customHeight="1" x14ac:dyDescent="0.2">
      <c r="A151" s="532"/>
      <c r="B151" s="30"/>
      <c r="C151" s="30"/>
      <c r="D151" s="30"/>
      <c r="E151" s="30"/>
      <c r="F151" s="30"/>
      <c r="G151" s="30"/>
      <c r="H151" s="30"/>
      <c r="I151" s="30"/>
      <c r="J151" s="13"/>
      <c r="K151" s="47"/>
      <c r="L151" s="47"/>
      <c r="M151" s="670"/>
      <c r="N151" s="670"/>
      <c r="O151" s="670"/>
      <c r="P151" s="670"/>
      <c r="Q151" s="670"/>
      <c r="R151" s="670"/>
      <c r="S151" s="670"/>
      <c r="T151" s="670"/>
      <c r="U151" s="670"/>
      <c r="V151" s="670"/>
      <c r="W151" s="670"/>
      <c r="X151" s="670"/>
      <c r="Y151" s="670"/>
      <c r="Z151" s="670"/>
      <c r="AA151" s="670"/>
      <c r="AB151" s="670"/>
      <c r="AC151" s="670"/>
      <c r="AD151" s="670"/>
      <c r="AE151" s="670"/>
      <c r="AF151" s="670"/>
      <c r="AG151" s="670"/>
      <c r="AH151" s="670"/>
      <c r="AI151" s="670"/>
      <c r="AJ151" s="670"/>
      <c r="AK151" s="670"/>
      <c r="AL151" s="670"/>
      <c r="AM151" s="670"/>
      <c r="AN151" s="670"/>
      <c r="AO151" s="670"/>
      <c r="AP151" s="670"/>
      <c r="AQ151" s="670"/>
      <c r="AR151" s="670"/>
      <c r="AS151" s="670"/>
      <c r="AT151" s="670"/>
      <c r="AU151" s="670"/>
      <c r="AV151" s="670"/>
      <c r="AW151" s="670"/>
      <c r="AX151" s="670"/>
      <c r="AY151" s="670"/>
      <c r="AZ151" s="670"/>
      <c r="BA151" s="670"/>
      <c r="BB151" s="670"/>
      <c r="BC151" s="670"/>
      <c r="BD151" s="670"/>
      <c r="BE151" s="670"/>
      <c r="BF151" s="670"/>
      <c r="BG151" s="670"/>
      <c r="BH151" s="670"/>
      <c r="BI151" s="670"/>
      <c r="BJ151" s="670"/>
      <c r="BK151" s="670"/>
      <c r="BL151" s="670"/>
      <c r="BM151" s="670"/>
      <c r="BN151" s="670"/>
      <c r="BO151" s="670"/>
      <c r="BP151" s="670"/>
      <c r="BQ151" s="670"/>
      <c r="BR151" s="670"/>
      <c r="BS151" s="670"/>
      <c r="BT151" s="670"/>
      <c r="BU151" s="670"/>
      <c r="BV151" s="861"/>
      <c r="BW151" s="861"/>
      <c r="BX151" s="861"/>
      <c r="BY151" s="861"/>
      <c r="BZ151" s="861"/>
      <c r="CA151" s="861"/>
      <c r="CB151" s="861"/>
      <c r="CC151" s="861"/>
      <c r="CD151" s="861"/>
      <c r="CE151" s="861"/>
    </row>
    <row r="152" spans="1:83" s="859" customFormat="1" ht="6" customHeight="1" x14ac:dyDescent="0.2">
      <c r="A152" s="532"/>
      <c r="B152" s="30"/>
      <c r="C152" s="30"/>
      <c r="D152" s="30"/>
      <c r="E152" s="30"/>
      <c r="F152" s="30"/>
      <c r="G152" s="30"/>
      <c r="H152" s="30"/>
      <c r="I152" s="30"/>
      <c r="J152" s="13"/>
      <c r="K152" s="47"/>
      <c r="L152" s="47"/>
      <c r="M152" s="670"/>
      <c r="N152" s="670"/>
      <c r="O152" s="670"/>
      <c r="P152" s="670"/>
      <c r="Q152" s="670"/>
      <c r="R152" s="670"/>
      <c r="S152" s="670"/>
      <c r="T152" s="670"/>
      <c r="U152" s="670"/>
      <c r="V152" s="670"/>
      <c r="W152" s="670"/>
      <c r="X152" s="670"/>
      <c r="Y152" s="670"/>
      <c r="Z152" s="670"/>
      <c r="AA152" s="670"/>
      <c r="AB152" s="670"/>
      <c r="AC152" s="670"/>
      <c r="AD152" s="670"/>
      <c r="AE152" s="670"/>
      <c r="AF152" s="670"/>
      <c r="AG152" s="670"/>
      <c r="AH152" s="670"/>
      <c r="AI152" s="670"/>
      <c r="AJ152" s="670"/>
      <c r="AK152" s="670"/>
      <c r="AL152" s="670"/>
      <c r="AM152" s="670"/>
      <c r="AN152" s="670"/>
      <c r="AO152" s="670"/>
      <c r="AP152" s="670"/>
      <c r="AQ152" s="670"/>
      <c r="AR152" s="670"/>
      <c r="AS152" s="670"/>
      <c r="AT152" s="670"/>
      <c r="AU152" s="670"/>
      <c r="AV152" s="670"/>
      <c r="AW152" s="670"/>
      <c r="AX152" s="670"/>
      <c r="AY152" s="670"/>
      <c r="AZ152" s="670"/>
      <c r="BA152" s="670"/>
      <c r="BB152" s="670"/>
      <c r="BC152" s="670"/>
      <c r="BD152" s="670"/>
      <c r="BE152" s="670"/>
      <c r="BF152" s="670"/>
      <c r="BG152" s="670"/>
      <c r="BH152" s="670"/>
      <c r="BI152" s="670"/>
      <c r="BJ152" s="670"/>
      <c r="BK152" s="670"/>
      <c r="BL152" s="670"/>
      <c r="BM152" s="670"/>
      <c r="BN152" s="670"/>
      <c r="BO152" s="670"/>
      <c r="BP152" s="670"/>
      <c r="BQ152" s="670"/>
      <c r="BR152" s="670"/>
      <c r="BS152" s="670"/>
      <c r="BT152" s="670"/>
      <c r="BU152" s="670"/>
      <c r="BV152" s="861"/>
      <c r="BW152" s="861"/>
      <c r="BX152" s="861"/>
      <c r="BY152" s="861"/>
      <c r="BZ152" s="861"/>
      <c r="CA152" s="861"/>
      <c r="CB152" s="861"/>
      <c r="CC152" s="861"/>
      <c r="CD152" s="861"/>
      <c r="CE152" s="861"/>
    </row>
    <row r="153" spans="1:83" ht="14.25" customHeight="1" x14ac:dyDescent="0.2">
      <c r="A153" s="1383" t="s">
        <v>556</v>
      </c>
      <c r="B153" s="1383"/>
      <c r="C153" s="1383"/>
      <c r="D153" s="1383"/>
      <c r="E153" s="1383"/>
      <c r="F153" s="1383"/>
      <c r="G153" s="1383"/>
      <c r="H153" s="1383"/>
      <c r="I153" s="1383"/>
      <c r="J153" s="1383"/>
      <c r="K153" s="46"/>
      <c r="L153" s="46"/>
      <c r="M153" s="614"/>
      <c r="N153" s="614"/>
      <c r="O153" s="614"/>
      <c r="P153" s="614"/>
      <c r="Q153" s="614"/>
      <c r="R153" s="614"/>
      <c r="S153" s="614"/>
      <c r="T153" s="614"/>
      <c r="U153" s="614"/>
      <c r="V153" s="614"/>
      <c r="W153" s="614"/>
      <c r="X153" s="614"/>
      <c r="Y153" s="614"/>
      <c r="Z153" s="614"/>
      <c r="AA153" s="614"/>
      <c r="AB153" s="614"/>
      <c r="AC153" s="614"/>
      <c r="AD153" s="614"/>
      <c r="AE153" s="614"/>
      <c r="AF153" s="614"/>
      <c r="AG153" s="614"/>
      <c r="AH153" s="614"/>
      <c r="AI153" s="614"/>
      <c r="AJ153" s="614"/>
      <c r="AK153" s="614"/>
      <c r="AL153" s="614"/>
      <c r="AM153" s="614"/>
      <c r="AN153" s="614"/>
      <c r="AO153" s="614"/>
      <c r="AP153" s="614"/>
      <c r="AQ153" s="614"/>
      <c r="AR153" s="614"/>
      <c r="AS153" s="614"/>
      <c r="AT153" s="614"/>
      <c r="AU153" s="614"/>
      <c r="AV153" s="614"/>
      <c r="AW153" s="614"/>
      <c r="AX153" s="614"/>
      <c r="AY153" s="614"/>
      <c r="AZ153" s="614"/>
      <c r="BA153" s="614"/>
      <c r="BB153" s="614"/>
      <c r="BC153" s="614"/>
      <c r="BD153" s="614"/>
      <c r="BE153" s="614"/>
      <c r="BF153" s="614"/>
      <c r="BG153" s="614"/>
      <c r="BH153" s="614"/>
      <c r="BI153" s="614"/>
      <c r="BJ153" s="614"/>
      <c r="BK153" s="614"/>
      <c r="BL153" s="614"/>
      <c r="BM153" s="614"/>
      <c r="BN153" s="614"/>
      <c r="BO153" s="614"/>
      <c r="BP153" s="614"/>
      <c r="BQ153" s="614"/>
      <c r="BR153" s="614"/>
      <c r="BS153" s="614"/>
      <c r="BT153" s="614"/>
      <c r="BU153" s="614"/>
      <c r="BV153" s="862"/>
      <c r="BW153" s="862"/>
      <c r="BX153" s="862"/>
      <c r="BY153" s="862"/>
      <c r="BZ153" s="862"/>
      <c r="CA153" s="862"/>
      <c r="CB153" s="862"/>
      <c r="CC153" s="862"/>
      <c r="CD153" s="862"/>
      <c r="CE153" s="862"/>
    </row>
    <row r="154" spans="1:83" ht="14.25" customHeight="1" x14ac:dyDescent="0.2">
      <c r="A154" s="49"/>
      <c r="B154" s="6"/>
      <c r="C154" s="530"/>
      <c r="D154" s="529" t="s">
        <v>403</v>
      </c>
      <c r="E154" s="12"/>
      <c r="F154" s="12"/>
      <c r="G154" s="12"/>
      <c r="H154" s="12"/>
      <c r="I154" s="50"/>
      <c r="J154" s="35"/>
      <c r="K154" s="46"/>
      <c r="L154" s="46"/>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614"/>
      <c r="AL154" s="614"/>
      <c r="AM154" s="614"/>
      <c r="AN154" s="614"/>
      <c r="AO154" s="614"/>
      <c r="AP154" s="614"/>
      <c r="AQ154" s="614"/>
      <c r="AR154" s="614"/>
      <c r="AS154" s="614"/>
      <c r="AT154" s="614"/>
      <c r="AU154" s="614"/>
      <c r="AV154" s="614"/>
      <c r="AW154" s="614"/>
      <c r="AX154" s="614"/>
      <c r="AY154" s="614"/>
      <c r="AZ154" s="614"/>
      <c r="BA154" s="614"/>
      <c r="BB154" s="614"/>
      <c r="BC154" s="614"/>
      <c r="BD154" s="614"/>
      <c r="BE154" s="614"/>
      <c r="BF154" s="614"/>
      <c r="BG154" s="614"/>
      <c r="BH154" s="614"/>
      <c r="BI154" s="614"/>
      <c r="BJ154" s="614"/>
      <c r="BK154" s="614"/>
      <c r="BL154" s="614"/>
      <c r="BM154" s="614"/>
      <c r="BN154" s="614"/>
      <c r="BO154" s="614"/>
      <c r="BP154" s="614"/>
      <c r="BQ154" s="614"/>
      <c r="BR154" s="614"/>
      <c r="BS154" s="614"/>
      <c r="BT154" s="614"/>
      <c r="BU154" s="614"/>
      <c r="BV154" s="862"/>
      <c r="BW154" s="862"/>
      <c r="BX154" s="862"/>
      <c r="BY154" s="862"/>
      <c r="BZ154" s="862"/>
      <c r="CA154" s="862"/>
      <c r="CB154" s="862"/>
      <c r="CC154" s="862"/>
      <c r="CD154" s="862"/>
      <c r="CE154" s="862"/>
    </row>
  </sheetData>
  <protectedRanges>
    <protectedRange sqref="B5:B9 F5:F6 G7 F8 G9 B13:B14 G42:G45 I46:I47 F11 I127:J128 C116:H119 I121:J122 F25:H40 D26:E40 F13 D110:H113 P25:Q40" name="Bereich1"/>
  </protectedRanges>
  <dataConsolidate/>
  <mergeCells count="118">
    <mergeCell ref="A1:H1"/>
    <mergeCell ref="B6:D6"/>
    <mergeCell ref="B7:D7"/>
    <mergeCell ref="B8:D8"/>
    <mergeCell ref="B9:D9"/>
    <mergeCell ref="F11:F12"/>
    <mergeCell ref="G11:J12"/>
    <mergeCell ref="CD21:CE21"/>
    <mergeCell ref="AL22:AN22"/>
    <mergeCell ref="AZ22:BB22"/>
    <mergeCell ref="BC22:BD22"/>
    <mergeCell ref="BF22:BH22"/>
    <mergeCell ref="BI22:BK22"/>
    <mergeCell ref="BN22:BO22"/>
    <mergeCell ref="D20:H20"/>
    <mergeCell ref="I20:J20"/>
    <mergeCell ref="E21:F21"/>
    <mergeCell ref="G21:H21"/>
    <mergeCell ref="P21:Q21"/>
    <mergeCell ref="R21:U21"/>
    <mergeCell ref="AF23:AI23"/>
    <mergeCell ref="A25:C25"/>
    <mergeCell ref="A26:C26"/>
    <mergeCell ref="A27:C27"/>
    <mergeCell ref="A28:C28"/>
    <mergeCell ref="A29:C29"/>
    <mergeCell ref="X21:Z21"/>
    <mergeCell ref="AB21:AD21"/>
    <mergeCell ref="AU21:AW21"/>
    <mergeCell ref="A36:C36"/>
    <mergeCell ref="A37:H37"/>
    <mergeCell ref="A38:C38"/>
    <mergeCell ref="A39:C39"/>
    <mergeCell ref="A40:C40"/>
    <mergeCell ref="G41:H41"/>
    <mergeCell ref="A30:C30"/>
    <mergeCell ref="A31:C31"/>
    <mergeCell ref="A32:C32"/>
    <mergeCell ref="A33:C33"/>
    <mergeCell ref="A34:C34"/>
    <mergeCell ref="A35:C35"/>
    <mergeCell ref="A106:J106"/>
    <mergeCell ref="C108:D108"/>
    <mergeCell ref="E108:F108"/>
    <mergeCell ref="G108:H108"/>
    <mergeCell ref="I108:J108"/>
    <mergeCell ref="C109:D109"/>
    <mergeCell ref="E109:F109"/>
    <mergeCell ref="G109:H109"/>
    <mergeCell ref="A42:F42"/>
    <mergeCell ref="A43:F43"/>
    <mergeCell ref="A44:F44"/>
    <mergeCell ref="A54:J54"/>
    <mergeCell ref="D59:F59"/>
    <mergeCell ref="I81:J81"/>
    <mergeCell ref="A112:B112"/>
    <mergeCell ref="C112:D112"/>
    <mergeCell ref="E112:F112"/>
    <mergeCell ref="G112:H112"/>
    <mergeCell ref="A113:B113"/>
    <mergeCell ref="C113:D113"/>
    <mergeCell ref="E113:F113"/>
    <mergeCell ref="G113:H113"/>
    <mergeCell ref="A110:B110"/>
    <mergeCell ref="C110:D110"/>
    <mergeCell ref="E110:F110"/>
    <mergeCell ref="G110:H110"/>
    <mergeCell ref="A111:B111"/>
    <mergeCell ref="C111:D111"/>
    <mergeCell ref="E111:F111"/>
    <mergeCell ref="G111:H111"/>
    <mergeCell ref="A117:B117"/>
    <mergeCell ref="C117:D117"/>
    <mergeCell ref="G117:H117"/>
    <mergeCell ref="A118:B118"/>
    <mergeCell ref="C118:D118"/>
    <mergeCell ref="G118:H118"/>
    <mergeCell ref="C114:D114"/>
    <mergeCell ref="G114:H114"/>
    <mergeCell ref="C115:D115"/>
    <mergeCell ref="G115:H115"/>
    <mergeCell ref="A116:B116"/>
    <mergeCell ref="C116:D116"/>
    <mergeCell ref="G116:H116"/>
    <mergeCell ref="A123:B123"/>
    <mergeCell ref="C123:H123"/>
    <mergeCell ref="A124:B124"/>
    <mergeCell ref="C124:H124"/>
    <mergeCell ref="A119:B119"/>
    <mergeCell ref="C119:D119"/>
    <mergeCell ref="G119:H119"/>
    <mergeCell ref="F120:H120"/>
    <mergeCell ref="A121:B121"/>
    <mergeCell ref="C121:H121"/>
    <mergeCell ref="A105:J105"/>
    <mergeCell ref="AM137:AM143"/>
    <mergeCell ref="AN137:AN143"/>
    <mergeCell ref="A153:J153"/>
    <mergeCell ref="AF137:AF143"/>
    <mergeCell ref="AG137:AG143"/>
    <mergeCell ref="AH137:AH143"/>
    <mergeCell ref="AI137:AI143"/>
    <mergeCell ref="AJ137:AJ143"/>
    <mergeCell ref="AK137:AK143"/>
    <mergeCell ref="S137:S143"/>
    <mergeCell ref="T137:T143"/>
    <mergeCell ref="U137:U143"/>
    <mergeCell ref="X137:X143"/>
    <mergeCell ref="Z137:Z143"/>
    <mergeCell ref="AE137:AE143"/>
    <mergeCell ref="B127:H127"/>
    <mergeCell ref="B128:H128"/>
    <mergeCell ref="B129:H129"/>
    <mergeCell ref="B130:H130"/>
    <mergeCell ref="C136:H136"/>
    <mergeCell ref="R137:R143"/>
    <mergeCell ref="A122:B122"/>
    <mergeCell ref="C122:H122"/>
  </mergeCells>
  <dataValidations count="18">
    <dataValidation type="decimal" allowBlank="1" showInputMessage="1" showErrorMessage="1" error="Geben sie eine Dezimalzahl ein._x000a_Der Wert darf nicht höher als der TS-Gehalt, des zur Separierung vorgesehenen flüssigen Wirtschftdüngers sein." sqref="F78">
      <formula1>0</formula1>
      <formula2>N51</formula2>
    </dataValidation>
    <dataValidation type="decimal" allowBlank="1" showInputMessage="1" showErrorMessage="1" error="Geben sie eine Dezimalzahl ein." sqref="D64 J78">
      <formula1>0</formula1>
      <formula2>100</formula2>
    </dataValidation>
    <dataValidation type="decimal" allowBlank="1" showInputMessage="1" showErrorMessage="1" errorTitle="Ungültige Eingabe" error="Geben Sie in dieses Feld eine ganze Zahl ein." sqref="G38:H40">
      <formula1>0</formula1>
      <formula2>100</formula2>
    </dataValidation>
    <dataValidation type="decimal" operator="greaterThanOrEqual" allowBlank="1" showInputMessage="1" showErrorMessage="1" errorTitle="Falsche Eingabe" error="Geben sie eine positve Zahl ein." sqref="D25:E36 D38:E40">
      <formula1>0</formula1>
    </dataValidation>
    <dataValidation type="whole" allowBlank="1" showInputMessage="1" showErrorMessage="1" errorTitle="Ungültige Eingabe" error="Geben Sie in dieses Feld eine ganze Zahl ein." sqref="G25:H36">
      <formula1>0</formula1>
      <formula2>100</formula2>
    </dataValidation>
    <dataValidation type="decimal" allowBlank="1" showInputMessage="1" showErrorMessage="1" errorTitle="Ungültige Eingabe" error="Geben Sie in dieses Feld eine ganze Zahl ein." sqref="F25:F36 F38:F40 P25:Q40">
      <formula1>0</formula1>
      <formula2>1000000</formula2>
    </dataValidation>
    <dataValidation type="decimal" allowBlank="1" showInputMessage="1" showErrorMessage="1" sqref="F13">
      <formula1>0</formula1>
      <formula2>100</formula2>
    </dataValidation>
    <dataValidation type="decimal" allowBlank="1" showInputMessage="1" showErrorMessage="1" errorTitle="Ungültige Eingabe" error="Geben Sie eine Dezimalzahl ein." sqref="I127:J130">
      <formula1>-999999</formula1>
      <formula2>999999</formula2>
    </dataValidation>
    <dataValidation type="decimal" allowBlank="1" showInputMessage="1" showErrorMessage="1" errorTitle="Ungültige Eingabe" error="Geben Sie eine Dezimalzahl &lt; 100 ein." sqref="G110:H113 E110:E113">
      <formula1>0</formula1>
      <formula2>99</formula2>
    </dataValidation>
    <dataValidation type="decimal" allowBlank="1" showErrorMessage="1" errorTitle="Ungültige Eingabe" error="Geben Sie eine Dezimalzahl &lt; 100 ein." sqref="E116:H119 C116:C119">
      <formula1>0</formula1>
      <formula2>99</formula2>
    </dataValidation>
    <dataValidation type="decimal" allowBlank="1" showErrorMessage="1" errorTitle="Ungültige Eingabe" error="Geben Sie eine Dezimalzahl ein." sqref="C120:F120">
      <formula1>0</formula1>
      <formula2>99</formula2>
    </dataValidation>
    <dataValidation allowBlank="1" showInputMessage="1" showErrorMessage="1" errorTitle="Ungültige Eingabe" error="Geben Sie eine Dezimalzahl ein." sqref="E114:F115 G115"/>
    <dataValidation type="whole" allowBlank="1" showInputMessage="1" showErrorMessage="1" errorTitle="Ungültige Dateineingabe" error="Geben Sie eine ganze Zahl zwischen 300 und 2500 ein." sqref="B14">
      <formula1>300</formula1>
      <formula2>2500</formula2>
    </dataValidation>
    <dataValidation type="whole" allowBlank="1" showInputMessage="1" showErrorMessage="1" errorTitle="Ungültige Dateneingabe" error="Geben Sie eine ganze Zahl zwischen 2000 und 15000 ein." sqref="B13">
      <formula1>2000</formula1>
      <formula2>15000</formula2>
    </dataValidation>
    <dataValidation type="textLength" allowBlank="1" showInputMessage="1" showErrorMessage="1" errorTitle="Ungültige Dateneingabe" error="Geben Sie eine gültige Betriebsnummer ein." sqref="B5">
      <formula1>10</formula1>
      <formula2>12</formula2>
    </dataValidation>
    <dataValidation type="decimal" allowBlank="1" showInputMessage="1" showErrorMessage="1" errorTitle="Ungültige Dateneingabe" error="Geben Sie eine Zahl ein." sqref="F5:F6 G7 F8 F11 G9:G10">
      <formula1>0</formula1>
      <formula2>9999</formula2>
    </dataValidation>
    <dataValidation type="whole" allowBlank="1" showInputMessage="1" showErrorMessage="1" errorTitle="Ungültige Eingabe" error="Geben Sie eine ganze Zahl ein." sqref="G45">
      <formula1>0</formula1>
      <formula2>99</formula2>
    </dataValidation>
    <dataValidation type="decimal" allowBlank="1" showInputMessage="1" showErrorMessage="1" errorTitle="Ungültige Eingabe" error="Geben Sie eine Dezimalzahl ein." sqref="I46:I47 G42:G44 I121:J124">
      <formula1>0</formula1>
      <formula2>99999</formula2>
    </dataValidation>
  </dataValidations>
  <pageMargins left="0.39370078740157483" right="0.39370078740157483" top="0.39370078740157483" bottom="0.39370078740157483" header="0.31496062992125984" footer="0.31496062992125984"/>
  <pageSetup paperSize="9" orientation="portrait" r:id="rId1"/>
  <headerFooter alignWithMargins="0">
    <oddFooter>&amp;C&amp;P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777" r:id="rId4" name="Drop Down 1">
              <controlPr defaultSize="0" autoLine="0" autoPict="0">
                <anchor moveWithCells="1">
                  <from>
                    <xdr:col>0</xdr:col>
                    <xdr:colOff>19050</xdr:colOff>
                    <xdr:row>24</xdr:row>
                    <xdr:rowOff>190500</xdr:rowOff>
                  </from>
                  <to>
                    <xdr:col>2</xdr:col>
                    <xdr:colOff>847725</xdr:colOff>
                    <xdr:row>25</xdr:row>
                    <xdr:rowOff>190500</xdr:rowOff>
                  </to>
                </anchor>
              </controlPr>
            </control>
          </mc:Choice>
        </mc:AlternateContent>
        <mc:AlternateContent xmlns:mc="http://schemas.openxmlformats.org/markup-compatibility/2006">
          <mc:Choice Requires="x14">
            <control shapeId="75778" r:id="rId5" name="Drop Down 2">
              <controlPr defaultSize="0" autoLine="0" autoPict="0">
                <anchor moveWithCells="1">
                  <from>
                    <xdr:col>0</xdr:col>
                    <xdr:colOff>19050</xdr:colOff>
                    <xdr:row>25</xdr:row>
                    <xdr:rowOff>180975</xdr:rowOff>
                  </from>
                  <to>
                    <xdr:col>2</xdr:col>
                    <xdr:colOff>847725</xdr:colOff>
                    <xdr:row>26</xdr:row>
                    <xdr:rowOff>180975</xdr:rowOff>
                  </to>
                </anchor>
              </controlPr>
            </control>
          </mc:Choice>
        </mc:AlternateContent>
        <mc:AlternateContent xmlns:mc="http://schemas.openxmlformats.org/markup-compatibility/2006">
          <mc:Choice Requires="x14">
            <control shapeId="75779" r:id="rId6" name="Drop Down 3">
              <controlPr defaultSize="0" autoLine="0" autoPict="0">
                <anchor moveWithCells="1">
                  <from>
                    <xdr:col>0</xdr:col>
                    <xdr:colOff>19050</xdr:colOff>
                    <xdr:row>26</xdr:row>
                    <xdr:rowOff>180975</xdr:rowOff>
                  </from>
                  <to>
                    <xdr:col>2</xdr:col>
                    <xdr:colOff>847725</xdr:colOff>
                    <xdr:row>27</xdr:row>
                    <xdr:rowOff>180975</xdr:rowOff>
                  </to>
                </anchor>
              </controlPr>
            </control>
          </mc:Choice>
        </mc:AlternateContent>
        <mc:AlternateContent xmlns:mc="http://schemas.openxmlformats.org/markup-compatibility/2006">
          <mc:Choice Requires="x14">
            <control shapeId="75780" r:id="rId7" name="Drop Down 4">
              <controlPr defaultSize="0" autoLine="0" autoPict="0">
                <anchor moveWithCells="1">
                  <from>
                    <xdr:col>0</xdr:col>
                    <xdr:colOff>19050</xdr:colOff>
                    <xdr:row>27</xdr:row>
                    <xdr:rowOff>180975</xdr:rowOff>
                  </from>
                  <to>
                    <xdr:col>2</xdr:col>
                    <xdr:colOff>847725</xdr:colOff>
                    <xdr:row>28</xdr:row>
                    <xdr:rowOff>180975</xdr:rowOff>
                  </to>
                </anchor>
              </controlPr>
            </control>
          </mc:Choice>
        </mc:AlternateContent>
        <mc:AlternateContent xmlns:mc="http://schemas.openxmlformats.org/markup-compatibility/2006">
          <mc:Choice Requires="x14">
            <control shapeId="75781" r:id="rId8" name="Drop Down 5">
              <controlPr defaultSize="0" autoLine="0" autoPict="0">
                <anchor moveWithCells="1">
                  <from>
                    <xdr:col>0</xdr:col>
                    <xdr:colOff>19050</xdr:colOff>
                    <xdr:row>28</xdr:row>
                    <xdr:rowOff>180975</xdr:rowOff>
                  </from>
                  <to>
                    <xdr:col>2</xdr:col>
                    <xdr:colOff>847725</xdr:colOff>
                    <xdr:row>29</xdr:row>
                    <xdr:rowOff>180975</xdr:rowOff>
                  </to>
                </anchor>
              </controlPr>
            </control>
          </mc:Choice>
        </mc:AlternateContent>
        <mc:AlternateContent xmlns:mc="http://schemas.openxmlformats.org/markup-compatibility/2006">
          <mc:Choice Requires="x14">
            <control shapeId="75782" r:id="rId9" name="Drop Down 6">
              <controlPr defaultSize="0" autoLine="0" autoPict="0">
                <anchor moveWithCells="1">
                  <from>
                    <xdr:col>0</xdr:col>
                    <xdr:colOff>19050</xdr:colOff>
                    <xdr:row>29</xdr:row>
                    <xdr:rowOff>180975</xdr:rowOff>
                  </from>
                  <to>
                    <xdr:col>2</xdr:col>
                    <xdr:colOff>847725</xdr:colOff>
                    <xdr:row>30</xdr:row>
                    <xdr:rowOff>180975</xdr:rowOff>
                  </to>
                </anchor>
              </controlPr>
            </control>
          </mc:Choice>
        </mc:AlternateContent>
        <mc:AlternateContent xmlns:mc="http://schemas.openxmlformats.org/markup-compatibility/2006">
          <mc:Choice Requires="x14">
            <control shapeId="75783" r:id="rId10" name="Drop Down 7">
              <controlPr defaultSize="0" autoLine="0" autoPict="0">
                <anchor moveWithCells="1">
                  <from>
                    <xdr:col>0</xdr:col>
                    <xdr:colOff>19050</xdr:colOff>
                    <xdr:row>30</xdr:row>
                    <xdr:rowOff>180975</xdr:rowOff>
                  </from>
                  <to>
                    <xdr:col>2</xdr:col>
                    <xdr:colOff>847725</xdr:colOff>
                    <xdr:row>31</xdr:row>
                    <xdr:rowOff>180975</xdr:rowOff>
                  </to>
                </anchor>
              </controlPr>
            </control>
          </mc:Choice>
        </mc:AlternateContent>
        <mc:AlternateContent xmlns:mc="http://schemas.openxmlformats.org/markup-compatibility/2006">
          <mc:Choice Requires="x14">
            <control shapeId="75784" r:id="rId11" name="Drop Down 8">
              <controlPr defaultSize="0" autoLine="0" autoPict="0">
                <anchor moveWithCells="1">
                  <from>
                    <xdr:col>0</xdr:col>
                    <xdr:colOff>19050</xdr:colOff>
                    <xdr:row>31</xdr:row>
                    <xdr:rowOff>180975</xdr:rowOff>
                  </from>
                  <to>
                    <xdr:col>2</xdr:col>
                    <xdr:colOff>847725</xdr:colOff>
                    <xdr:row>32</xdr:row>
                    <xdr:rowOff>180975</xdr:rowOff>
                  </to>
                </anchor>
              </controlPr>
            </control>
          </mc:Choice>
        </mc:AlternateContent>
        <mc:AlternateContent xmlns:mc="http://schemas.openxmlformats.org/markup-compatibility/2006">
          <mc:Choice Requires="x14">
            <control shapeId="75785" r:id="rId12" name="Drop Down 9">
              <controlPr defaultSize="0" autoLine="0" autoPict="0">
                <anchor moveWithCells="1">
                  <from>
                    <xdr:col>0</xdr:col>
                    <xdr:colOff>19050</xdr:colOff>
                    <xdr:row>32</xdr:row>
                    <xdr:rowOff>190500</xdr:rowOff>
                  </from>
                  <to>
                    <xdr:col>2</xdr:col>
                    <xdr:colOff>847725</xdr:colOff>
                    <xdr:row>33</xdr:row>
                    <xdr:rowOff>190500</xdr:rowOff>
                  </to>
                </anchor>
              </controlPr>
            </control>
          </mc:Choice>
        </mc:AlternateContent>
        <mc:AlternateContent xmlns:mc="http://schemas.openxmlformats.org/markup-compatibility/2006">
          <mc:Choice Requires="x14">
            <control shapeId="75786" r:id="rId13" name="Drop Down 10">
              <controlPr defaultSize="0" autoLine="0" autoPict="0">
                <anchor moveWithCells="1">
                  <from>
                    <xdr:col>0</xdr:col>
                    <xdr:colOff>19050</xdr:colOff>
                    <xdr:row>33</xdr:row>
                    <xdr:rowOff>190500</xdr:rowOff>
                  </from>
                  <to>
                    <xdr:col>2</xdr:col>
                    <xdr:colOff>847725</xdr:colOff>
                    <xdr:row>34</xdr:row>
                    <xdr:rowOff>190500</xdr:rowOff>
                  </to>
                </anchor>
              </controlPr>
            </control>
          </mc:Choice>
        </mc:AlternateContent>
        <mc:AlternateContent xmlns:mc="http://schemas.openxmlformats.org/markup-compatibility/2006">
          <mc:Choice Requires="x14">
            <control shapeId="75787" r:id="rId14" name="Drop Down 11">
              <controlPr defaultSize="0" autoLine="0" autoPict="0">
                <anchor moveWithCells="1">
                  <from>
                    <xdr:col>0</xdr:col>
                    <xdr:colOff>19050</xdr:colOff>
                    <xdr:row>34</xdr:row>
                    <xdr:rowOff>190500</xdr:rowOff>
                  </from>
                  <to>
                    <xdr:col>2</xdr:col>
                    <xdr:colOff>847725</xdr:colOff>
                    <xdr:row>35</xdr:row>
                    <xdr:rowOff>190500</xdr:rowOff>
                  </to>
                </anchor>
              </controlPr>
            </control>
          </mc:Choice>
        </mc:AlternateContent>
        <mc:AlternateContent xmlns:mc="http://schemas.openxmlformats.org/markup-compatibility/2006">
          <mc:Choice Requires="x14">
            <control shapeId="75788" r:id="rId15" name="Drop Down 12">
              <controlPr defaultSize="0" autoLine="0" autoPict="0">
                <anchor moveWithCells="1">
                  <from>
                    <xdr:col>5</xdr:col>
                    <xdr:colOff>19050</xdr:colOff>
                    <xdr:row>23</xdr:row>
                    <xdr:rowOff>9525</xdr:rowOff>
                  </from>
                  <to>
                    <xdr:col>5</xdr:col>
                    <xdr:colOff>495300</xdr:colOff>
                    <xdr:row>24</xdr:row>
                    <xdr:rowOff>161925</xdr:rowOff>
                  </to>
                </anchor>
              </controlPr>
            </control>
          </mc:Choice>
        </mc:AlternateContent>
        <mc:AlternateContent xmlns:mc="http://schemas.openxmlformats.org/markup-compatibility/2006">
          <mc:Choice Requires="x14">
            <control shapeId="75789" r:id="rId16" name="Drop Down 13">
              <controlPr defaultSize="0" autoLine="0" autoPict="0">
                <anchor moveWithCells="1">
                  <from>
                    <xdr:col>0</xdr:col>
                    <xdr:colOff>19050</xdr:colOff>
                    <xdr:row>23</xdr:row>
                    <xdr:rowOff>19050</xdr:rowOff>
                  </from>
                  <to>
                    <xdr:col>2</xdr:col>
                    <xdr:colOff>847725</xdr:colOff>
                    <xdr:row>24</xdr:row>
                    <xdr:rowOff>190500</xdr:rowOff>
                  </to>
                </anchor>
              </controlPr>
            </control>
          </mc:Choice>
        </mc:AlternateContent>
        <mc:AlternateContent xmlns:mc="http://schemas.openxmlformats.org/markup-compatibility/2006">
          <mc:Choice Requires="x14">
            <control shapeId="75790" r:id="rId17" name="Drop Down 14">
              <controlPr defaultSize="0" autoLine="0" autoPict="0">
                <anchor moveWithCells="1">
                  <from>
                    <xdr:col>5</xdr:col>
                    <xdr:colOff>19050</xdr:colOff>
                    <xdr:row>24</xdr:row>
                    <xdr:rowOff>180975</xdr:rowOff>
                  </from>
                  <to>
                    <xdr:col>5</xdr:col>
                    <xdr:colOff>495300</xdr:colOff>
                    <xdr:row>25</xdr:row>
                    <xdr:rowOff>161925</xdr:rowOff>
                  </to>
                </anchor>
              </controlPr>
            </control>
          </mc:Choice>
        </mc:AlternateContent>
        <mc:AlternateContent xmlns:mc="http://schemas.openxmlformats.org/markup-compatibility/2006">
          <mc:Choice Requires="x14">
            <control shapeId="75791" r:id="rId18" name="Drop Down 15">
              <controlPr defaultSize="0" autoLine="0" autoPict="0">
                <anchor moveWithCells="1">
                  <from>
                    <xdr:col>5</xdr:col>
                    <xdr:colOff>19050</xdr:colOff>
                    <xdr:row>25</xdr:row>
                    <xdr:rowOff>180975</xdr:rowOff>
                  </from>
                  <to>
                    <xdr:col>5</xdr:col>
                    <xdr:colOff>495300</xdr:colOff>
                    <xdr:row>26</xdr:row>
                    <xdr:rowOff>161925</xdr:rowOff>
                  </to>
                </anchor>
              </controlPr>
            </control>
          </mc:Choice>
        </mc:AlternateContent>
        <mc:AlternateContent xmlns:mc="http://schemas.openxmlformats.org/markup-compatibility/2006">
          <mc:Choice Requires="x14">
            <control shapeId="75792" r:id="rId19" name="Drop Down 16">
              <controlPr defaultSize="0" autoLine="0" autoPict="0">
                <anchor moveWithCells="1">
                  <from>
                    <xdr:col>5</xdr:col>
                    <xdr:colOff>19050</xdr:colOff>
                    <xdr:row>26</xdr:row>
                    <xdr:rowOff>180975</xdr:rowOff>
                  </from>
                  <to>
                    <xdr:col>5</xdr:col>
                    <xdr:colOff>495300</xdr:colOff>
                    <xdr:row>27</xdr:row>
                    <xdr:rowOff>161925</xdr:rowOff>
                  </to>
                </anchor>
              </controlPr>
            </control>
          </mc:Choice>
        </mc:AlternateContent>
        <mc:AlternateContent xmlns:mc="http://schemas.openxmlformats.org/markup-compatibility/2006">
          <mc:Choice Requires="x14">
            <control shapeId="75793" r:id="rId20" name="Drop Down 17">
              <controlPr defaultSize="0" autoLine="0" autoPict="0">
                <anchor moveWithCells="1">
                  <from>
                    <xdr:col>5</xdr:col>
                    <xdr:colOff>19050</xdr:colOff>
                    <xdr:row>27</xdr:row>
                    <xdr:rowOff>180975</xdr:rowOff>
                  </from>
                  <to>
                    <xdr:col>5</xdr:col>
                    <xdr:colOff>495300</xdr:colOff>
                    <xdr:row>28</xdr:row>
                    <xdr:rowOff>161925</xdr:rowOff>
                  </to>
                </anchor>
              </controlPr>
            </control>
          </mc:Choice>
        </mc:AlternateContent>
        <mc:AlternateContent xmlns:mc="http://schemas.openxmlformats.org/markup-compatibility/2006">
          <mc:Choice Requires="x14">
            <control shapeId="75794" r:id="rId21" name="Drop Down 18">
              <controlPr defaultSize="0" autoLine="0" autoPict="0">
                <anchor moveWithCells="1">
                  <from>
                    <xdr:col>5</xdr:col>
                    <xdr:colOff>19050</xdr:colOff>
                    <xdr:row>28</xdr:row>
                    <xdr:rowOff>180975</xdr:rowOff>
                  </from>
                  <to>
                    <xdr:col>5</xdr:col>
                    <xdr:colOff>495300</xdr:colOff>
                    <xdr:row>29</xdr:row>
                    <xdr:rowOff>161925</xdr:rowOff>
                  </to>
                </anchor>
              </controlPr>
            </control>
          </mc:Choice>
        </mc:AlternateContent>
        <mc:AlternateContent xmlns:mc="http://schemas.openxmlformats.org/markup-compatibility/2006">
          <mc:Choice Requires="x14">
            <control shapeId="75795" r:id="rId22" name="Drop Down 19">
              <controlPr defaultSize="0" autoLine="0" autoPict="0">
                <anchor moveWithCells="1">
                  <from>
                    <xdr:col>5</xdr:col>
                    <xdr:colOff>19050</xdr:colOff>
                    <xdr:row>29</xdr:row>
                    <xdr:rowOff>180975</xdr:rowOff>
                  </from>
                  <to>
                    <xdr:col>5</xdr:col>
                    <xdr:colOff>495300</xdr:colOff>
                    <xdr:row>30</xdr:row>
                    <xdr:rowOff>161925</xdr:rowOff>
                  </to>
                </anchor>
              </controlPr>
            </control>
          </mc:Choice>
        </mc:AlternateContent>
        <mc:AlternateContent xmlns:mc="http://schemas.openxmlformats.org/markup-compatibility/2006">
          <mc:Choice Requires="x14">
            <control shapeId="75796" r:id="rId23" name="Drop Down 20">
              <controlPr defaultSize="0" autoLine="0" autoPict="0">
                <anchor moveWithCells="1">
                  <from>
                    <xdr:col>5</xdr:col>
                    <xdr:colOff>19050</xdr:colOff>
                    <xdr:row>30</xdr:row>
                    <xdr:rowOff>180975</xdr:rowOff>
                  </from>
                  <to>
                    <xdr:col>5</xdr:col>
                    <xdr:colOff>495300</xdr:colOff>
                    <xdr:row>31</xdr:row>
                    <xdr:rowOff>161925</xdr:rowOff>
                  </to>
                </anchor>
              </controlPr>
            </control>
          </mc:Choice>
        </mc:AlternateContent>
        <mc:AlternateContent xmlns:mc="http://schemas.openxmlformats.org/markup-compatibility/2006">
          <mc:Choice Requires="x14">
            <control shapeId="75797" r:id="rId24" name="Drop Down 21">
              <controlPr defaultSize="0" autoLine="0" autoPict="0">
                <anchor moveWithCells="1">
                  <from>
                    <xdr:col>5</xdr:col>
                    <xdr:colOff>19050</xdr:colOff>
                    <xdr:row>31</xdr:row>
                    <xdr:rowOff>180975</xdr:rowOff>
                  </from>
                  <to>
                    <xdr:col>5</xdr:col>
                    <xdr:colOff>495300</xdr:colOff>
                    <xdr:row>32</xdr:row>
                    <xdr:rowOff>161925</xdr:rowOff>
                  </to>
                </anchor>
              </controlPr>
            </control>
          </mc:Choice>
        </mc:AlternateContent>
        <mc:AlternateContent xmlns:mc="http://schemas.openxmlformats.org/markup-compatibility/2006">
          <mc:Choice Requires="x14">
            <control shapeId="75798" r:id="rId25" name="Drop Down 22">
              <controlPr defaultSize="0" autoLine="0" autoPict="0">
                <anchor moveWithCells="1">
                  <from>
                    <xdr:col>5</xdr:col>
                    <xdr:colOff>19050</xdr:colOff>
                    <xdr:row>32</xdr:row>
                    <xdr:rowOff>190500</xdr:rowOff>
                  </from>
                  <to>
                    <xdr:col>5</xdr:col>
                    <xdr:colOff>495300</xdr:colOff>
                    <xdr:row>33</xdr:row>
                    <xdr:rowOff>171450</xdr:rowOff>
                  </to>
                </anchor>
              </controlPr>
            </control>
          </mc:Choice>
        </mc:AlternateContent>
        <mc:AlternateContent xmlns:mc="http://schemas.openxmlformats.org/markup-compatibility/2006">
          <mc:Choice Requires="x14">
            <control shapeId="75799" r:id="rId26" name="Drop Down 23">
              <controlPr defaultSize="0" autoLine="0" autoPict="0">
                <anchor moveWithCells="1">
                  <from>
                    <xdr:col>5</xdr:col>
                    <xdr:colOff>19050</xdr:colOff>
                    <xdr:row>33</xdr:row>
                    <xdr:rowOff>190500</xdr:rowOff>
                  </from>
                  <to>
                    <xdr:col>5</xdr:col>
                    <xdr:colOff>495300</xdr:colOff>
                    <xdr:row>34</xdr:row>
                    <xdr:rowOff>171450</xdr:rowOff>
                  </to>
                </anchor>
              </controlPr>
            </control>
          </mc:Choice>
        </mc:AlternateContent>
        <mc:AlternateContent xmlns:mc="http://schemas.openxmlformats.org/markup-compatibility/2006">
          <mc:Choice Requires="x14">
            <control shapeId="75800" r:id="rId27" name="Drop Down 24">
              <controlPr defaultSize="0" autoLine="0" autoPict="0">
                <anchor moveWithCells="1">
                  <from>
                    <xdr:col>5</xdr:col>
                    <xdr:colOff>19050</xdr:colOff>
                    <xdr:row>34</xdr:row>
                    <xdr:rowOff>190500</xdr:rowOff>
                  </from>
                  <to>
                    <xdr:col>5</xdr:col>
                    <xdr:colOff>495300</xdr:colOff>
                    <xdr:row>35</xdr:row>
                    <xdr:rowOff>171450</xdr:rowOff>
                  </to>
                </anchor>
              </controlPr>
            </control>
          </mc:Choice>
        </mc:AlternateContent>
        <mc:AlternateContent xmlns:mc="http://schemas.openxmlformats.org/markup-compatibility/2006">
          <mc:Choice Requires="x14">
            <control shapeId="75801" r:id="rId28" name="Drop Down 25">
              <controlPr defaultSize="0" autoLine="0" autoPict="0">
                <anchor moveWithCells="1">
                  <from>
                    <xdr:col>5</xdr:col>
                    <xdr:colOff>19050</xdr:colOff>
                    <xdr:row>36</xdr:row>
                    <xdr:rowOff>190500</xdr:rowOff>
                  </from>
                  <to>
                    <xdr:col>5</xdr:col>
                    <xdr:colOff>495300</xdr:colOff>
                    <xdr:row>37</xdr:row>
                    <xdr:rowOff>171450</xdr:rowOff>
                  </to>
                </anchor>
              </controlPr>
            </control>
          </mc:Choice>
        </mc:AlternateContent>
        <mc:AlternateContent xmlns:mc="http://schemas.openxmlformats.org/markup-compatibility/2006">
          <mc:Choice Requires="x14">
            <control shapeId="75802" r:id="rId29" name="Drop Down 26">
              <controlPr defaultSize="0" print="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75803" r:id="rId30" name="Drop Down 27">
              <controlPr defaultSize="0" autoLine="0" autoPict="0">
                <anchor moveWithCells="1">
                  <from>
                    <xdr:col>5</xdr:col>
                    <xdr:colOff>19050</xdr:colOff>
                    <xdr:row>37</xdr:row>
                    <xdr:rowOff>190500</xdr:rowOff>
                  </from>
                  <to>
                    <xdr:col>5</xdr:col>
                    <xdr:colOff>495300</xdr:colOff>
                    <xdr:row>38</xdr:row>
                    <xdr:rowOff>171450</xdr:rowOff>
                  </to>
                </anchor>
              </controlPr>
            </control>
          </mc:Choice>
        </mc:AlternateContent>
        <mc:AlternateContent xmlns:mc="http://schemas.openxmlformats.org/markup-compatibility/2006">
          <mc:Choice Requires="x14">
            <control shapeId="75804" r:id="rId31" name="Drop Down 28">
              <controlPr defaultSize="0" autoLine="0" autoPict="0">
                <anchor moveWithCells="1">
                  <from>
                    <xdr:col>5</xdr:col>
                    <xdr:colOff>19050</xdr:colOff>
                    <xdr:row>38</xdr:row>
                    <xdr:rowOff>190500</xdr:rowOff>
                  </from>
                  <to>
                    <xdr:col>5</xdr:col>
                    <xdr:colOff>495300</xdr:colOff>
                    <xdr:row>39</xdr:row>
                    <xdr:rowOff>171450</xdr:rowOff>
                  </to>
                </anchor>
              </controlPr>
            </control>
          </mc:Choice>
        </mc:AlternateContent>
        <mc:AlternateContent xmlns:mc="http://schemas.openxmlformats.org/markup-compatibility/2006">
          <mc:Choice Requires="x14">
            <control shapeId="75805" r:id="rId32" name="Drop Down 29">
              <controlPr defaultSize="0" autoLine="0" autoPict="0">
                <anchor moveWithCells="1">
                  <from>
                    <xdr:col>2</xdr:col>
                    <xdr:colOff>19050</xdr:colOff>
                    <xdr:row>115</xdr:row>
                    <xdr:rowOff>9525</xdr:rowOff>
                  </from>
                  <to>
                    <xdr:col>3</xdr:col>
                    <xdr:colOff>485775</xdr:colOff>
                    <xdr:row>115</xdr:row>
                    <xdr:rowOff>209550</xdr:rowOff>
                  </to>
                </anchor>
              </controlPr>
            </control>
          </mc:Choice>
        </mc:AlternateContent>
        <mc:AlternateContent xmlns:mc="http://schemas.openxmlformats.org/markup-compatibility/2006">
          <mc:Choice Requires="x14">
            <control shapeId="75806" r:id="rId33" name="Drop Down 30">
              <controlPr defaultSize="0" autoLine="0" autoPict="0">
                <anchor moveWithCells="1">
                  <from>
                    <xdr:col>2</xdr:col>
                    <xdr:colOff>19050</xdr:colOff>
                    <xdr:row>116</xdr:row>
                    <xdr:rowOff>9525</xdr:rowOff>
                  </from>
                  <to>
                    <xdr:col>3</xdr:col>
                    <xdr:colOff>485775</xdr:colOff>
                    <xdr:row>116</xdr:row>
                    <xdr:rowOff>209550</xdr:rowOff>
                  </to>
                </anchor>
              </controlPr>
            </control>
          </mc:Choice>
        </mc:AlternateContent>
        <mc:AlternateContent xmlns:mc="http://schemas.openxmlformats.org/markup-compatibility/2006">
          <mc:Choice Requires="x14">
            <control shapeId="75807" r:id="rId34" name="Drop Down 31">
              <controlPr defaultSize="0" autoLine="0" autoPict="0">
                <anchor moveWithCells="1">
                  <from>
                    <xdr:col>2</xdr:col>
                    <xdr:colOff>19050</xdr:colOff>
                    <xdr:row>117</xdr:row>
                    <xdr:rowOff>9525</xdr:rowOff>
                  </from>
                  <to>
                    <xdr:col>3</xdr:col>
                    <xdr:colOff>485775</xdr:colOff>
                    <xdr:row>117</xdr:row>
                    <xdr:rowOff>219075</xdr:rowOff>
                  </to>
                </anchor>
              </controlPr>
            </control>
          </mc:Choice>
        </mc:AlternateContent>
        <mc:AlternateContent xmlns:mc="http://schemas.openxmlformats.org/markup-compatibility/2006">
          <mc:Choice Requires="x14">
            <control shapeId="75808" r:id="rId35" name="Drop Down 32">
              <controlPr defaultSize="0" autoLine="0" autoPict="0">
                <anchor moveWithCells="1">
                  <from>
                    <xdr:col>2</xdr:col>
                    <xdr:colOff>19050</xdr:colOff>
                    <xdr:row>118</xdr:row>
                    <xdr:rowOff>9525</xdr:rowOff>
                  </from>
                  <to>
                    <xdr:col>3</xdr:col>
                    <xdr:colOff>485775</xdr:colOff>
                    <xdr:row>118</xdr:row>
                    <xdr:rowOff>209550</xdr:rowOff>
                  </to>
                </anchor>
              </controlPr>
            </control>
          </mc:Choice>
        </mc:AlternateContent>
        <mc:AlternateContent xmlns:mc="http://schemas.openxmlformats.org/markup-compatibility/2006">
          <mc:Choice Requires="x14">
            <control shapeId="75809" r:id="rId36" name="Drop Down 33">
              <controlPr defaultSize="0" print="0" autoLine="0" autoPict="0">
                <anchor moveWithCells="1">
                  <from>
                    <xdr:col>0</xdr:col>
                    <xdr:colOff>0</xdr:colOff>
                    <xdr:row>126</xdr:row>
                    <xdr:rowOff>0</xdr:rowOff>
                  </from>
                  <to>
                    <xdr:col>0</xdr:col>
                    <xdr:colOff>962025</xdr:colOff>
                    <xdr:row>127</xdr:row>
                    <xdr:rowOff>0</xdr:rowOff>
                  </to>
                </anchor>
              </controlPr>
            </control>
          </mc:Choice>
        </mc:AlternateContent>
        <mc:AlternateContent xmlns:mc="http://schemas.openxmlformats.org/markup-compatibility/2006">
          <mc:Choice Requires="x14">
            <control shapeId="75810" r:id="rId37" name="Drop Down 34">
              <controlPr defaultSize="0" print="0" autoLine="0" autoPict="0">
                <anchor moveWithCells="1">
                  <from>
                    <xdr:col>0</xdr:col>
                    <xdr:colOff>0</xdr:colOff>
                    <xdr:row>127</xdr:row>
                    <xdr:rowOff>0</xdr:rowOff>
                  </from>
                  <to>
                    <xdr:col>0</xdr:col>
                    <xdr:colOff>962025</xdr:colOff>
                    <xdr:row>128</xdr:row>
                    <xdr:rowOff>0</xdr:rowOff>
                  </to>
                </anchor>
              </controlPr>
            </control>
          </mc:Choice>
        </mc:AlternateContent>
        <mc:AlternateContent xmlns:mc="http://schemas.openxmlformats.org/markup-compatibility/2006">
          <mc:Choice Requires="x14">
            <control shapeId="75811" r:id="rId38" name="Drop Down 35">
              <controlPr defaultSize="0" print="0" autoLine="0" autoPict="0">
                <anchor moveWithCells="1">
                  <from>
                    <xdr:col>0</xdr:col>
                    <xdr:colOff>0</xdr:colOff>
                    <xdr:row>128</xdr:row>
                    <xdr:rowOff>0</xdr:rowOff>
                  </from>
                  <to>
                    <xdr:col>0</xdr:col>
                    <xdr:colOff>962025</xdr:colOff>
                    <xdr:row>129</xdr:row>
                    <xdr:rowOff>0</xdr:rowOff>
                  </to>
                </anchor>
              </controlPr>
            </control>
          </mc:Choice>
        </mc:AlternateContent>
        <mc:AlternateContent xmlns:mc="http://schemas.openxmlformats.org/markup-compatibility/2006">
          <mc:Choice Requires="x14">
            <control shapeId="75812" r:id="rId39" name="Drop Down 36">
              <controlPr defaultSize="0" print="0" autoLine="0" autoPict="0">
                <anchor moveWithCells="1">
                  <from>
                    <xdr:col>0</xdr:col>
                    <xdr:colOff>0</xdr:colOff>
                    <xdr:row>129</xdr:row>
                    <xdr:rowOff>0</xdr:rowOff>
                  </from>
                  <to>
                    <xdr:col>0</xdr:col>
                    <xdr:colOff>962025</xdr:colOff>
                    <xdr:row>130</xdr:row>
                    <xdr:rowOff>0</xdr:rowOff>
                  </to>
                </anchor>
              </controlPr>
            </control>
          </mc:Choice>
        </mc:AlternateContent>
        <mc:AlternateContent xmlns:mc="http://schemas.openxmlformats.org/markup-compatibility/2006">
          <mc:Choice Requires="x14">
            <control shapeId="75813" r:id="rId40" name="Button 37">
              <controlPr defaultSize="0" print="0" autoFill="0" autoPict="0" macro="[0]!Alle_Felder_leeren">
                <anchor moveWithCells="1" sizeWithCells="1">
                  <from>
                    <xdr:col>6</xdr:col>
                    <xdr:colOff>76200</xdr:colOff>
                    <xdr:row>13</xdr:row>
                    <xdr:rowOff>180975</xdr:rowOff>
                  </from>
                  <to>
                    <xdr:col>9</xdr:col>
                    <xdr:colOff>447675</xdr:colOff>
                    <xdr:row>15</xdr:row>
                    <xdr:rowOff>0</xdr:rowOff>
                  </to>
                </anchor>
              </controlPr>
            </control>
          </mc:Choice>
        </mc:AlternateContent>
        <mc:AlternateContent xmlns:mc="http://schemas.openxmlformats.org/markup-compatibility/2006">
          <mc:Choice Requires="x14">
            <control shapeId="75814" r:id="rId41" name="Drop Down 38">
              <controlPr defaultSize="0" autoLine="0" autoPict="0">
                <anchor moveWithCells="1">
                  <from>
                    <xdr:col>5</xdr:col>
                    <xdr:colOff>9525</xdr:colOff>
                    <xdr:row>12</xdr:row>
                    <xdr:rowOff>9525</xdr:rowOff>
                  </from>
                  <to>
                    <xdr:col>6</xdr:col>
                    <xdr:colOff>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BD33"/>
  <sheetViews>
    <sheetView zoomScaleNormal="100" workbookViewId="0">
      <selection activeCell="B7" sqref="B7"/>
    </sheetView>
  </sheetViews>
  <sheetFormatPr baseColWidth="10" defaultRowHeight="15.75" customHeight="1" x14ac:dyDescent="0.2"/>
  <cols>
    <col min="1" max="1" width="14.7109375" customWidth="1"/>
    <col min="2" max="2" width="28.85546875" customWidth="1"/>
    <col min="3" max="3" width="5" customWidth="1"/>
    <col min="4" max="6" width="5.42578125" style="460" customWidth="1"/>
    <col min="7" max="8" width="7.7109375" customWidth="1"/>
    <col min="9" max="11" width="6.5703125" customWidth="1"/>
    <col min="12" max="14" width="7" style="460" customWidth="1"/>
    <col min="15" max="17" width="7" customWidth="1"/>
    <col min="18" max="18" width="11" customWidth="1"/>
    <col min="19" max="19" width="3.5703125" customWidth="1"/>
    <col min="20" max="25" width="11.42578125" style="1331" hidden="1" customWidth="1"/>
    <col min="26" max="34" width="11.42578125" style="1332" hidden="1" customWidth="1"/>
    <col min="35" max="63" width="11.42578125" customWidth="1"/>
  </cols>
  <sheetData>
    <row r="1" spans="1:56" ht="15.75" customHeight="1" x14ac:dyDescent="0.25">
      <c r="A1" s="1491" t="s">
        <v>567</v>
      </c>
      <c r="B1" s="1491"/>
      <c r="C1" s="1491"/>
      <c r="J1" s="1081"/>
      <c r="K1" s="1081"/>
      <c r="L1" s="1082"/>
      <c r="M1" s="1082"/>
    </row>
    <row r="2" spans="1:56" ht="75" customHeight="1" thickBot="1" x14ac:dyDescent="0.25">
      <c r="A2" s="463"/>
    </row>
    <row r="3" spans="1:56" s="464" customFormat="1" ht="15.75" customHeight="1" thickBot="1" x14ac:dyDescent="0.3">
      <c r="B3" s="463"/>
      <c r="C3" s="1492" t="s">
        <v>399</v>
      </c>
      <c r="D3" s="1493"/>
      <c r="E3" s="1493"/>
      <c r="F3" s="1493"/>
      <c r="G3" s="1493"/>
      <c r="H3" s="1493"/>
      <c r="I3" s="1493"/>
      <c r="J3" s="1493"/>
      <c r="K3" s="1494"/>
      <c r="L3" s="730"/>
      <c r="M3" s="730"/>
      <c r="N3" s="730"/>
      <c r="O3" s="474"/>
      <c r="P3" s="474"/>
      <c r="Q3" s="474"/>
      <c r="T3" s="1333"/>
      <c r="U3" s="1333"/>
      <c r="V3" s="1333"/>
      <c r="W3" s="1333"/>
      <c r="X3" s="1333"/>
      <c r="Y3" s="1333"/>
      <c r="Z3" s="1334"/>
      <c r="AA3" s="1334"/>
      <c r="AB3" s="1334"/>
      <c r="AC3" s="1334"/>
      <c r="AD3" s="1334"/>
      <c r="AE3" s="1334"/>
      <c r="AF3" s="1334"/>
      <c r="AG3" s="1334"/>
      <c r="AH3" s="1334"/>
    </row>
    <row r="4" spans="1:56" ht="15.75" customHeight="1" thickBot="1" x14ac:dyDescent="0.25">
      <c r="A4" s="588"/>
      <c r="B4" s="588"/>
      <c r="C4" s="589"/>
      <c r="D4" s="1501" t="s">
        <v>379</v>
      </c>
      <c r="E4" s="1502"/>
      <c r="F4" s="1503"/>
      <c r="G4" s="1498" t="s">
        <v>364</v>
      </c>
      <c r="H4" s="1500"/>
      <c r="I4" s="1499" t="s">
        <v>380</v>
      </c>
      <c r="J4" s="1499"/>
      <c r="K4" s="1500"/>
      <c r="L4" s="1498" t="s">
        <v>568</v>
      </c>
      <c r="M4" s="1499"/>
      <c r="N4" s="1500"/>
      <c r="O4" s="1498" t="s">
        <v>327</v>
      </c>
      <c r="P4" s="1499"/>
      <c r="Q4" s="1500"/>
      <c r="R4" s="589" t="s">
        <v>469</v>
      </c>
    </row>
    <row r="5" spans="1:56" ht="15.75" customHeight="1" thickBot="1" x14ac:dyDescent="0.3">
      <c r="A5" s="1083" t="s">
        <v>374</v>
      </c>
      <c r="B5" s="1084" t="s">
        <v>378</v>
      </c>
      <c r="C5" s="692" t="s">
        <v>281</v>
      </c>
      <c r="D5" s="590" t="s">
        <v>5</v>
      </c>
      <c r="E5" s="1050" t="s">
        <v>343</v>
      </c>
      <c r="F5" s="592" t="s">
        <v>344</v>
      </c>
      <c r="G5" s="590" t="s">
        <v>0</v>
      </c>
      <c r="H5" s="1049" t="s">
        <v>12</v>
      </c>
      <c r="I5" s="590" t="s">
        <v>57</v>
      </c>
      <c r="J5" s="1050" t="s">
        <v>58</v>
      </c>
      <c r="K5" s="592" t="s">
        <v>59</v>
      </c>
      <c r="L5" s="591" t="s">
        <v>0</v>
      </c>
      <c r="M5" s="1050" t="s">
        <v>12</v>
      </c>
      <c r="N5" s="591" t="s">
        <v>16</v>
      </c>
      <c r="O5" s="677" t="s">
        <v>57</v>
      </c>
      <c r="P5" s="678" t="s">
        <v>58</v>
      </c>
      <c r="Q5" s="592" t="s">
        <v>59</v>
      </c>
      <c r="R5" s="593" t="s">
        <v>16</v>
      </c>
    </row>
    <row r="6" spans="1:56" ht="15.75" customHeight="1" thickBot="1" x14ac:dyDescent="0.25">
      <c r="A6" s="553"/>
      <c r="B6" s="553"/>
      <c r="C6" s="553"/>
      <c r="D6" s="1495" t="s">
        <v>400</v>
      </c>
      <c r="E6" s="1497"/>
      <c r="F6" s="1496"/>
      <c r="G6" s="1495" t="s">
        <v>1</v>
      </c>
      <c r="H6" s="1496"/>
      <c r="I6" s="1495" t="s">
        <v>60</v>
      </c>
      <c r="J6" s="1497"/>
      <c r="K6" s="1497"/>
      <c r="L6" s="1505" t="s">
        <v>2</v>
      </c>
      <c r="M6" s="1504"/>
      <c r="N6" s="1506"/>
      <c r="O6" s="1504" t="s">
        <v>456</v>
      </c>
      <c r="P6" s="1497"/>
      <c r="Q6" s="1496"/>
      <c r="R6" s="556" t="s">
        <v>504</v>
      </c>
      <c r="T6" s="1335" t="s">
        <v>374</v>
      </c>
    </row>
    <row r="7" spans="1:56" ht="15.75" customHeight="1" x14ac:dyDescent="0.2">
      <c r="A7" s="557"/>
      <c r="B7" s="1046"/>
      <c r="C7" s="1099"/>
      <c r="D7" s="1100"/>
      <c r="E7" s="1101"/>
      <c r="F7" s="1100"/>
      <c r="G7" s="1102"/>
      <c r="H7" s="1103"/>
      <c r="I7" s="1104"/>
      <c r="J7" s="1105"/>
      <c r="K7" s="1104"/>
      <c r="L7" s="1102"/>
      <c r="M7" s="1105"/>
      <c r="N7" s="1106"/>
      <c r="O7" s="1104"/>
      <c r="P7" s="1105"/>
      <c r="Q7" s="1104"/>
      <c r="R7" s="1107"/>
      <c r="S7" s="1085"/>
      <c r="T7" s="1331">
        <v>1</v>
      </c>
      <c r="U7" s="1331" t="str">
        <f>INDEX(Tiere!$D$83:$D$87,T7)</f>
        <v xml:space="preserve"> --</v>
      </c>
      <c r="V7" s="1331" t="str">
        <f>+CONCATENATE(U7," - ",+B7)</f>
        <v xml:space="preserve"> -- - </v>
      </c>
    </row>
    <row r="8" spans="1:56" ht="15.75" customHeight="1" x14ac:dyDescent="0.2">
      <c r="A8" s="462"/>
      <c r="B8" s="1047"/>
      <c r="C8" s="1108"/>
      <c r="D8" s="1109"/>
      <c r="E8" s="1110"/>
      <c r="F8" s="1109"/>
      <c r="G8" s="1111"/>
      <c r="H8" s="1112"/>
      <c r="I8" s="1113"/>
      <c r="J8" s="1114"/>
      <c r="K8" s="1113"/>
      <c r="L8" s="1111"/>
      <c r="M8" s="1114"/>
      <c r="N8" s="1115"/>
      <c r="O8" s="1113"/>
      <c r="P8" s="1114"/>
      <c r="Q8" s="1113"/>
      <c r="R8" s="1116"/>
      <c r="S8" s="29"/>
      <c r="T8" s="1331">
        <v>1</v>
      </c>
      <c r="U8" s="1331" t="str">
        <f>INDEX(Tiere!$D$83:$D$87,T8)</f>
        <v xml:space="preserve"> --</v>
      </c>
      <c r="V8" s="1331" t="str">
        <f>+CONCATENATE(U8," - ",+B8)</f>
        <v xml:space="preserve"> -- - </v>
      </c>
      <c r="BD8" s="696"/>
    </row>
    <row r="9" spans="1:56" ht="15.75" customHeight="1" thickBot="1" x14ac:dyDescent="0.25">
      <c r="A9" s="461"/>
      <c r="B9" s="1048"/>
      <c r="C9" s="1117"/>
      <c r="D9" s="1118"/>
      <c r="E9" s="1119"/>
      <c r="F9" s="1118"/>
      <c r="G9" s="1120"/>
      <c r="H9" s="1121"/>
      <c r="I9" s="1122"/>
      <c r="J9" s="1123"/>
      <c r="K9" s="1122"/>
      <c r="L9" s="1120"/>
      <c r="M9" s="1123"/>
      <c r="N9" s="1124"/>
      <c r="O9" s="1122"/>
      <c r="P9" s="1123"/>
      <c r="Q9" s="1122"/>
      <c r="R9" s="1125"/>
      <c r="S9" s="1085"/>
      <c r="T9" s="1331">
        <v>1</v>
      </c>
      <c r="U9" s="1331" t="str">
        <f>INDEX(Tiere!$D$83:$D$87,T9)</f>
        <v xml:space="preserve"> --</v>
      </c>
      <c r="V9" s="1331" t="str">
        <f>+CONCATENATE(U9," - ",+B9)</f>
        <v xml:space="preserve"> -- - </v>
      </c>
    </row>
    <row r="11" spans="1:56" ht="15.75" customHeight="1" x14ac:dyDescent="0.2">
      <c r="B11" s="59"/>
    </row>
    <row r="12" spans="1:56" ht="15.75" customHeight="1" x14ac:dyDescent="0.2">
      <c r="A12" s="59"/>
    </row>
    <row r="23" spans="10:10" ht="15.75" customHeight="1" x14ac:dyDescent="0.2">
      <c r="J23" s="59"/>
    </row>
    <row r="33" spans="1:10" ht="15.75" customHeight="1" x14ac:dyDescent="0.2">
      <c r="A33" s="1383" t="s">
        <v>588</v>
      </c>
      <c r="B33" s="1383"/>
      <c r="C33" s="1383"/>
      <c r="D33" s="1383"/>
      <c r="E33" s="1383"/>
      <c r="F33" s="1383"/>
      <c r="G33" s="1383"/>
      <c r="H33" s="1383"/>
      <c r="I33" s="1383"/>
      <c r="J33" s="1383"/>
    </row>
  </sheetData>
  <sheetProtection password="D5BA" sheet="1" objects="1"/>
  <customSheetViews>
    <customSheetView guid="{DDA6E6AA-9473-49A0-A3A2-76E4959B79AF}" hiddenColumns="1">
      <selection activeCell="E16" sqref="E16"/>
      <pageMargins left="0.7" right="0.7" top="0.75" bottom="0.75" header="0.3" footer="0.3"/>
      <pageSetup paperSize="9" orientation="portrait" r:id="rId1"/>
    </customSheetView>
  </customSheetViews>
  <mergeCells count="13">
    <mergeCell ref="O4:Q4"/>
    <mergeCell ref="D4:F4"/>
    <mergeCell ref="G4:H4"/>
    <mergeCell ref="I4:K4"/>
    <mergeCell ref="O6:Q6"/>
    <mergeCell ref="L6:N6"/>
    <mergeCell ref="L4:N4"/>
    <mergeCell ref="D6:F6"/>
    <mergeCell ref="A1:C1"/>
    <mergeCell ref="C3:K3"/>
    <mergeCell ref="A33:J33"/>
    <mergeCell ref="G6:H6"/>
    <mergeCell ref="I6:K6"/>
  </mergeCells>
  <dataValidations count="1">
    <dataValidation type="decimal" allowBlank="1" showInputMessage="1" showErrorMessage="1" sqref="C7:R9">
      <formula1>0</formula1>
      <formula2>999999</formula2>
    </dataValidation>
  </dataValidations>
  <pageMargins left="0.7" right="0.7" top="0.75" bottom="0.75" header="0.3" footer="0.3"/>
  <pageSetup paperSize="9" scale="8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4361" r:id="rId5" name="Drop Down 25">
              <controlPr defaultSize="0" autoLine="0" autoPict="0">
                <anchor moveWithCells="1">
                  <from>
                    <xdr:col>0</xdr:col>
                    <xdr:colOff>19050</xdr:colOff>
                    <xdr:row>6</xdr:row>
                    <xdr:rowOff>19050</xdr:rowOff>
                  </from>
                  <to>
                    <xdr:col>0</xdr:col>
                    <xdr:colOff>971550</xdr:colOff>
                    <xdr:row>6</xdr:row>
                    <xdr:rowOff>190500</xdr:rowOff>
                  </to>
                </anchor>
              </controlPr>
            </control>
          </mc:Choice>
        </mc:AlternateContent>
        <mc:AlternateContent xmlns:mc="http://schemas.openxmlformats.org/markup-compatibility/2006">
          <mc:Choice Requires="x14">
            <control shapeId="14362" r:id="rId6" name="Drop Down 26">
              <controlPr defaultSize="0" autoLine="0" autoPict="0">
                <anchor moveWithCells="1">
                  <from>
                    <xdr:col>0</xdr:col>
                    <xdr:colOff>19050</xdr:colOff>
                    <xdr:row>7</xdr:row>
                    <xdr:rowOff>19050</xdr:rowOff>
                  </from>
                  <to>
                    <xdr:col>0</xdr:col>
                    <xdr:colOff>971550</xdr:colOff>
                    <xdr:row>7</xdr:row>
                    <xdr:rowOff>190500</xdr:rowOff>
                  </to>
                </anchor>
              </controlPr>
            </control>
          </mc:Choice>
        </mc:AlternateContent>
        <mc:AlternateContent xmlns:mc="http://schemas.openxmlformats.org/markup-compatibility/2006">
          <mc:Choice Requires="x14">
            <control shapeId="14364" r:id="rId7" name="Drop Down 28">
              <controlPr defaultSize="0" autoLine="0" autoPict="0">
                <anchor moveWithCells="1">
                  <from>
                    <xdr:col>0</xdr:col>
                    <xdr:colOff>9525</xdr:colOff>
                    <xdr:row>8</xdr:row>
                    <xdr:rowOff>19050</xdr:rowOff>
                  </from>
                  <to>
                    <xdr:col>0</xdr:col>
                    <xdr:colOff>962025</xdr:colOff>
                    <xdr:row>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S26"/>
  <sheetViews>
    <sheetView zoomScaleNormal="100" workbookViewId="0">
      <selection activeCell="L18" sqref="L18"/>
    </sheetView>
  </sheetViews>
  <sheetFormatPr baseColWidth="10" defaultRowHeight="15.75" customHeight="1" x14ac:dyDescent="0.2"/>
  <sheetData>
    <row r="1" spans="1:19" ht="15.75" customHeight="1" x14ac:dyDescent="0.25">
      <c r="A1" s="472" t="s">
        <v>384</v>
      </c>
      <c r="B1" s="472"/>
      <c r="C1" s="472"/>
      <c r="D1" s="472"/>
      <c r="E1" s="472"/>
      <c r="F1" s="472"/>
      <c r="G1" s="473"/>
      <c r="H1" s="473"/>
    </row>
    <row r="2" spans="1:19" ht="15.75" customHeight="1" thickBot="1" x14ac:dyDescent="0.25">
      <c r="A2" s="468"/>
      <c r="B2" s="468"/>
      <c r="C2" s="465"/>
      <c r="D2" s="465"/>
      <c r="E2" s="465"/>
      <c r="F2" s="465"/>
      <c r="G2" s="469"/>
      <c r="H2" s="469"/>
    </row>
    <row r="3" spans="1:19" ht="15.75" customHeight="1" x14ac:dyDescent="0.2">
      <c r="A3" s="1515" t="s">
        <v>385</v>
      </c>
      <c r="B3" s="1516"/>
      <c r="C3" s="1517"/>
      <c r="D3" s="1518"/>
      <c r="E3" s="475" t="s">
        <v>386</v>
      </c>
      <c r="F3" s="484" t="s">
        <v>387</v>
      </c>
      <c r="G3" s="1522" t="s">
        <v>389</v>
      </c>
      <c r="H3" s="1523"/>
      <c r="I3" s="1524"/>
      <c r="N3" s="1513" t="s">
        <v>390</v>
      </c>
      <c r="O3" s="1525"/>
      <c r="P3" s="1526"/>
      <c r="Q3" s="498" t="s">
        <v>397</v>
      </c>
      <c r="R3" s="1513" t="s">
        <v>398</v>
      </c>
      <c r="S3" s="1514"/>
    </row>
    <row r="4" spans="1:19" ht="15.75" customHeight="1" thickBot="1" x14ac:dyDescent="0.25">
      <c r="A4" s="1519"/>
      <c r="B4" s="1520"/>
      <c r="C4" s="1520"/>
      <c r="D4" s="1521"/>
      <c r="E4" s="1511" t="s">
        <v>388</v>
      </c>
      <c r="F4" s="1512"/>
      <c r="G4" s="485" t="s">
        <v>5</v>
      </c>
      <c r="H4" s="487" t="s">
        <v>6</v>
      </c>
      <c r="I4" s="480" t="s">
        <v>7</v>
      </c>
      <c r="N4" s="499" t="s">
        <v>5</v>
      </c>
      <c r="O4" s="500" t="s">
        <v>6</v>
      </c>
      <c r="P4" s="501" t="s">
        <v>7</v>
      </c>
      <c r="Q4" s="522" t="s">
        <v>393</v>
      </c>
      <c r="R4" s="522" t="s">
        <v>396</v>
      </c>
      <c r="S4" s="523" t="s">
        <v>395</v>
      </c>
    </row>
    <row r="5" spans="1:19" ht="15.75" customHeight="1" x14ac:dyDescent="0.2">
      <c r="A5" s="470"/>
      <c r="B5" s="471"/>
      <c r="C5" s="471"/>
      <c r="D5" s="471"/>
      <c r="E5" s="482"/>
      <c r="F5" s="486"/>
      <c r="G5" s="510" t="str">
        <f>IF(N5&gt;0.1,N5,"")</f>
        <v/>
      </c>
      <c r="H5" s="488">
        <f t="shared" ref="H5:I7" si="0">IF(O5&gt;0.1,O5,"")</f>
        <v>5</v>
      </c>
      <c r="I5" s="514">
        <f t="shared" si="0"/>
        <v>6</v>
      </c>
      <c r="M5">
        <v>1</v>
      </c>
      <c r="N5" s="502">
        <f>INDEX('org Dünger'!G$8:G$34,M5)</f>
        <v>0</v>
      </c>
      <c r="O5" s="503">
        <f>INDEX('org Dünger'!H$9:H$34,M5)</f>
        <v>5</v>
      </c>
      <c r="P5" s="504">
        <f>INDEX('org Dünger'!I$9:I$34,M5)</f>
        <v>6</v>
      </c>
      <c r="Q5">
        <v>1</v>
      </c>
      <c r="R5" s="524">
        <f>IF(Q5=2,E5-F5,0)</f>
        <v>0</v>
      </c>
      <c r="S5" s="525">
        <f>IF(Q5=3,E5-F5,0)</f>
        <v>0</v>
      </c>
    </row>
    <row r="6" spans="1:19" ht="15.75" customHeight="1" x14ac:dyDescent="0.2">
      <c r="A6" s="466"/>
      <c r="B6" s="467"/>
      <c r="C6" s="467"/>
      <c r="D6" s="467"/>
      <c r="E6" s="476"/>
      <c r="F6" s="477"/>
      <c r="G6" s="489" t="str">
        <f>IF(N6&gt;0.1,N6,"")</f>
        <v/>
      </c>
      <c r="H6" s="490">
        <f t="shared" si="0"/>
        <v>5</v>
      </c>
      <c r="I6" s="515">
        <f t="shared" si="0"/>
        <v>6</v>
      </c>
      <c r="M6">
        <v>1</v>
      </c>
      <c r="N6" s="505">
        <f>INDEX('org Dünger'!G$8:G$34,M6)</f>
        <v>0</v>
      </c>
      <c r="O6" s="474">
        <f>INDEX('org Dünger'!H$9:H$34,M6)</f>
        <v>5</v>
      </c>
      <c r="P6" s="506">
        <f>INDEX('org Dünger'!I$9:I$34,M6)</f>
        <v>6</v>
      </c>
      <c r="Q6">
        <v>1</v>
      </c>
      <c r="R6" s="524">
        <f t="shared" ref="R6:R11" si="1">IF(Q6=2,E6-F6,0)</f>
        <v>0</v>
      </c>
      <c r="S6" s="525">
        <f t="shared" ref="S6:S11" si="2">IF(Q6=3,E6-F6,0)</f>
        <v>0</v>
      </c>
    </row>
    <row r="7" spans="1:19" ht="15.75" customHeight="1" thickBot="1" x14ac:dyDescent="0.25">
      <c r="A7" s="466"/>
      <c r="B7" s="467"/>
      <c r="C7" s="467"/>
      <c r="D7" s="467"/>
      <c r="E7" s="476"/>
      <c r="F7" s="477"/>
      <c r="G7" s="516" t="str">
        <f>IF(N7&gt;0.1,N7,"")</f>
        <v/>
      </c>
      <c r="H7" s="517">
        <f t="shared" si="0"/>
        <v>5</v>
      </c>
      <c r="I7" s="518">
        <f t="shared" si="0"/>
        <v>6</v>
      </c>
      <c r="M7">
        <v>1</v>
      </c>
      <c r="N7" s="507">
        <f>INDEX('org Dünger'!G$8:G$34,M7)</f>
        <v>0</v>
      </c>
      <c r="O7" s="508">
        <f>INDEX('org Dünger'!H$9:H$34,M7)</f>
        <v>5</v>
      </c>
      <c r="P7" s="509">
        <f>INDEX('org Dünger'!I$9:I$34,M7)</f>
        <v>6</v>
      </c>
      <c r="Q7">
        <v>1</v>
      </c>
      <c r="R7" s="524">
        <f t="shared" si="1"/>
        <v>0</v>
      </c>
      <c r="S7" s="525">
        <f t="shared" si="2"/>
        <v>0</v>
      </c>
    </row>
    <row r="8" spans="1:19" ht="15.75" customHeight="1" x14ac:dyDescent="0.2">
      <c r="A8" s="519"/>
      <c r="B8" s="1527"/>
      <c r="C8" s="1527"/>
      <c r="D8" s="1528"/>
      <c r="E8" s="476"/>
      <c r="F8" s="477"/>
      <c r="G8" s="511"/>
      <c r="H8" s="512"/>
      <c r="I8" s="513"/>
      <c r="Q8">
        <v>1</v>
      </c>
      <c r="R8" s="524">
        <f t="shared" si="1"/>
        <v>0</v>
      </c>
      <c r="S8" s="525">
        <f t="shared" si="2"/>
        <v>0</v>
      </c>
    </row>
    <row r="9" spans="1:19" ht="15.75" customHeight="1" x14ac:dyDescent="0.2">
      <c r="A9" s="520"/>
      <c r="B9" s="1507"/>
      <c r="C9" s="1507"/>
      <c r="D9" s="1508"/>
      <c r="E9" s="476"/>
      <c r="F9" s="477"/>
      <c r="G9" s="491"/>
      <c r="H9" s="492"/>
      <c r="I9" s="481"/>
      <c r="Q9">
        <v>1</v>
      </c>
      <c r="R9" s="524">
        <f t="shared" si="1"/>
        <v>0</v>
      </c>
      <c r="S9" s="525">
        <f>IF(Q9=3,E9-F9,0)</f>
        <v>0</v>
      </c>
    </row>
    <row r="10" spans="1:19" ht="15.75" customHeight="1" x14ac:dyDescent="0.2">
      <c r="A10" s="520"/>
      <c r="B10" s="1507"/>
      <c r="C10" s="1507"/>
      <c r="D10" s="1508"/>
      <c r="E10" s="476"/>
      <c r="F10" s="477"/>
      <c r="G10" s="491"/>
      <c r="H10" s="492"/>
      <c r="I10" s="481"/>
      <c r="Q10">
        <v>1</v>
      </c>
      <c r="R10" s="524">
        <f t="shared" si="1"/>
        <v>0</v>
      </c>
      <c r="S10" s="525">
        <f t="shared" si="2"/>
        <v>0</v>
      </c>
    </row>
    <row r="11" spans="1:19" ht="15.75" customHeight="1" thickBot="1" x14ac:dyDescent="0.25">
      <c r="A11" s="521"/>
      <c r="B11" s="1509"/>
      <c r="C11" s="1509"/>
      <c r="D11" s="1510"/>
      <c r="E11" s="478"/>
      <c r="F11" s="479"/>
      <c r="G11" s="493"/>
      <c r="H11" s="494"/>
      <c r="I11" s="483"/>
      <c r="Q11">
        <v>1</v>
      </c>
      <c r="R11" s="524">
        <f t="shared" si="1"/>
        <v>0</v>
      </c>
      <c r="S11" s="525">
        <f t="shared" si="2"/>
        <v>0</v>
      </c>
    </row>
    <row r="12" spans="1:19" ht="15.75" customHeight="1" x14ac:dyDescent="0.2">
      <c r="R12" s="526">
        <f>SUM(R5:R11)</f>
        <v>0</v>
      </c>
      <c r="S12" s="527">
        <f>SUM(S5:S11)</f>
        <v>0</v>
      </c>
    </row>
    <row r="13" spans="1:19" ht="15.75" customHeight="1" x14ac:dyDescent="0.25">
      <c r="A13" s="472"/>
      <c r="B13" s="472"/>
      <c r="C13" s="472"/>
      <c r="D13" s="472"/>
      <c r="E13" s="472"/>
      <c r="F13" s="472"/>
      <c r="G13" s="473"/>
    </row>
    <row r="15" spans="1:19" ht="15.75" customHeight="1" x14ac:dyDescent="0.2">
      <c r="D15" s="59"/>
    </row>
    <row r="18" spans="14:17" ht="15.75" customHeight="1" x14ac:dyDescent="0.2">
      <c r="N18" t="str">
        <f>IF(D96&gt;0.1,D96*E96*H96,"")</f>
        <v/>
      </c>
    </row>
    <row r="24" spans="14:17" ht="15.75" customHeight="1" x14ac:dyDescent="0.2">
      <c r="Q24" s="59" t="s">
        <v>394</v>
      </c>
    </row>
    <row r="25" spans="14:17" ht="15.75" customHeight="1" x14ac:dyDescent="0.2">
      <c r="Q25" s="59" t="s">
        <v>391</v>
      </c>
    </row>
    <row r="26" spans="14:17" ht="15.75" customHeight="1" x14ac:dyDescent="0.2">
      <c r="Q26" s="59" t="s">
        <v>392</v>
      </c>
    </row>
  </sheetData>
  <customSheetViews>
    <customSheetView guid="{DDA6E6AA-9473-49A0-A3A2-76E4959B79AF}" state="hidden">
      <selection activeCell="L18" sqref="L18"/>
      <pageMargins left="0.7" right="0.7" top="0.78740157499999996" bottom="0.78740157499999996" header="0.3" footer="0.3"/>
      <pageSetup paperSize="9" orientation="portrait" r:id="rId1"/>
    </customSheetView>
  </customSheetViews>
  <mergeCells count="9">
    <mergeCell ref="B10:D10"/>
    <mergeCell ref="B11:D11"/>
    <mergeCell ref="E4:F4"/>
    <mergeCell ref="R3:S3"/>
    <mergeCell ref="A3:D4"/>
    <mergeCell ref="G3:I3"/>
    <mergeCell ref="N3:P3"/>
    <mergeCell ref="B8:D8"/>
    <mergeCell ref="B9:D9"/>
  </mergeCells>
  <pageMargins left="0.7" right="0.7" top="0.78740157499999996" bottom="0.78740157499999996"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7417" r:id="rId5" name="Drop Down 9">
              <controlPr defaultSize="0" autoLine="0" autoPict="0">
                <anchor moveWithCells="1" sizeWithCells="1">
                  <from>
                    <xdr:col>1</xdr:col>
                    <xdr:colOff>190500</xdr:colOff>
                    <xdr:row>4</xdr:row>
                    <xdr:rowOff>190500</xdr:rowOff>
                  </from>
                  <to>
                    <xdr:col>3</xdr:col>
                    <xdr:colOff>733425</xdr:colOff>
                    <xdr:row>5</xdr:row>
                    <xdr:rowOff>190500</xdr:rowOff>
                  </to>
                </anchor>
              </controlPr>
            </control>
          </mc:Choice>
        </mc:AlternateContent>
        <mc:AlternateContent xmlns:mc="http://schemas.openxmlformats.org/markup-compatibility/2006">
          <mc:Choice Requires="x14">
            <control shapeId="17420" r:id="rId6" name="Drop Down 12">
              <controlPr defaultSize="0" autoLine="0" autoPict="0">
                <anchor moveWithCells="1" sizeWithCells="1">
                  <from>
                    <xdr:col>1</xdr:col>
                    <xdr:colOff>190500</xdr:colOff>
                    <xdr:row>4</xdr:row>
                    <xdr:rowOff>0</xdr:rowOff>
                  </from>
                  <to>
                    <xdr:col>3</xdr:col>
                    <xdr:colOff>733425</xdr:colOff>
                    <xdr:row>5</xdr:row>
                    <xdr:rowOff>0</xdr:rowOff>
                  </to>
                </anchor>
              </controlPr>
            </control>
          </mc:Choice>
        </mc:AlternateContent>
        <mc:AlternateContent xmlns:mc="http://schemas.openxmlformats.org/markup-compatibility/2006">
          <mc:Choice Requires="x14">
            <control shapeId="17421" r:id="rId7" name="Drop Down 13">
              <controlPr defaultSize="0" autoLine="0" autoPict="0">
                <anchor moveWithCells="1" sizeWithCells="1">
                  <from>
                    <xdr:col>1</xdr:col>
                    <xdr:colOff>190500</xdr:colOff>
                    <xdr:row>5</xdr:row>
                    <xdr:rowOff>180975</xdr:rowOff>
                  </from>
                  <to>
                    <xdr:col>3</xdr:col>
                    <xdr:colOff>733425</xdr:colOff>
                    <xdr:row>6</xdr:row>
                    <xdr:rowOff>190500</xdr:rowOff>
                  </to>
                </anchor>
              </controlPr>
            </control>
          </mc:Choice>
        </mc:AlternateContent>
        <mc:AlternateContent xmlns:mc="http://schemas.openxmlformats.org/markup-compatibility/2006">
          <mc:Choice Requires="x14">
            <control shapeId="17425" r:id="rId8" name="Drop Down 17">
              <controlPr defaultSize="0" autoLine="0" autoPict="0">
                <anchor moveWithCells="1" sizeWithCells="1">
                  <from>
                    <xdr:col>0</xdr:col>
                    <xdr:colOff>9525</xdr:colOff>
                    <xdr:row>4</xdr:row>
                    <xdr:rowOff>0</xdr:rowOff>
                  </from>
                  <to>
                    <xdr:col>1</xdr:col>
                    <xdr:colOff>200025</xdr:colOff>
                    <xdr:row>4</xdr:row>
                    <xdr:rowOff>190500</xdr:rowOff>
                  </to>
                </anchor>
              </controlPr>
            </control>
          </mc:Choice>
        </mc:AlternateContent>
        <mc:AlternateContent xmlns:mc="http://schemas.openxmlformats.org/markup-compatibility/2006">
          <mc:Choice Requires="x14">
            <control shapeId="17428" r:id="rId9" name="Drop Down 20">
              <controlPr defaultSize="0" autoLine="0" autoPict="0">
                <anchor moveWithCells="1" sizeWithCells="1">
                  <from>
                    <xdr:col>0</xdr:col>
                    <xdr:colOff>9525</xdr:colOff>
                    <xdr:row>5</xdr:row>
                    <xdr:rowOff>0</xdr:rowOff>
                  </from>
                  <to>
                    <xdr:col>1</xdr:col>
                    <xdr:colOff>200025</xdr:colOff>
                    <xdr:row>5</xdr:row>
                    <xdr:rowOff>190500</xdr:rowOff>
                  </to>
                </anchor>
              </controlPr>
            </control>
          </mc:Choice>
        </mc:AlternateContent>
        <mc:AlternateContent xmlns:mc="http://schemas.openxmlformats.org/markup-compatibility/2006">
          <mc:Choice Requires="x14">
            <control shapeId="17429" r:id="rId10" name="Drop Down 21">
              <controlPr defaultSize="0" autoLine="0" autoPict="0">
                <anchor moveWithCells="1" sizeWithCells="1">
                  <from>
                    <xdr:col>0</xdr:col>
                    <xdr:colOff>9525</xdr:colOff>
                    <xdr:row>6</xdr:row>
                    <xdr:rowOff>0</xdr:rowOff>
                  </from>
                  <to>
                    <xdr:col>1</xdr:col>
                    <xdr:colOff>200025</xdr:colOff>
                    <xdr:row>6</xdr:row>
                    <xdr:rowOff>190500</xdr:rowOff>
                  </to>
                </anchor>
              </controlPr>
            </control>
          </mc:Choice>
        </mc:AlternateContent>
        <mc:AlternateContent xmlns:mc="http://schemas.openxmlformats.org/markup-compatibility/2006">
          <mc:Choice Requires="x14">
            <control shapeId="17430" r:id="rId11" name="Drop Down 22">
              <controlPr defaultSize="0" autoLine="0" autoPict="0">
                <anchor moveWithCells="1" sizeWithCells="1">
                  <from>
                    <xdr:col>0</xdr:col>
                    <xdr:colOff>9525</xdr:colOff>
                    <xdr:row>7</xdr:row>
                    <xdr:rowOff>0</xdr:rowOff>
                  </from>
                  <to>
                    <xdr:col>1</xdr:col>
                    <xdr:colOff>200025</xdr:colOff>
                    <xdr:row>7</xdr:row>
                    <xdr:rowOff>190500</xdr:rowOff>
                  </to>
                </anchor>
              </controlPr>
            </control>
          </mc:Choice>
        </mc:AlternateContent>
        <mc:AlternateContent xmlns:mc="http://schemas.openxmlformats.org/markup-compatibility/2006">
          <mc:Choice Requires="x14">
            <control shapeId="17431" r:id="rId12" name="Drop Down 23">
              <controlPr defaultSize="0" autoLine="0" autoPict="0">
                <anchor moveWithCells="1" sizeWithCells="1">
                  <from>
                    <xdr:col>0</xdr:col>
                    <xdr:colOff>9525</xdr:colOff>
                    <xdr:row>8</xdr:row>
                    <xdr:rowOff>0</xdr:rowOff>
                  </from>
                  <to>
                    <xdr:col>1</xdr:col>
                    <xdr:colOff>200025</xdr:colOff>
                    <xdr:row>8</xdr:row>
                    <xdr:rowOff>190500</xdr:rowOff>
                  </to>
                </anchor>
              </controlPr>
            </control>
          </mc:Choice>
        </mc:AlternateContent>
        <mc:AlternateContent xmlns:mc="http://schemas.openxmlformats.org/markup-compatibility/2006">
          <mc:Choice Requires="x14">
            <control shapeId="17432" r:id="rId13" name="Drop Down 24">
              <controlPr defaultSize="0" autoLine="0" autoPict="0">
                <anchor moveWithCells="1" sizeWithCells="1">
                  <from>
                    <xdr:col>0</xdr:col>
                    <xdr:colOff>9525</xdr:colOff>
                    <xdr:row>9</xdr:row>
                    <xdr:rowOff>0</xdr:rowOff>
                  </from>
                  <to>
                    <xdr:col>1</xdr:col>
                    <xdr:colOff>200025</xdr:colOff>
                    <xdr:row>9</xdr:row>
                    <xdr:rowOff>190500</xdr:rowOff>
                  </to>
                </anchor>
              </controlPr>
            </control>
          </mc:Choice>
        </mc:AlternateContent>
        <mc:AlternateContent xmlns:mc="http://schemas.openxmlformats.org/markup-compatibility/2006">
          <mc:Choice Requires="x14">
            <control shapeId="17433" r:id="rId14" name="Drop Down 25">
              <controlPr defaultSize="0" autoLine="0" autoPict="0">
                <anchor moveWithCells="1" sizeWithCells="1">
                  <from>
                    <xdr:col>0</xdr:col>
                    <xdr:colOff>9525</xdr:colOff>
                    <xdr:row>10</xdr:row>
                    <xdr:rowOff>0</xdr:rowOff>
                  </from>
                  <to>
                    <xdr:col>1</xdr:col>
                    <xdr:colOff>200025</xdr:colOff>
                    <xdr:row>10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CE40"/>
  <sheetViews>
    <sheetView zoomScale="90" zoomScaleNormal="90" workbookViewId="0">
      <selection activeCell="R17" sqref="R17"/>
    </sheetView>
  </sheetViews>
  <sheetFormatPr baseColWidth="10" defaultRowHeight="12.75" x14ac:dyDescent="0.2"/>
  <cols>
    <col min="1" max="1" width="14.7109375" style="15" customWidth="1"/>
    <col min="2" max="2" width="14" style="15" customWidth="1"/>
    <col min="3" max="3" width="12.85546875" style="15" customWidth="1"/>
    <col min="4" max="6" width="7.5703125" style="15" customWidth="1"/>
    <col min="7" max="8" width="6.140625" style="15" customWidth="1"/>
    <col min="9" max="10" width="9.7109375" style="15" customWidth="1"/>
    <col min="11" max="11" width="1" style="15" customWidth="1"/>
    <col min="12" max="12" width="4.85546875" style="15" customWidth="1"/>
    <col min="13" max="13" width="12.42578125" style="594" customWidth="1"/>
    <col min="14" max="14" width="8.85546875" style="594" customWidth="1"/>
    <col min="15" max="15" width="2.7109375" style="594" customWidth="1"/>
    <col min="16" max="17" width="10" style="594" customWidth="1"/>
    <col min="18" max="18" width="6.28515625" style="594" customWidth="1"/>
    <col min="19" max="19" width="8.85546875" style="594" customWidth="1"/>
    <col min="20" max="20" width="5.28515625" style="594" customWidth="1"/>
    <col min="21" max="21" width="6.42578125" style="594" customWidth="1"/>
    <col min="22" max="23" width="12.28515625" style="594" customWidth="1"/>
    <col min="24" max="26" width="8.7109375" style="594" customWidth="1"/>
    <col min="27" max="27" width="11.140625" style="594" customWidth="1"/>
    <col min="28" max="30" width="6.28515625" style="594" customWidth="1"/>
    <col min="31" max="31" width="7" style="594" customWidth="1"/>
    <col min="32" max="35" width="5.28515625" style="594" customWidth="1"/>
    <col min="36" max="36" width="6.140625" style="594" customWidth="1"/>
    <col min="37" max="38" width="5.28515625" style="594" customWidth="1"/>
    <col min="39" max="39" width="8.5703125" style="594" customWidth="1"/>
    <col min="40" max="40" width="5.28515625" style="594" customWidth="1"/>
    <col min="41" max="41" width="6.28515625" style="594" customWidth="1"/>
    <col min="42" max="42" width="9.85546875" style="594" customWidth="1"/>
    <col min="43" max="45" width="5.7109375" style="594" customWidth="1"/>
    <col min="46" max="46" width="7" style="594" customWidth="1"/>
    <col min="47" max="55" width="5.7109375" style="594" customWidth="1"/>
    <col min="56" max="56" width="11" style="594" customWidth="1"/>
    <col min="57" max="81" width="11.85546875" style="594" customWidth="1"/>
    <col min="82" max="83" width="11.85546875" style="15" customWidth="1"/>
    <col min="84" max="93" width="11.42578125" style="15" customWidth="1"/>
    <col min="94" max="16384" width="11.42578125" style="15"/>
  </cols>
  <sheetData>
    <row r="1" spans="1:83" ht="20.25" customHeight="1" x14ac:dyDescent="0.2">
      <c r="A1" s="1529" t="s">
        <v>54</v>
      </c>
      <c r="B1" s="1529"/>
      <c r="C1" s="1529"/>
      <c r="D1" s="1529"/>
      <c r="E1" s="1529"/>
      <c r="F1" s="1529"/>
      <c r="G1" s="1529"/>
      <c r="H1" s="1529"/>
      <c r="I1" s="781"/>
      <c r="J1" s="761"/>
      <c r="K1" s="763"/>
      <c r="L1" s="763"/>
      <c r="M1" s="782"/>
    </row>
    <row r="2" spans="1:83" ht="15.75" customHeight="1" x14ac:dyDescent="0.2">
      <c r="A2" s="761"/>
      <c r="B2" s="783"/>
      <c r="C2" s="781" t="s">
        <v>471</v>
      </c>
      <c r="D2" s="783"/>
      <c r="E2" s="783"/>
      <c r="F2" s="783"/>
      <c r="G2" s="783"/>
      <c r="H2" s="783"/>
      <c r="I2" s="784"/>
      <c r="J2" s="761"/>
      <c r="K2" s="763"/>
      <c r="L2" s="763"/>
      <c r="M2" s="782"/>
    </row>
    <row r="3" spans="1:83" ht="15" customHeight="1" x14ac:dyDescent="0.2">
      <c r="A3" s="785" t="s">
        <v>476</v>
      </c>
      <c r="B3" s="785"/>
      <c r="C3" s="785"/>
      <c r="D3" s="785"/>
      <c r="E3" s="785"/>
      <c r="F3" s="785"/>
      <c r="G3" s="785"/>
      <c r="H3" s="785"/>
      <c r="I3" s="785"/>
      <c r="J3" s="761"/>
      <c r="K3" s="763"/>
      <c r="L3" s="763"/>
      <c r="M3" s="782"/>
    </row>
    <row r="4" spans="1:83" x14ac:dyDescent="0.2">
      <c r="A4" s="761"/>
      <c r="B4" s="761"/>
      <c r="C4" s="761"/>
      <c r="D4" s="761"/>
      <c r="E4" s="761"/>
      <c r="F4" s="761"/>
      <c r="G4" s="761"/>
      <c r="H4" s="761"/>
      <c r="I4" s="762"/>
      <c r="J4" s="761"/>
      <c r="K4" s="763"/>
      <c r="L4" s="763"/>
      <c r="M4" s="782"/>
    </row>
    <row r="5" spans="1:83" ht="21" customHeight="1" x14ac:dyDescent="0.2">
      <c r="A5" s="761" t="s">
        <v>18</v>
      </c>
      <c r="B5" s="786"/>
      <c r="C5" s="787" t="s">
        <v>23</v>
      </c>
      <c r="D5" s="788">
        <v>2018</v>
      </c>
      <c r="E5" s="789"/>
      <c r="F5" s="764"/>
      <c r="G5" s="765" t="s">
        <v>29</v>
      </c>
      <c r="H5" s="761"/>
      <c r="I5" s="761"/>
      <c r="J5" s="763"/>
      <c r="K5" s="763"/>
      <c r="L5" s="763"/>
      <c r="M5" s="782"/>
    </row>
    <row r="6" spans="1:83" ht="21" customHeight="1" x14ac:dyDescent="0.2">
      <c r="A6" s="761" t="s">
        <v>19</v>
      </c>
      <c r="B6" s="1530"/>
      <c r="C6" s="1531"/>
      <c r="D6" s="1531"/>
      <c r="E6" s="790"/>
      <c r="F6" s="764"/>
      <c r="G6" s="765" t="s">
        <v>30</v>
      </c>
      <c r="H6" s="761"/>
      <c r="I6" s="761"/>
      <c r="J6" s="763"/>
      <c r="K6" s="763"/>
      <c r="L6" s="763"/>
      <c r="M6" s="782"/>
    </row>
    <row r="7" spans="1:83" ht="21" customHeight="1" x14ac:dyDescent="0.2">
      <c r="A7" s="761" t="s">
        <v>20</v>
      </c>
      <c r="B7" s="1532"/>
      <c r="C7" s="1533"/>
      <c r="D7" s="1533"/>
      <c r="E7" s="790"/>
      <c r="F7" s="761"/>
      <c r="G7" s="764"/>
      <c r="H7" s="765" t="s">
        <v>32</v>
      </c>
      <c r="I7" s="761"/>
      <c r="J7" s="763"/>
      <c r="K7" s="763"/>
      <c r="L7" s="763"/>
      <c r="M7" s="782"/>
    </row>
    <row r="8" spans="1:83" ht="21" customHeight="1" x14ac:dyDescent="0.2">
      <c r="A8" s="761" t="s">
        <v>21</v>
      </c>
      <c r="B8" s="1532"/>
      <c r="C8" s="1533"/>
      <c r="D8" s="1533"/>
      <c r="E8" s="790"/>
      <c r="F8" s="764"/>
      <c r="G8" s="765" t="s">
        <v>31</v>
      </c>
      <c r="H8" s="761"/>
      <c r="I8" s="761"/>
      <c r="J8" s="763"/>
      <c r="K8" s="763"/>
      <c r="L8" s="763"/>
      <c r="M8" s="782"/>
    </row>
    <row r="9" spans="1:83" ht="21" customHeight="1" x14ac:dyDescent="0.2">
      <c r="A9" s="761" t="s">
        <v>22</v>
      </c>
      <c r="B9" s="1532"/>
      <c r="C9" s="1533"/>
      <c r="D9" s="1533"/>
      <c r="E9" s="790"/>
      <c r="F9" s="761"/>
      <c r="G9" s="764"/>
      <c r="H9" s="765" t="s">
        <v>33</v>
      </c>
      <c r="I9" s="761"/>
      <c r="J9" s="763"/>
      <c r="K9" s="763"/>
      <c r="L9" s="763"/>
      <c r="M9" s="782"/>
    </row>
    <row r="10" spans="1:83" ht="9" customHeight="1" x14ac:dyDescent="0.2">
      <c r="A10" s="761"/>
      <c r="B10" s="791"/>
      <c r="C10" s="790"/>
      <c r="D10" s="790"/>
      <c r="E10" s="790"/>
      <c r="F10" s="766" t="str">
        <f>IF(F6+F8&lt;&gt;F5,"Flächenangaben nicht plausibel",IF(G7&gt;F6,"Flächenangaben nicht plausibel",IF(G9&gt;F8,"Flächenangaben nicht plausibel"," ")))</f>
        <v xml:space="preserve"> </v>
      </c>
      <c r="G10" s="767"/>
      <c r="H10" s="765"/>
      <c r="I10" s="761"/>
      <c r="J10" s="761"/>
      <c r="K10" s="763"/>
      <c r="L10" s="763"/>
      <c r="M10" s="782"/>
    </row>
    <row r="11" spans="1:83" ht="21" customHeight="1" x14ac:dyDescent="0.2">
      <c r="A11" s="761"/>
      <c r="B11" s="792" t="str">
        <f>IF(AP47=2,IF(F5&lt;0.1,"Flächenangaben nicht plausibel"," ")," ")</f>
        <v xml:space="preserve"> </v>
      </c>
      <c r="C11" s="790"/>
      <c r="D11" s="790"/>
      <c r="E11" s="790"/>
      <c r="F11" s="764"/>
      <c r="G11" s="768" t="s">
        <v>53</v>
      </c>
      <c r="H11" s="768"/>
      <c r="I11" s="761"/>
      <c r="J11" s="763"/>
      <c r="K11" s="763"/>
      <c r="L11" s="763"/>
      <c r="M11" s="782"/>
    </row>
    <row r="12" spans="1:83" ht="21" customHeight="1" x14ac:dyDescent="0.2">
      <c r="A12" s="761"/>
      <c r="B12" s="792" t="str">
        <f>IF(AP47=2,IF(B13&lt;3000,"Milchleistung nicht plausibel"," ")," ")</f>
        <v xml:space="preserve"> </v>
      </c>
      <c r="C12" s="761"/>
      <c r="D12" s="761"/>
      <c r="E12" s="761"/>
      <c r="F12" s="764"/>
      <c r="G12" s="769" t="s">
        <v>454</v>
      </c>
      <c r="H12" s="765"/>
      <c r="I12" s="765"/>
      <c r="J12" s="761"/>
      <c r="K12" s="763"/>
      <c r="L12" s="763"/>
      <c r="M12" s="782"/>
      <c r="AU12" s="595"/>
      <c r="AV12" s="595"/>
      <c r="AW12" s="595"/>
    </row>
    <row r="13" spans="1:83" s="48" customFormat="1" ht="10.5" customHeight="1" x14ac:dyDescent="0.2">
      <c r="A13" s="793"/>
      <c r="B13" s="794"/>
      <c r="C13" s="794"/>
      <c r="D13" s="794"/>
      <c r="E13" s="794"/>
      <c r="F13" s="794"/>
      <c r="G13" s="794"/>
      <c r="H13" s="794"/>
      <c r="I13" s="794"/>
      <c r="J13" s="761"/>
      <c r="K13" s="795"/>
      <c r="L13" s="795"/>
      <c r="M13" s="796"/>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c r="AO13" s="670"/>
      <c r="AP13" s="670"/>
      <c r="AQ13" s="670"/>
      <c r="AR13" s="670"/>
      <c r="AS13" s="670"/>
      <c r="AT13" s="670"/>
      <c r="AU13" s="670"/>
      <c r="AV13" s="670"/>
      <c r="AW13" s="670"/>
      <c r="AX13" s="670"/>
      <c r="AY13" s="670"/>
      <c r="AZ13" s="670"/>
      <c r="BA13" s="670"/>
      <c r="BB13" s="670"/>
      <c r="BC13" s="670"/>
      <c r="BD13" s="670"/>
      <c r="BE13" s="670"/>
      <c r="BF13" s="670"/>
      <c r="BG13" s="670"/>
      <c r="BH13" s="670"/>
      <c r="BI13" s="670"/>
      <c r="BJ13" s="670"/>
      <c r="BK13" s="670"/>
      <c r="BL13" s="670"/>
      <c r="BM13" s="670"/>
      <c r="BN13" s="670"/>
      <c r="BO13" s="670"/>
      <c r="BP13" s="670"/>
      <c r="BQ13" s="670"/>
      <c r="BR13" s="670"/>
      <c r="BS13" s="670"/>
      <c r="BT13" s="670"/>
      <c r="BU13" s="670"/>
      <c r="BV13" s="670"/>
      <c r="BW13" s="670"/>
      <c r="BX13" s="670"/>
      <c r="BY13" s="670"/>
      <c r="BZ13" s="670"/>
      <c r="CA13" s="670"/>
      <c r="CB13" s="670"/>
      <c r="CC13" s="670"/>
      <c r="CD13" s="47"/>
      <c r="CE13" s="47"/>
    </row>
    <row r="14" spans="1:83" x14ac:dyDescent="0.2">
      <c r="A14" s="763"/>
      <c r="B14" s="763"/>
      <c r="C14" s="763"/>
      <c r="D14" s="763"/>
      <c r="E14" s="763"/>
      <c r="F14" s="763"/>
      <c r="G14" s="763"/>
      <c r="H14" s="763"/>
      <c r="I14" s="763"/>
      <c r="J14" s="763"/>
      <c r="K14" s="763"/>
      <c r="L14" s="763"/>
      <c r="M14" s="782"/>
    </row>
    <row r="15" spans="1:83" ht="15.75" x14ac:dyDescent="0.25">
      <c r="A15" s="797" t="s">
        <v>487</v>
      </c>
      <c r="B15" s="763"/>
      <c r="C15" s="763"/>
      <c r="D15" s="763"/>
      <c r="E15" s="763"/>
      <c r="F15" s="763"/>
      <c r="G15" s="763"/>
      <c r="H15" s="763"/>
      <c r="I15" s="763"/>
      <c r="J15" s="763"/>
      <c r="K15" s="763"/>
      <c r="L15" s="763"/>
      <c r="M15" s="782"/>
    </row>
    <row r="16" spans="1:83" ht="15" x14ac:dyDescent="0.25">
      <c r="A16" s="763"/>
      <c r="B16" s="798"/>
      <c r="C16" s="798"/>
      <c r="D16" s="798"/>
      <c r="E16" s="798"/>
      <c r="F16" s="798"/>
      <c r="G16" s="798"/>
      <c r="H16" s="798"/>
      <c r="I16" s="798"/>
      <c r="J16" s="798"/>
      <c r="K16" s="798"/>
      <c r="L16" s="798"/>
      <c r="M16" s="798"/>
      <c r="N16" s="737"/>
      <c r="O16" s="737"/>
      <c r="P16" s="737"/>
      <c r="Q16" s="737"/>
      <c r="R16" s="737"/>
      <c r="S16" s="737"/>
      <c r="T16" s="737"/>
    </row>
    <row r="17" spans="1:81" ht="15" x14ac:dyDescent="0.25">
      <c r="A17" s="799"/>
      <c r="B17" s="800" t="s">
        <v>477</v>
      </c>
      <c r="C17" s="800" t="s">
        <v>478</v>
      </c>
      <c r="D17" s="801" t="s">
        <v>5</v>
      </c>
      <c r="E17" s="802" t="s">
        <v>6</v>
      </c>
      <c r="F17" s="803" t="s">
        <v>7</v>
      </c>
      <c r="G17" s="802" t="s">
        <v>290</v>
      </c>
      <c r="H17" s="804" t="s">
        <v>479</v>
      </c>
      <c r="I17" s="802" t="s">
        <v>5</v>
      </c>
      <c r="J17" s="802" t="s">
        <v>6</v>
      </c>
      <c r="K17" s="803" t="s">
        <v>7</v>
      </c>
      <c r="L17" s="782"/>
      <c r="M17" s="805"/>
      <c r="BU17" s="15"/>
      <c r="BV17" s="15"/>
      <c r="BW17" s="15"/>
      <c r="BX17" s="15"/>
      <c r="BY17" s="15"/>
      <c r="BZ17" s="15"/>
      <c r="CA17" s="15"/>
      <c r="CB17" s="15"/>
      <c r="CC17" s="15"/>
    </row>
    <row r="18" spans="1:81" ht="15" x14ac:dyDescent="0.25">
      <c r="A18" s="806"/>
      <c r="B18" s="807" t="s">
        <v>480</v>
      </c>
      <c r="C18" s="807" t="s">
        <v>2</v>
      </c>
      <c r="D18" s="1534" t="s">
        <v>389</v>
      </c>
      <c r="E18" s="1535"/>
      <c r="F18" s="1536"/>
      <c r="G18" s="808" t="s">
        <v>481</v>
      </c>
      <c r="H18" s="809"/>
      <c r="I18" s="809"/>
      <c r="J18" s="809"/>
      <c r="K18" s="810"/>
      <c r="L18" s="782"/>
      <c r="M18" s="805"/>
      <c r="BU18" s="15"/>
      <c r="BV18" s="15"/>
      <c r="BW18" s="15"/>
      <c r="BX18" s="15"/>
      <c r="BY18" s="15"/>
      <c r="BZ18" s="15"/>
      <c r="CA18" s="15"/>
      <c r="CB18" s="15"/>
      <c r="CC18" s="15"/>
    </row>
    <row r="19" spans="1:81" ht="14.25" x14ac:dyDescent="0.2">
      <c r="A19" s="811" t="s">
        <v>482</v>
      </c>
      <c r="B19" s="812">
        <f>'Berech. Lagerraum flüssig+fest'!M48</f>
        <v>0</v>
      </c>
      <c r="C19" s="813" t="str">
        <f>'Berech. Lagerraum flüssig+fest'!C52</f>
        <v xml:space="preserve"> </v>
      </c>
      <c r="D19" s="814" t="str">
        <f>'Berech. Lagerraum flüssig+fest'!D52</f>
        <v xml:space="preserve"> </v>
      </c>
      <c r="E19" s="814" t="str">
        <f>'Berech. Lagerraum flüssig+fest'!E52</f>
        <v xml:space="preserve"> </v>
      </c>
      <c r="F19" s="814" t="str">
        <f>'Berech. Lagerraum flüssig+fest'!F52</f>
        <v xml:space="preserve"> </v>
      </c>
      <c r="G19" s="815" t="str">
        <f>IF(B19=0," ",B19*C19/100)</f>
        <v xml:space="preserve"> </v>
      </c>
      <c r="H19" s="816" t="str">
        <f>IF(B19=0," ",B19-B19*B37/100)</f>
        <v xml:space="preserve"> </v>
      </c>
      <c r="I19" s="817">
        <f>'Berech. Lagerraum flüssig+fest'!R48</f>
        <v>0</v>
      </c>
      <c r="J19" s="817">
        <f>'Berech. Lagerraum flüssig+fest'!T48</f>
        <v>0</v>
      </c>
      <c r="K19" s="818">
        <f>'Berech. Lagerraum flüssig+fest'!U48</f>
        <v>0</v>
      </c>
      <c r="L19" s="782"/>
      <c r="M19" s="805"/>
      <c r="BU19" s="15"/>
      <c r="BV19" s="15"/>
      <c r="BW19" s="15"/>
      <c r="BX19" s="15"/>
      <c r="BY19" s="15"/>
      <c r="BZ19" s="15"/>
      <c r="CA19" s="15"/>
      <c r="CB19" s="15"/>
      <c r="CC19" s="15"/>
    </row>
    <row r="20" spans="1:81" ht="14.25" x14ac:dyDescent="0.2">
      <c r="A20" s="819"/>
      <c r="B20" s="820"/>
      <c r="C20" s="821"/>
      <c r="D20" s="822"/>
      <c r="E20" s="822"/>
      <c r="F20" s="822"/>
      <c r="G20" s="821"/>
      <c r="H20" s="821"/>
      <c r="I20" s="821"/>
      <c r="J20" s="822"/>
      <c r="K20" s="820"/>
      <c r="L20" s="820"/>
      <c r="M20" s="820"/>
      <c r="N20" s="753"/>
      <c r="O20" s="753"/>
      <c r="BY20" s="15"/>
      <c r="BZ20" s="15"/>
      <c r="CA20" s="15"/>
      <c r="CB20" s="15"/>
      <c r="CC20" s="15"/>
    </row>
    <row r="21" spans="1:81" ht="15" x14ac:dyDescent="0.25">
      <c r="A21" s="823"/>
      <c r="B21" s="798"/>
      <c r="C21" s="798"/>
      <c r="D21" s="798"/>
      <c r="E21" s="798"/>
      <c r="F21" s="798"/>
      <c r="G21" s="798"/>
      <c r="H21" s="798"/>
      <c r="I21" s="798"/>
      <c r="J21" s="798"/>
      <c r="K21" s="798"/>
      <c r="L21" s="798"/>
      <c r="M21" s="798"/>
      <c r="N21" s="737"/>
      <c r="O21" s="737"/>
      <c r="BY21" s="15"/>
      <c r="BZ21" s="15"/>
      <c r="CA21" s="15"/>
      <c r="CB21" s="15"/>
      <c r="CC21" s="15"/>
    </row>
    <row r="22" spans="1:81" ht="15.75" thickBot="1" x14ac:dyDescent="0.3">
      <c r="A22" s="824"/>
      <c r="B22" s="763"/>
      <c r="C22" s="763"/>
      <c r="D22" s="763"/>
      <c r="E22" s="763"/>
      <c r="F22" s="763"/>
      <c r="G22" s="763"/>
      <c r="H22" s="763"/>
      <c r="I22" s="763"/>
      <c r="J22" s="763"/>
      <c r="K22" s="798"/>
      <c r="L22" s="798"/>
      <c r="M22" s="798"/>
      <c r="N22" s="737"/>
      <c r="O22" s="737"/>
      <c r="BY22" s="15"/>
      <c r="BZ22" s="15"/>
      <c r="CA22" s="15"/>
      <c r="CB22" s="15"/>
      <c r="CC22" s="15"/>
    </row>
    <row r="23" spans="1:81" ht="15.75" thickBot="1" x14ac:dyDescent="0.3">
      <c r="A23" s="763"/>
      <c r="B23" s="798"/>
      <c r="C23" s="825">
        <f>100-D23</f>
        <v>100</v>
      </c>
      <c r="D23" s="826">
        <v>0</v>
      </c>
      <c r="E23" s="827" t="s">
        <v>483</v>
      </c>
      <c r="F23" s="798"/>
      <c r="G23" s="798"/>
      <c r="H23" s="798"/>
      <c r="I23" s="798"/>
      <c r="J23" s="798"/>
      <c r="K23" s="798"/>
      <c r="L23" s="798"/>
      <c r="M23" s="798"/>
      <c r="N23" s="737"/>
      <c r="O23" s="737"/>
      <c r="BY23" s="15"/>
      <c r="BZ23" s="15"/>
      <c r="CA23" s="15"/>
      <c r="CB23" s="15"/>
      <c r="CC23" s="15"/>
    </row>
    <row r="24" spans="1:81" ht="15" x14ac:dyDescent="0.25">
      <c r="A24" s="824"/>
      <c r="B24" s="798"/>
      <c r="C24" s="828"/>
      <c r="D24" s="829"/>
      <c r="E24" s="827"/>
      <c r="F24" s="798"/>
      <c r="G24" s="798"/>
      <c r="H24" s="798"/>
      <c r="I24" s="798"/>
      <c r="J24" s="798"/>
      <c r="K24" s="798"/>
      <c r="L24" s="798"/>
      <c r="M24" s="798"/>
      <c r="N24" s="737"/>
      <c r="O24" s="737"/>
      <c r="BY24" s="15"/>
      <c r="BZ24" s="15"/>
      <c r="CA24" s="15"/>
      <c r="CB24" s="15"/>
      <c r="CC24" s="15"/>
    </row>
    <row r="25" spans="1:81" ht="15" x14ac:dyDescent="0.25">
      <c r="A25" s="824"/>
      <c r="B25" s="798"/>
      <c r="C25" s="828"/>
      <c r="D25" s="829"/>
      <c r="E25" s="827"/>
      <c r="F25" s="798"/>
      <c r="G25" s="798"/>
      <c r="H25" s="798"/>
      <c r="I25" s="798"/>
      <c r="J25" s="798"/>
      <c r="K25" s="798"/>
      <c r="L25" s="798"/>
      <c r="M25" s="798"/>
      <c r="N25" s="737"/>
      <c r="O25" s="737"/>
      <c r="BY25" s="15"/>
      <c r="BZ25" s="15"/>
      <c r="CA25" s="15"/>
      <c r="CB25" s="15"/>
      <c r="CC25" s="15"/>
    </row>
    <row r="26" spans="1:81" ht="15" x14ac:dyDescent="0.25">
      <c r="A26" s="824"/>
      <c r="B26" s="798"/>
      <c r="C26" s="828"/>
      <c r="D26" s="829"/>
      <c r="E26" s="827"/>
      <c r="F26" s="798"/>
      <c r="G26" s="798"/>
      <c r="H26" s="798"/>
      <c r="I26" s="798"/>
      <c r="J26" s="798"/>
      <c r="K26" s="798"/>
      <c r="L26" s="798"/>
      <c r="M26" s="798"/>
      <c r="N26" s="737"/>
      <c r="O26" s="737"/>
      <c r="BY26" s="15"/>
      <c r="BZ26" s="15"/>
      <c r="CA26" s="15"/>
      <c r="CB26" s="15"/>
      <c r="CC26" s="15"/>
    </row>
    <row r="27" spans="1:81" ht="15" x14ac:dyDescent="0.25">
      <c r="A27" s="824"/>
      <c r="B27" s="798"/>
      <c r="C27" s="828"/>
      <c r="D27" s="829"/>
      <c r="E27" s="827"/>
      <c r="F27" s="798"/>
      <c r="G27" s="798"/>
      <c r="H27" s="798"/>
      <c r="I27" s="798"/>
      <c r="J27" s="798"/>
      <c r="K27" s="798"/>
      <c r="L27" s="798"/>
      <c r="M27" s="798"/>
      <c r="N27" s="737"/>
      <c r="O27" s="737"/>
      <c r="BY27" s="15"/>
      <c r="BZ27" s="15"/>
      <c r="CA27" s="15"/>
      <c r="CB27" s="15"/>
      <c r="CC27" s="15"/>
    </row>
    <row r="28" spans="1:81" ht="15" x14ac:dyDescent="0.25">
      <c r="A28" s="824"/>
      <c r="B28" s="798"/>
      <c r="C28" s="828"/>
      <c r="D28" s="829"/>
      <c r="E28" s="827"/>
      <c r="F28" s="798"/>
      <c r="G28" s="798"/>
      <c r="H28" s="798"/>
      <c r="I28" s="798"/>
      <c r="J28" s="798"/>
      <c r="K28" s="798"/>
      <c r="L28" s="798"/>
      <c r="M28" s="798"/>
      <c r="N28" s="737"/>
      <c r="O28" s="737"/>
      <c r="BY28" s="15"/>
      <c r="BZ28" s="15"/>
      <c r="CA28" s="15"/>
      <c r="CB28" s="15"/>
      <c r="CC28" s="15"/>
    </row>
    <row r="29" spans="1:81" ht="15" x14ac:dyDescent="0.25">
      <c r="A29" s="824"/>
      <c r="B29" s="798"/>
      <c r="C29" s="828"/>
      <c r="D29" s="829"/>
      <c r="E29" s="827"/>
      <c r="F29" s="798"/>
      <c r="G29" s="798"/>
      <c r="H29" s="798"/>
      <c r="I29" s="798"/>
      <c r="J29" s="798"/>
      <c r="K29" s="798"/>
      <c r="L29" s="798"/>
      <c r="M29" s="798"/>
      <c r="N29" s="737"/>
      <c r="O29" s="737"/>
      <c r="BY29" s="15"/>
      <c r="BZ29" s="15"/>
      <c r="CA29" s="15"/>
      <c r="CB29" s="15"/>
      <c r="CC29" s="15"/>
    </row>
    <row r="30" spans="1:81" ht="15" x14ac:dyDescent="0.25">
      <c r="A30" s="824"/>
      <c r="B30" s="798"/>
      <c r="C30" s="828"/>
      <c r="D30" s="829"/>
      <c r="E30" s="827"/>
      <c r="F30" s="798"/>
      <c r="G30" s="798"/>
      <c r="H30" s="798"/>
      <c r="I30" s="798"/>
      <c r="J30" s="798"/>
      <c r="K30" s="798"/>
      <c r="L30" s="798"/>
      <c r="M30" s="798"/>
      <c r="N30" s="737"/>
      <c r="O30" s="737"/>
      <c r="BY30" s="15"/>
      <c r="BZ30" s="15"/>
      <c r="CA30" s="15"/>
      <c r="CB30" s="15"/>
      <c r="CC30" s="15"/>
    </row>
    <row r="31" spans="1:81" ht="15" x14ac:dyDescent="0.25">
      <c r="A31" s="819"/>
      <c r="B31" s="798"/>
      <c r="C31" s="798"/>
      <c r="D31" s="798"/>
      <c r="E31" s="798"/>
      <c r="F31" s="798"/>
      <c r="G31" s="798"/>
      <c r="H31" s="798"/>
      <c r="I31" s="798"/>
      <c r="J31" s="798"/>
      <c r="K31" s="798"/>
      <c r="L31" s="798"/>
      <c r="M31" s="798"/>
      <c r="N31" s="737"/>
      <c r="O31" s="737"/>
      <c r="BY31" s="15"/>
      <c r="BZ31" s="15"/>
      <c r="CA31" s="15"/>
      <c r="CB31" s="15"/>
      <c r="CC31" s="15"/>
    </row>
    <row r="32" spans="1:81" ht="15" x14ac:dyDescent="0.25">
      <c r="A32" s="819"/>
      <c r="B32" s="798"/>
      <c r="C32" s="798"/>
      <c r="D32" s="798"/>
      <c r="E32" s="798"/>
      <c r="F32" s="798"/>
      <c r="G32" s="798"/>
      <c r="H32" s="798"/>
      <c r="I32" s="798"/>
      <c r="J32" s="798"/>
      <c r="K32" s="798"/>
      <c r="L32" s="798"/>
      <c r="M32" s="798"/>
      <c r="N32" s="737"/>
      <c r="O32" s="737"/>
      <c r="BY32" s="15"/>
      <c r="BZ32" s="15"/>
      <c r="CA32" s="15"/>
      <c r="CB32" s="15"/>
      <c r="CC32" s="15"/>
    </row>
    <row r="33" spans="1:81" ht="15" x14ac:dyDescent="0.25">
      <c r="A33" s="763"/>
      <c r="B33" s="763"/>
      <c r="C33" s="763"/>
      <c r="D33" s="763"/>
      <c r="E33" s="763"/>
      <c r="F33" s="763"/>
      <c r="G33" s="763"/>
      <c r="H33" s="763"/>
      <c r="I33" s="763"/>
      <c r="J33" s="763"/>
      <c r="K33" s="798"/>
      <c r="L33" s="798"/>
      <c r="M33" s="798"/>
      <c r="N33" s="737"/>
      <c r="O33" s="737"/>
      <c r="BY33" s="15"/>
      <c r="BZ33" s="15"/>
      <c r="CA33" s="15"/>
      <c r="CB33" s="15"/>
      <c r="CC33" s="15"/>
    </row>
    <row r="34" spans="1:81" ht="15" x14ac:dyDescent="0.25">
      <c r="A34" s="823"/>
      <c r="B34" s="798"/>
      <c r="C34" s="798"/>
      <c r="D34" s="798"/>
      <c r="E34" s="798"/>
      <c r="F34" s="798"/>
      <c r="G34" s="798"/>
      <c r="H34" s="798"/>
      <c r="I34" s="798"/>
      <c r="J34" s="798"/>
      <c r="K34" s="798"/>
      <c r="L34" s="798"/>
      <c r="M34" s="798"/>
      <c r="N34" s="737"/>
      <c r="O34" s="737"/>
      <c r="BY34" s="15"/>
      <c r="BZ34" s="15"/>
      <c r="CA34" s="15"/>
      <c r="CB34" s="15"/>
      <c r="CC34" s="15"/>
    </row>
    <row r="35" spans="1:81" ht="15" x14ac:dyDescent="0.25">
      <c r="A35" s="823"/>
      <c r="B35" s="798"/>
      <c r="C35" s="798"/>
      <c r="D35" s="798"/>
      <c r="E35" s="798"/>
      <c r="F35" s="798"/>
      <c r="G35" s="798"/>
      <c r="H35" s="798"/>
      <c r="I35" s="798"/>
      <c r="J35" s="798"/>
      <c r="K35" s="798"/>
      <c r="L35" s="798"/>
      <c r="M35" s="798"/>
      <c r="N35" s="737"/>
      <c r="O35" s="737"/>
      <c r="BY35" s="15"/>
      <c r="BZ35" s="15"/>
      <c r="CA35" s="15"/>
      <c r="CB35" s="15"/>
      <c r="CC35" s="15"/>
    </row>
    <row r="36" spans="1:81" ht="15" x14ac:dyDescent="0.25">
      <c r="A36" s="830" t="s">
        <v>484</v>
      </c>
      <c r="B36" s="800">
        <f>B19*C23/100</f>
        <v>0</v>
      </c>
      <c r="C36" s="798"/>
      <c r="D36" s="830" t="s">
        <v>484</v>
      </c>
      <c r="E36" s="831"/>
      <c r="F36" s="832" t="str">
        <f>IF(B19=0," ",B19-B36-J36)</f>
        <v xml:space="preserve"> </v>
      </c>
      <c r="G36" s="798"/>
      <c r="H36" s="830" t="s">
        <v>485</v>
      </c>
      <c r="I36" s="831"/>
      <c r="J36" s="832" t="str">
        <f>IF(B19=0," ",B19*D23/100*((C19-F37)/(J37-F37)))</f>
        <v xml:space="preserve"> </v>
      </c>
      <c r="K36" s="763"/>
      <c r="L36" s="763"/>
      <c r="M36" s="782"/>
      <c r="N36" s="737"/>
      <c r="O36" s="737"/>
      <c r="P36" s="737"/>
      <c r="BZ36" s="15"/>
      <c r="CA36" s="15"/>
      <c r="CB36" s="15"/>
      <c r="CC36" s="15"/>
    </row>
    <row r="37" spans="1:81" ht="15" x14ac:dyDescent="0.25">
      <c r="A37" s="833" t="s">
        <v>486</v>
      </c>
      <c r="B37" s="834" t="str">
        <f>C19</f>
        <v xml:space="preserve"> </v>
      </c>
      <c r="C37" s="798"/>
      <c r="D37" s="833" t="s">
        <v>486</v>
      </c>
      <c r="E37" s="835"/>
      <c r="F37" s="836">
        <v>4</v>
      </c>
      <c r="G37" s="798"/>
      <c r="H37" s="833" t="s">
        <v>486</v>
      </c>
      <c r="I37" s="835"/>
      <c r="J37" s="837">
        <v>25</v>
      </c>
      <c r="K37" s="763"/>
      <c r="L37" s="763"/>
      <c r="M37" s="782"/>
      <c r="N37" s="737"/>
      <c r="O37" s="737"/>
      <c r="P37" s="737"/>
      <c r="BZ37" s="15"/>
      <c r="CA37" s="15"/>
      <c r="CB37" s="15"/>
      <c r="CC37" s="15"/>
    </row>
    <row r="38" spans="1:81" ht="15" x14ac:dyDescent="0.25">
      <c r="A38" s="823"/>
      <c r="B38" s="798"/>
      <c r="C38" s="798"/>
      <c r="D38" s="823"/>
      <c r="E38" s="798"/>
      <c r="F38" s="798"/>
      <c r="G38" s="798"/>
      <c r="H38" s="798"/>
      <c r="I38" s="798"/>
      <c r="J38" s="798"/>
      <c r="K38" s="798"/>
      <c r="L38" s="798"/>
      <c r="M38" s="798"/>
      <c r="N38" s="737"/>
      <c r="O38" s="737"/>
      <c r="P38" s="737"/>
      <c r="Q38" s="737"/>
      <c r="R38" s="737"/>
      <c r="CB38" s="15"/>
      <c r="CC38" s="15"/>
    </row>
    <row r="39" spans="1:81" x14ac:dyDescent="0.2">
      <c r="A39" s="763"/>
      <c r="B39" s="763"/>
      <c r="C39" s="763"/>
      <c r="D39" s="763"/>
      <c r="E39" s="763"/>
      <c r="F39" s="763"/>
      <c r="G39" s="763"/>
      <c r="H39" s="763"/>
      <c r="I39" s="763"/>
      <c r="J39" s="763"/>
      <c r="K39" s="782"/>
      <c r="L39" s="782"/>
      <c r="M39" s="782"/>
      <c r="CB39" s="15"/>
      <c r="CC39" s="15"/>
    </row>
    <row r="40" spans="1:81" x14ac:dyDescent="0.2">
      <c r="A40" s="763"/>
      <c r="B40" s="763"/>
      <c r="C40" s="763"/>
      <c r="D40" s="763"/>
      <c r="E40" s="763"/>
      <c r="F40" s="763"/>
      <c r="G40" s="763"/>
      <c r="H40" s="763"/>
      <c r="I40" s="763"/>
      <c r="J40" s="763"/>
      <c r="K40" s="763"/>
      <c r="L40" s="763"/>
      <c r="M40" s="782"/>
    </row>
  </sheetData>
  <protectedRanges>
    <protectedRange sqref="B5:B9 F5:F6 G7 F8 G9 F11:F12" name="Bereich1_1"/>
  </protectedRanges>
  <mergeCells count="6">
    <mergeCell ref="D18:F18"/>
    <mergeCell ref="A1:H1"/>
    <mergeCell ref="B6:D6"/>
    <mergeCell ref="B7:D7"/>
    <mergeCell ref="B8:D8"/>
    <mergeCell ref="B9:D9"/>
  </mergeCells>
  <dataValidations count="3">
    <dataValidation type="decimal" allowBlank="1" showInputMessage="1" showErrorMessage="1" sqref="F12">
      <formula1>0</formula1>
      <formula2>100</formula2>
    </dataValidation>
    <dataValidation type="textLength" allowBlank="1" showInputMessage="1" showErrorMessage="1" errorTitle="Ungültige Dateneingabe" error="Geben Sie eine gültige Betriebsnummer ein." sqref="B5">
      <formula1>10</formula1>
      <formula2>12</formula2>
    </dataValidation>
    <dataValidation type="decimal" allowBlank="1" showInputMessage="1" showErrorMessage="1" errorTitle="Ungültige Dateneingabe" error="Geben Sie eine Zahl ein." sqref="F5:F6 G7 F8 F11 G9:G10">
      <formula1>0</formula1>
      <formula2>9999</formula2>
    </dataValidation>
  </dataValidations>
  <pageMargins left="0.7" right="0.7" top="0.78740157499999996" bottom="0.78740157499999996" header="0.3" footer="0.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AB90"/>
  <sheetViews>
    <sheetView zoomScale="80" zoomScaleNormal="80" workbookViewId="0">
      <selection activeCell="W74" sqref="W74:Y74"/>
    </sheetView>
  </sheetViews>
  <sheetFormatPr baseColWidth="10" defaultRowHeight="12.75" x14ac:dyDescent="0.2"/>
  <cols>
    <col min="1" max="1" width="1" style="456" customWidth="1"/>
    <col min="2" max="2" width="49.7109375" style="456" customWidth="1"/>
    <col min="3" max="3" width="10.28515625" style="321" customWidth="1"/>
    <col min="4" max="4" width="7.140625" style="320" customWidth="1"/>
    <col min="5" max="6" width="5.7109375" style="320" customWidth="1"/>
    <col min="7" max="7" width="5.7109375" style="321" customWidth="1"/>
    <col min="8" max="9" width="5.7109375" style="320" customWidth="1"/>
    <col min="10" max="11" width="11" style="320" customWidth="1"/>
    <col min="12" max="12" width="11.28515625" style="320" customWidth="1"/>
    <col min="13" max="16" width="10.7109375" style="320" customWidth="1"/>
    <col min="17" max="17" width="14.7109375" style="320" customWidth="1"/>
    <col min="18" max="19" width="13.7109375" style="320" customWidth="1"/>
    <col min="20" max="20" width="7.85546875" style="320" customWidth="1"/>
    <col min="21" max="21" width="8.7109375" style="320" customWidth="1"/>
    <col min="22" max="22" width="12.5703125" style="322" customWidth="1"/>
    <col min="23" max="16384" width="11.42578125" style="323"/>
  </cols>
  <sheetData>
    <row r="1" spans="1:27" x14ac:dyDescent="0.2">
      <c r="A1" s="318" t="s">
        <v>323</v>
      </c>
      <c r="B1" s="66"/>
      <c r="C1" s="319" t="s">
        <v>324</v>
      </c>
      <c r="E1" s="67"/>
      <c r="F1" s="74"/>
      <c r="H1" s="74"/>
      <c r="I1" s="74"/>
      <c r="J1" s="74"/>
      <c r="K1" s="74"/>
      <c r="L1" s="74"/>
      <c r="M1" s="74"/>
      <c r="N1" s="74"/>
      <c r="O1" s="74"/>
      <c r="P1" s="74"/>
      <c r="Q1" s="74"/>
      <c r="R1" s="74"/>
      <c r="S1" s="74"/>
      <c r="T1" s="74"/>
      <c r="U1" s="74"/>
    </row>
    <row r="2" spans="1:27" x14ac:dyDescent="0.2">
      <c r="A2" s="75"/>
      <c r="B2" s="66"/>
      <c r="C2" s="324"/>
      <c r="D2" s="74"/>
      <c r="E2" s="74"/>
      <c r="F2" s="74"/>
      <c r="G2" s="324"/>
      <c r="H2" s="74"/>
      <c r="I2" s="74"/>
      <c r="J2" s="74"/>
      <c r="K2" s="74"/>
      <c r="L2" s="74"/>
      <c r="M2" s="74"/>
      <c r="N2" s="74"/>
      <c r="O2" s="74"/>
      <c r="P2" s="74"/>
      <c r="Q2" s="74"/>
      <c r="R2" s="74"/>
      <c r="S2" s="74"/>
      <c r="T2" s="74"/>
      <c r="U2" s="74"/>
      <c r="V2" s="253" t="s">
        <v>504</v>
      </c>
    </row>
    <row r="3" spans="1:27" x14ac:dyDescent="0.2">
      <c r="A3" s="75"/>
      <c r="B3" s="1051" t="s">
        <v>549</v>
      </c>
      <c r="C3" s="324"/>
      <c r="D3" s="74"/>
      <c r="E3" s="74"/>
      <c r="F3" s="74"/>
      <c r="G3" s="324"/>
      <c r="H3" s="74"/>
      <c r="I3" s="74"/>
      <c r="J3" s="74"/>
      <c r="K3" s="74"/>
      <c r="L3" s="74"/>
      <c r="M3" s="74"/>
      <c r="N3" s="74"/>
      <c r="O3" s="74"/>
      <c r="P3" s="74"/>
      <c r="Q3" s="74"/>
      <c r="R3" s="74"/>
      <c r="S3" s="74"/>
      <c r="T3" s="74"/>
      <c r="U3" s="74"/>
      <c r="V3" s="253"/>
    </row>
    <row r="4" spans="1:27" ht="13.5" thickBot="1" x14ac:dyDescent="0.25">
      <c r="A4" s="75"/>
      <c r="B4" s="66"/>
      <c r="C4" s="325"/>
      <c r="D4" s="74"/>
      <c r="E4" s="74"/>
      <c r="F4" s="74"/>
      <c r="G4" s="324"/>
      <c r="H4" s="74"/>
      <c r="I4" s="74"/>
      <c r="J4" s="74"/>
      <c r="K4" s="74"/>
      <c r="L4" s="74"/>
      <c r="M4" s="74"/>
      <c r="N4" s="74"/>
      <c r="O4" s="74"/>
      <c r="P4" s="74"/>
      <c r="Q4" s="74"/>
      <c r="R4" s="74"/>
      <c r="S4" s="74"/>
      <c r="T4" s="74"/>
      <c r="U4" s="74"/>
      <c r="V4" s="74"/>
    </row>
    <row r="5" spans="1:27" ht="14.25" x14ac:dyDescent="0.2">
      <c r="A5" s="76"/>
      <c r="B5" s="77"/>
      <c r="C5" s="326" t="s">
        <v>325</v>
      </c>
      <c r="D5" s="327" t="s">
        <v>3</v>
      </c>
      <c r="E5" s="78"/>
      <c r="F5" s="78"/>
      <c r="G5" s="1545" t="s">
        <v>326</v>
      </c>
      <c r="H5" s="1546"/>
      <c r="I5" s="1546"/>
      <c r="J5" s="1547"/>
      <c r="K5" s="698" t="s">
        <v>468</v>
      </c>
      <c r="L5" s="328" t="s">
        <v>327</v>
      </c>
      <c r="M5" s="1548" t="s">
        <v>328</v>
      </c>
      <c r="N5" s="1548"/>
      <c r="O5" s="1549"/>
      <c r="P5" s="698" t="s">
        <v>468</v>
      </c>
      <c r="Q5" s="328" t="s">
        <v>329</v>
      </c>
      <c r="R5" s="328" t="s">
        <v>330</v>
      </c>
      <c r="S5" s="698" t="s">
        <v>468</v>
      </c>
      <c r="T5" s="1545" t="s">
        <v>331</v>
      </c>
      <c r="U5" s="1547"/>
      <c r="V5" s="320" t="s">
        <v>404</v>
      </c>
      <c r="W5" s="1537" t="s">
        <v>441</v>
      </c>
      <c r="X5" s="1538"/>
      <c r="Y5" s="1539"/>
      <c r="Z5" s="323" t="s">
        <v>464</v>
      </c>
    </row>
    <row r="6" spans="1:27" ht="14.25" x14ac:dyDescent="0.2">
      <c r="A6" s="108"/>
      <c r="B6" s="81" t="s">
        <v>74</v>
      </c>
      <c r="C6" s="329" t="s">
        <v>332</v>
      </c>
      <c r="D6" s="330" t="s">
        <v>333</v>
      </c>
      <c r="E6" s="83"/>
      <c r="F6" s="83"/>
      <c r="G6" s="1550" t="s">
        <v>334</v>
      </c>
      <c r="H6" s="1543"/>
      <c r="I6" s="1543"/>
      <c r="J6" s="1544"/>
      <c r="K6" s="699" t="s">
        <v>0</v>
      </c>
      <c r="L6" s="331" t="s">
        <v>57</v>
      </c>
      <c r="M6" s="1551" t="s">
        <v>334</v>
      </c>
      <c r="N6" s="1551"/>
      <c r="O6" s="1552"/>
      <c r="P6" s="699" t="s">
        <v>16</v>
      </c>
      <c r="Q6" s="332" t="s">
        <v>335</v>
      </c>
      <c r="R6" s="331" t="s">
        <v>335</v>
      </c>
      <c r="S6" s="699" t="s">
        <v>12</v>
      </c>
      <c r="T6" s="1550" t="s">
        <v>336</v>
      </c>
      <c r="U6" s="1544"/>
      <c r="V6" s="320" t="s">
        <v>16</v>
      </c>
      <c r="W6" s="1540" t="s">
        <v>442</v>
      </c>
      <c r="X6" s="1541"/>
      <c r="Y6" s="1542"/>
      <c r="Z6" s="323" t="s">
        <v>462</v>
      </c>
      <c r="AA6" s="323" t="s">
        <v>463</v>
      </c>
    </row>
    <row r="7" spans="1:27" ht="14.25" x14ac:dyDescent="0.2">
      <c r="A7" s="87"/>
      <c r="B7" s="68" t="s">
        <v>359</v>
      </c>
      <c r="C7" s="329" t="s">
        <v>337</v>
      </c>
      <c r="D7" s="330" t="s">
        <v>338</v>
      </c>
      <c r="E7" s="83"/>
      <c r="F7" s="83"/>
      <c r="G7" s="333"/>
      <c r="H7" s="334" t="s">
        <v>290</v>
      </c>
      <c r="I7" s="335"/>
      <c r="J7" s="331" t="s">
        <v>13</v>
      </c>
      <c r="K7" s="697" t="s">
        <v>337</v>
      </c>
      <c r="L7" s="336" t="s">
        <v>339</v>
      </c>
      <c r="M7" s="1543" t="s">
        <v>340</v>
      </c>
      <c r="N7" s="1543"/>
      <c r="O7" s="1544"/>
      <c r="P7" s="697" t="s">
        <v>337</v>
      </c>
      <c r="Q7" s="332" t="s">
        <v>341</v>
      </c>
      <c r="R7" s="331" t="s">
        <v>341</v>
      </c>
      <c r="S7" s="697"/>
      <c r="T7" s="251"/>
      <c r="U7" s="337" t="s">
        <v>342</v>
      </c>
      <c r="V7" s="320" t="s">
        <v>504</v>
      </c>
      <c r="W7" s="560"/>
      <c r="X7" s="561"/>
      <c r="Y7" s="562"/>
    </row>
    <row r="8" spans="1:27" ht="15.75" thickBot="1" x14ac:dyDescent="0.3">
      <c r="A8" s="88"/>
      <c r="B8" s="89"/>
      <c r="C8" s="338"/>
      <c r="D8" s="90" t="s">
        <v>5</v>
      </c>
      <c r="E8" s="339" t="s">
        <v>343</v>
      </c>
      <c r="F8" s="339" t="s">
        <v>344</v>
      </c>
      <c r="G8" s="340">
        <v>0.05</v>
      </c>
      <c r="H8" s="341">
        <v>7.4999999999999997E-2</v>
      </c>
      <c r="I8" s="342">
        <v>0.1</v>
      </c>
      <c r="J8" s="343" t="s">
        <v>345</v>
      </c>
      <c r="K8" s="345" t="s">
        <v>364</v>
      </c>
      <c r="L8" s="344" t="s">
        <v>346</v>
      </c>
      <c r="M8" s="345" t="s">
        <v>57</v>
      </c>
      <c r="N8" s="346" t="s">
        <v>58</v>
      </c>
      <c r="O8" s="347" t="s">
        <v>59</v>
      </c>
      <c r="P8" s="345" t="s">
        <v>364</v>
      </c>
      <c r="Q8" s="348" t="s">
        <v>347</v>
      </c>
      <c r="R8" s="344" t="s">
        <v>348</v>
      </c>
      <c r="S8" s="345"/>
      <c r="T8" s="349" t="s">
        <v>0</v>
      </c>
      <c r="U8" s="350" t="s">
        <v>12</v>
      </c>
      <c r="V8" s="320"/>
      <c r="W8" s="560"/>
      <c r="X8" s="561"/>
      <c r="Y8" s="562"/>
    </row>
    <row r="9" spans="1:27" x14ac:dyDescent="0.2">
      <c r="A9" s="101" t="s">
        <v>80</v>
      </c>
      <c r="B9" s="102"/>
      <c r="C9" s="351"/>
      <c r="D9" s="103"/>
      <c r="E9" s="352"/>
      <c r="F9" s="353"/>
      <c r="G9" s="354"/>
      <c r="H9" s="352"/>
      <c r="I9" s="353"/>
      <c r="J9" s="700"/>
      <c r="K9" s="412"/>
      <c r="L9" s="702"/>
      <c r="M9" s="356"/>
      <c r="N9" s="357"/>
      <c r="O9" s="706"/>
      <c r="P9" s="387"/>
      <c r="Q9" s="711"/>
      <c r="R9" s="351"/>
      <c r="S9" s="359"/>
      <c r="T9" s="359"/>
      <c r="U9" s="358"/>
      <c r="V9" s="253"/>
      <c r="W9" s="560"/>
      <c r="X9" s="561"/>
      <c r="Y9" s="562"/>
    </row>
    <row r="10" spans="1:27" ht="14.25" x14ac:dyDescent="0.2">
      <c r="A10" s="379"/>
      <c r="B10" s="380" t="s">
        <v>349</v>
      </c>
      <c r="C10" s="369"/>
      <c r="D10" s="367"/>
      <c r="E10" s="371" t="s">
        <v>288</v>
      </c>
      <c r="F10" s="372"/>
      <c r="G10" s="366"/>
      <c r="H10" s="381"/>
      <c r="I10" s="382"/>
      <c r="J10" s="701"/>
      <c r="K10" s="713"/>
      <c r="L10" s="703"/>
      <c r="M10" s="373"/>
      <c r="N10" s="374"/>
      <c r="O10" s="707"/>
      <c r="P10" s="713"/>
      <c r="Q10" s="372"/>
      <c r="R10" s="369"/>
      <c r="S10" s="713"/>
      <c r="T10" s="370"/>
      <c r="U10" s="375"/>
      <c r="V10" s="320"/>
      <c r="W10" s="560"/>
      <c r="X10" s="561"/>
      <c r="Y10" s="562"/>
    </row>
    <row r="11" spans="1:27" x14ac:dyDescent="0.2">
      <c r="A11" s="108"/>
      <c r="B11" s="96" t="s">
        <v>350</v>
      </c>
      <c r="C11" s="360">
        <v>0.3</v>
      </c>
      <c r="D11" s="377">
        <v>37</v>
      </c>
      <c r="E11" s="362">
        <v>11</v>
      </c>
      <c r="F11" s="363">
        <v>46</v>
      </c>
      <c r="G11" s="333">
        <v>12.5</v>
      </c>
      <c r="H11" s="362">
        <v>8.3000000000000007</v>
      </c>
      <c r="I11" s="363">
        <v>6.2</v>
      </c>
      <c r="J11" s="361">
        <v>7.6</v>
      </c>
      <c r="K11" s="713">
        <v>8.1999999999999993</v>
      </c>
      <c r="L11" s="368">
        <v>2.5</v>
      </c>
      <c r="M11" s="364">
        <v>4.5</v>
      </c>
      <c r="N11" s="365">
        <v>7.4</v>
      </c>
      <c r="O11" s="559">
        <v>8.9</v>
      </c>
      <c r="P11" s="713">
        <v>32.200000000000003</v>
      </c>
      <c r="Q11" s="363">
        <v>2.8</v>
      </c>
      <c r="R11" s="360">
        <v>2</v>
      </c>
      <c r="S11" s="713">
        <v>1.8</v>
      </c>
      <c r="T11" s="361">
        <v>15</v>
      </c>
      <c r="U11" s="100">
        <v>30</v>
      </c>
      <c r="V11" s="320"/>
      <c r="W11" s="563">
        <v>8.1999999999999993</v>
      </c>
      <c r="X11" s="564">
        <v>7</v>
      </c>
      <c r="Y11" s="565">
        <v>12</v>
      </c>
    </row>
    <row r="12" spans="1:27" x14ac:dyDescent="0.2">
      <c r="A12" s="108"/>
      <c r="B12" s="96" t="s">
        <v>10</v>
      </c>
      <c r="C12" s="360">
        <v>0.7</v>
      </c>
      <c r="D12" s="377">
        <v>56</v>
      </c>
      <c r="E12" s="362">
        <v>18</v>
      </c>
      <c r="F12" s="363">
        <v>69</v>
      </c>
      <c r="G12" s="333">
        <v>18.899999999999999</v>
      </c>
      <c r="H12" s="362">
        <v>12.6</v>
      </c>
      <c r="I12" s="363">
        <v>9.4</v>
      </c>
      <c r="J12" s="361">
        <v>11.5</v>
      </c>
      <c r="K12" s="713">
        <v>8.1999999999999993</v>
      </c>
      <c r="L12" s="368">
        <v>3.7</v>
      </c>
      <c r="M12" s="364">
        <v>6.8</v>
      </c>
      <c r="N12" s="365">
        <v>11.8</v>
      </c>
      <c r="O12" s="559">
        <v>14.6</v>
      </c>
      <c r="P12" s="713">
        <v>31.1</v>
      </c>
      <c r="Q12" s="363">
        <v>4.3</v>
      </c>
      <c r="R12" s="360">
        <v>3</v>
      </c>
      <c r="S12" s="713">
        <v>1.8</v>
      </c>
      <c r="T12" s="361">
        <v>15</v>
      </c>
      <c r="U12" s="100">
        <v>30</v>
      </c>
      <c r="V12" s="320"/>
      <c r="W12" s="1087">
        <v>5.3</v>
      </c>
      <c r="X12" s="564">
        <v>7</v>
      </c>
      <c r="Y12" s="565">
        <v>12</v>
      </c>
    </row>
    <row r="13" spans="1:27" x14ac:dyDescent="0.2">
      <c r="A13" s="108"/>
      <c r="B13" s="96" t="s">
        <v>11</v>
      </c>
      <c r="C13" s="360">
        <v>1</v>
      </c>
      <c r="D13" s="377">
        <v>64</v>
      </c>
      <c r="E13" s="362">
        <v>21</v>
      </c>
      <c r="F13" s="363">
        <v>78</v>
      </c>
      <c r="G13" s="333">
        <v>21.5</v>
      </c>
      <c r="H13" s="362">
        <v>14.3</v>
      </c>
      <c r="I13" s="363">
        <v>10.7</v>
      </c>
      <c r="J13" s="361">
        <v>13.1</v>
      </c>
      <c r="K13" s="713">
        <v>8.1999999999999993</v>
      </c>
      <c r="L13" s="368">
        <v>4.2</v>
      </c>
      <c r="M13" s="364">
        <v>7.8</v>
      </c>
      <c r="N13" s="365">
        <v>14</v>
      </c>
      <c r="O13" s="559">
        <v>17.5</v>
      </c>
      <c r="P13" s="713">
        <v>32.1</v>
      </c>
      <c r="Q13" s="363">
        <v>4.8</v>
      </c>
      <c r="R13" s="360">
        <v>3.4</v>
      </c>
      <c r="S13" s="713">
        <v>1.8</v>
      </c>
      <c r="T13" s="361">
        <v>15</v>
      </c>
      <c r="U13" s="100">
        <v>30</v>
      </c>
      <c r="V13" s="320"/>
      <c r="W13" s="1087">
        <v>4.2</v>
      </c>
      <c r="X13" s="564">
        <v>7</v>
      </c>
      <c r="Y13" s="565">
        <v>12</v>
      </c>
    </row>
    <row r="14" spans="1:27" x14ac:dyDescent="0.2">
      <c r="A14" s="108"/>
      <c r="B14" s="96" t="s">
        <v>351</v>
      </c>
      <c r="C14" s="360">
        <v>1</v>
      </c>
      <c r="D14" s="377">
        <v>100</v>
      </c>
      <c r="E14" s="362">
        <v>36</v>
      </c>
      <c r="F14" s="363">
        <v>104</v>
      </c>
      <c r="G14" s="333">
        <v>33.799999999999997</v>
      </c>
      <c r="H14" s="362">
        <v>22.5</v>
      </c>
      <c r="I14" s="363">
        <v>16.899999999999999</v>
      </c>
      <c r="J14" s="361">
        <v>19</v>
      </c>
      <c r="K14" s="713">
        <v>8.9</v>
      </c>
      <c r="L14" s="368">
        <v>4</v>
      </c>
      <c r="M14" s="364">
        <v>15</v>
      </c>
      <c r="N14" s="365">
        <v>18.600000000000001</v>
      </c>
      <c r="O14" s="559">
        <v>23.4</v>
      </c>
      <c r="P14" s="713">
        <v>21.7</v>
      </c>
      <c r="Q14" s="363">
        <v>7.3</v>
      </c>
      <c r="R14" s="360">
        <v>6</v>
      </c>
      <c r="S14" s="713">
        <v>1.8</v>
      </c>
      <c r="T14" s="361">
        <v>15</v>
      </c>
      <c r="U14" s="100">
        <v>30</v>
      </c>
      <c r="V14" s="320"/>
      <c r="W14" s="563">
        <v>4</v>
      </c>
      <c r="X14" s="564">
        <v>7</v>
      </c>
      <c r="Y14" s="565">
        <v>12</v>
      </c>
    </row>
    <row r="15" spans="1:27" x14ac:dyDescent="0.2">
      <c r="A15" s="108"/>
      <c r="B15" s="96" t="s">
        <v>352</v>
      </c>
      <c r="C15" s="360">
        <v>1</v>
      </c>
      <c r="D15" s="377">
        <v>115</v>
      </c>
      <c r="E15" s="362">
        <v>42</v>
      </c>
      <c r="F15" s="363">
        <v>116</v>
      </c>
      <c r="G15" s="333">
        <v>37.299999999999997</v>
      </c>
      <c r="H15" s="362">
        <v>24.9</v>
      </c>
      <c r="I15" s="363">
        <v>18.600000000000001</v>
      </c>
      <c r="J15" s="361">
        <v>20</v>
      </c>
      <c r="K15" s="713">
        <v>9.3000000000000007</v>
      </c>
      <c r="L15" s="368">
        <v>4</v>
      </c>
      <c r="M15" s="364">
        <v>16</v>
      </c>
      <c r="N15" s="365">
        <v>19.399999999999999</v>
      </c>
      <c r="O15" s="559">
        <v>24.4</v>
      </c>
      <c r="P15" s="713">
        <v>21.3</v>
      </c>
      <c r="Q15" s="363">
        <v>8</v>
      </c>
      <c r="R15" s="360">
        <v>6.4</v>
      </c>
      <c r="S15" s="713">
        <v>1.8</v>
      </c>
      <c r="T15" s="361">
        <v>15</v>
      </c>
      <c r="U15" s="100">
        <v>30</v>
      </c>
      <c r="V15" s="320"/>
      <c r="W15" s="563">
        <v>4</v>
      </c>
      <c r="X15" s="564">
        <v>7</v>
      </c>
      <c r="Y15" s="565">
        <v>12</v>
      </c>
    </row>
    <row r="16" spans="1:27" x14ac:dyDescent="0.2">
      <c r="A16" s="108"/>
      <c r="B16" s="96" t="s">
        <v>353</v>
      </c>
      <c r="C16" s="360">
        <v>1</v>
      </c>
      <c r="D16" s="377">
        <v>133</v>
      </c>
      <c r="E16" s="362">
        <v>47</v>
      </c>
      <c r="F16" s="363">
        <v>125</v>
      </c>
      <c r="G16" s="333">
        <v>39.299999999999997</v>
      </c>
      <c r="H16" s="362">
        <v>26.2</v>
      </c>
      <c r="I16" s="363">
        <v>19.600000000000001</v>
      </c>
      <c r="J16" s="361">
        <v>21</v>
      </c>
      <c r="K16" s="713">
        <v>9.4</v>
      </c>
      <c r="L16" s="368">
        <v>5</v>
      </c>
      <c r="M16" s="364">
        <v>17</v>
      </c>
      <c r="N16" s="365">
        <v>20.2</v>
      </c>
      <c r="O16" s="559">
        <v>25.4</v>
      </c>
      <c r="P16" s="713">
        <v>23.6</v>
      </c>
      <c r="Q16" s="363">
        <v>7.7</v>
      </c>
      <c r="R16" s="360">
        <v>6.8</v>
      </c>
      <c r="S16" s="713">
        <v>1.8</v>
      </c>
      <c r="T16" s="361">
        <v>15</v>
      </c>
      <c r="U16" s="100">
        <v>30</v>
      </c>
      <c r="V16" s="320"/>
      <c r="W16" s="563">
        <v>5</v>
      </c>
      <c r="X16" s="564">
        <v>7</v>
      </c>
      <c r="Y16" s="565">
        <v>12</v>
      </c>
    </row>
    <row r="17" spans="1:28" x14ac:dyDescent="0.2">
      <c r="A17" s="108"/>
      <c r="B17" s="96" t="s">
        <v>354</v>
      </c>
      <c r="C17" s="360">
        <v>1</v>
      </c>
      <c r="D17" s="377">
        <v>152</v>
      </c>
      <c r="E17" s="362">
        <v>52</v>
      </c>
      <c r="F17" s="363">
        <v>135</v>
      </c>
      <c r="G17" s="333">
        <v>45.3</v>
      </c>
      <c r="H17" s="362">
        <v>30.2</v>
      </c>
      <c r="I17" s="363">
        <v>22.7</v>
      </c>
      <c r="J17" s="361">
        <v>22</v>
      </c>
      <c r="K17" s="713">
        <v>10.3</v>
      </c>
      <c r="L17" s="368">
        <v>6</v>
      </c>
      <c r="M17" s="364">
        <v>17</v>
      </c>
      <c r="N17" s="365">
        <v>21</v>
      </c>
      <c r="O17" s="559">
        <v>26.4</v>
      </c>
      <c r="P17" s="713">
        <v>29.4</v>
      </c>
      <c r="Q17" s="363">
        <v>7.5</v>
      </c>
      <c r="R17" s="360">
        <v>7.2</v>
      </c>
      <c r="S17" s="713">
        <v>1.8</v>
      </c>
      <c r="T17" s="361">
        <v>15</v>
      </c>
      <c r="U17" s="100">
        <v>30</v>
      </c>
      <c r="V17" s="320"/>
      <c r="W17" s="563">
        <v>6</v>
      </c>
      <c r="X17" s="564">
        <v>7</v>
      </c>
      <c r="Y17" s="565">
        <v>12</v>
      </c>
    </row>
    <row r="18" spans="1:28" ht="14.25" x14ac:dyDescent="0.2">
      <c r="A18" s="379"/>
      <c r="B18" s="380" t="s">
        <v>355</v>
      </c>
      <c r="C18" s="369"/>
      <c r="D18" s="367"/>
      <c r="E18" s="371" t="s">
        <v>288</v>
      </c>
      <c r="F18" s="372"/>
      <c r="G18" s="366"/>
      <c r="H18" s="381"/>
      <c r="I18" s="382"/>
      <c r="J18" s="701"/>
      <c r="K18" s="383"/>
      <c r="L18" s="703"/>
      <c r="M18" s="373"/>
      <c r="N18" s="374"/>
      <c r="O18" s="707"/>
      <c r="P18" s="713"/>
      <c r="Q18" s="372"/>
      <c r="R18" s="369"/>
      <c r="S18" s="370"/>
      <c r="T18" s="370"/>
      <c r="U18" s="375"/>
      <c r="V18" s="320"/>
      <c r="W18" s="1087"/>
      <c r="X18" s="1088"/>
      <c r="Y18" s="1089"/>
    </row>
    <row r="19" spans="1:28" x14ac:dyDescent="0.2">
      <c r="A19" s="108"/>
      <c r="B19" s="96" t="s">
        <v>350</v>
      </c>
      <c r="C19" s="360">
        <v>0.3</v>
      </c>
      <c r="D19" s="377">
        <v>47</v>
      </c>
      <c r="E19" s="362">
        <v>14</v>
      </c>
      <c r="F19" s="363">
        <v>58</v>
      </c>
      <c r="G19" s="333">
        <v>12.4</v>
      </c>
      <c r="H19" s="362">
        <v>8.3000000000000007</v>
      </c>
      <c r="I19" s="363">
        <v>6.2</v>
      </c>
      <c r="J19" s="361">
        <v>7.6</v>
      </c>
      <c r="K19" s="713">
        <v>8.1999999999999993</v>
      </c>
      <c r="L19" s="368">
        <v>2.5</v>
      </c>
      <c r="M19" s="364">
        <v>4.5</v>
      </c>
      <c r="N19" s="365">
        <v>7.4</v>
      </c>
      <c r="O19" s="559">
        <v>8.9</v>
      </c>
      <c r="P19" s="713">
        <v>32.200000000000003</v>
      </c>
      <c r="Q19" s="363">
        <v>3.5</v>
      </c>
      <c r="R19" s="360">
        <v>2</v>
      </c>
      <c r="S19" s="713">
        <v>1.8</v>
      </c>
      <c r="T19" s="361">
        <v>15</v>
      </c>
      <c r="U19" s="100">
        <v>30</v>
      </c>
      <c r="V19" s="320"/>
      <c r="W19" s="563">
        <v>8.1999999999999993</v>
      </c>
      <c r="X19" s="564">
        <v>7</v>
      </c>
      <c r="Y19" s="565">
        <v>12</v>
      </c>
    </row>
    <row r="20" spans="1:28" x14ac:dyDescent="0.2">
      <c r="A20" s="108"/>
      <c r="B20" s="96" t="s">
        <v>10</v>
      </c>
      <c r="C20" s="360">
        <v>0.7</v>
      </c>
      <c r="D20" s="377">
        <v>72</v>
      </c>
      <c r="E20" s="362">
        <v>21</v>
      </c>
      <c r="F20" s="363">
        <v>94</v>
      </c>
      <c r="G20" s="333">
        <v>19</v>
      </c>
      <c r="H20" s="362">
        <v>12.7</v>
      </c>
      <c r="I20" s="363">
        <v>9.5</v>
      </c>
      <c r="J20" s="361">
        <v>11.7</v>
      </c>
      <c r="K20" s="713">
        <v>8.1</v>
      </c>
      <c r="L20" s="368">
        <v>3.8</v>
      </c>
      <c r="M20" s="364">
        <v>6.9</v>
      </c>
      <c r="N20" s="365">
        <v>12</v>
      </c>
      <c r="O20" s="559">
        <v>14.8</v>
      </c>
      <c r="P20" s="713">
        <v>31.1</v>
      </c>
      <c r="Q20" s="363">
        <v>5.4</v>
      </c>
      <c r="R20" s="360">
        <v>3</v>
      </c>
      <c r="S20" s="713">
        <v>1.8</v>
      </c>
      <c r="T20" s="361">
        <v>15</v>
      </c>
      <c r="U20" s="100">
        <v>30</v>
      </c>
      <c r="V20" s="320"/>
      <c r="W20" s="563">
        <v>5.4</v>
      </c>
      <c r="X20" s="564">
        <v>7</v>
      </c>
      <c r="Y20" s="565">
        <v>12</v>
      </c>
    </row>
    <row r="21" spans="1:28" x14ac:dyDescent="0.2">
      <c r="A21" s="108"/>
      <c r="B21" s="96" t="s">
        <v>11</v>
      </c>
      <c r="C21" s="360">
        <v>1</v>
      </c>
      <c r="D21" s="377">
        <v>84</v>
      </c>
      <c r="E21" s="362">
        <v>23</v>
      </c>
      <c r="F21" s="363">
        <v>100</v>
      </c>
      <c r="G21" s="333">
        <v>22.2</v>
      </c>
      <c r="H21" s="362">
        <v>14.8</v>
      </c>
      <c r="I21" s="363">
        <v>11.1</v>
      </c>
      <c r="J21" s="361">
        <v>13.7</v>
      </c>
      <c r="K21" s="713">
        <v>8.1</v>
      </c>
      <c r="L21" s="368">
        <v>4.4000000000000004</v>
      </c>
      <c r="M21" s="364">
        <v>8.1</v>
      </c>
      <c r="N21" s="365">
        <v>14.5</v>
      </c>
      <c r="O21" s="559">
        <v>18.100000000000001</v>
      </c>
      <c r="P21" s="713">
        <v>32.1</v>
      </c>
      <c r="Q21" s="363">
        <v>6.3</v>
      </c>
      <c r="R21" s="360">
        <v>3.5</v>
      </c>
      <c r="S21" s="713">
        <v>1.8</v>
      </c>
      <c r="T21" s="361">
        <v>15</v>
      </c>
      <c r="U21" s="100">
        <v>30</v>
      </c>
      <c r="V21" s="320"/>
      <c r="W21" s="563">
        <v>4.4000000000000004</v>
      </c>
      <c r="X21" s="564">
        <v>7</v>
      </c>
      <c r="Y21" s="565">
        <v>12</v>
      </c>
    </row>
    <row r="22" spans="1:28" x14ac:dyDescent="0.2">
      <c r="A22" s="108"/>
      <c r="B22" s="96" t="s">
        <v>351</v>
      </c>
      <c r="C22" s="360">
        <v>1</v>
      </c>
      <c r="D22" s="377">
        <v>109</v>
      </c>
      <c r="E22" s="362">
        <v>37</v>
      </c>
      <c r="F22" s="363">
        <v>129</v>
      </c>
      <c r="G22" s="333">
        <v>36.5</v>
      </c>
      <c r="H22" s="362">
        <v>24.3</v>
      </c>
      <c r="I22" s="363">
        <v>18.2</v>
      </c>
      <c r="J22" s="361">
        <v>19</v>
      </c>
      <c r="K22" s="713">
        <v>9.6</v>
      </c>
      <c r="L22" s="368">
        <v>4</v>
      </c>
      <c r="M22" s="364">
        <v>14.4</v>
      </c>
      <c r="N22" s="365">
        <v>18.600000000000001</v>
      </c>
      <c r="O22" s="559">
        <v>23.4</v>
      </c>
      <c r="P22" s="713">
        <v>24.9</v>
      </c>
      <c r="Q22" s="363">
        <v>9.6</v>
      </c>
      <c r="R22" s="360">
        <v>6</v>
      </c>
      <c r="S22" s="713">
        <v>1.8</v>
      </c>
      <c r="T22" s="361">
        <v>15</v>
      </c>
      <c r="U22" s="100">
        <v>30</v>
      </c>
      <c r="V22" s="320"/>
      <c r="W22" s="563">
        <v>4</v>
      </c>
      <c r="X22" s="564">
        <v>7</v>
      </c>
      <c r="Y22" s="565">
        <v>12</v>
      </c>
    </row>
    <row r="23" spans="1:28" x14ac:dyDescent="0.2">
      <c r="A23" s="108"/>
      <c r="B23" s="96" t="s">
        <v>352</v>
      </c>
      <c r="C23" s="360">
        <v>1</v>
      </c>
      <c r="D23" s="377">
        <v>124</v>
      </c>
      <c r="E23" s="362">
        <v>43</v>
      </c>
      <c r="F23" s="363">
        <v>134</v>
      </c>
      <c r="G23" s="333">
        <v>38.1</v>
      </c>
      <c r="H23" s="362">
        <v>25.4</v>
      </c>
      <c r="I23" s="363">
        <v>19</v>
      </c>
      <c r="J23" s="361">
        <v>20</v>
      </c>
      <c r="K23" s="713">
        <v>9.5</v>
      </c>
      <c r="L23" s="368">
        <v>4</v>
      </c>
      <c r="M23" s="364">
        <v>15</v>
      </c>
      <c r="N23" s="365">
        <v>19.399999999999999</v>
      </c>
      <c r="O23" s="559">
        <v>24.4</v>
      </c>
      <c r="P23" s="713">
        <v>23.4</v>
      </c>
      <c r="Q23" s="363">
        <v>9.6999999999999993</v>
      </c>
      <c r="R23" s="360">
        <v>6.4</v>
      </c>
      <c r="S23" s="713">
        <v>1.8</v>
      </c>
      <c r="T23" s="361">
        <v>15</v>
      </c>
      <c r="U23" s="100">
        <v>30</v>
      </c>
      <c r="V23" s="320"/>
      <c r="W23" s="563">
        <v>4</v>
      </c>
      <c r="X23" s="564">
        <v>7</v>
      </c>
      <c r="Y23" s="565">
        <v>12</v>
      </c>
    </row>
    <row r="24" spans="1:28" x14ac:dyDescent="0.2">
      <c r="A24" s="108"/>
      <c r="B24" s="96" t="s">
        <v>353</v>
      </c>
      <c r="C24" s="360">
        <v>1</v>
      </c>
      <c r="D24" s="377">
        <v>141</v>
      </c>
      <c r="E24" s="362">
        <v>48</v>
      </c>
      <c r="F24" s="363">
        <v>143</v>
      </c>
      <c r="G24" s="333">
        <v>40.4</v>
      </c>
      <c r="H24" s="362">
        <v>26.9</v>
      </c>
      <c r="I24" s="363">
        <v>20.2</v>
      </c>
      <c r="J24" s="361">
        <v>21</v>
      </c>
      <c r="K24" s="713">
        <v>9.6</v>
      </c>
      <c r="L24" s="368">
        <v>5</v>
      </c>
      <c r="M24" s="364">
        <v>16</v>
      </c>
      <c r="N24" s="365">
        <v>20.2</v>
      </c>
      <c r="O24" s="559">
        <v>25.4</v>
      </c>
      <c r="P24" s="713">
        <v>26</v>
      </c>
      <c r="Q24" s="363">
        <v>9.5</v>
      </c>
      <c r="R24" s="360">
        <v>6.8</v>
      </c>
      <c r="S24" s="713">
        <v>1.8</v>
      </c>
      <c r="T24" s="361">
        <v>15</v>
      </c>
      <c r="U24" s="100">
        <v>30</v>
      </c>
      <c r="V24" s="320"/>
      <c r="W24" s="563">
        <v>5</v>
      </c>
      <c r="X24" s="564">
        <v>7</v>
      </c>
      <c r="Y24" s="565">
        <v>12</v>
      </c>
    </row>
    <row r="25" spans="1:28" x14ac:dyDescent="0.2">
      <c r="A25" s="108"/>
      <c r="B25" s="96"/>
      <c r="C25" s="360"/>
      <c r="D25" s="377"/>
      <c r="E25" s="362"/>
      <c r="F25" s="363"/>
      <c r="G25" s="333"/>
      <c r="H25" s="362"/>
      <c r="I25" s="363"/>
      <c r="J25" s="361"/>
      <c r="K25" s="360"/>
      <c r="L25" s="368"/>
      <c r="M25" s="364"/>
      <c r="N25" s="365"/>
      <c r="O25" s="559"/>
      <c r="P25" s="713"/>
      <c r="Q25" s="363"/>
      <c r="R25" s="360"/>
      <c r="S25" s="361"/>
      <c r="T25" s="361"/>
      <c r="U25" s="100"/>
      <c r="V25" s="320"/>
      <c r="W25" s="1087"/>
      <c r="X25" s="1088"/>
      <c r="Y25" s="1089"/>
    </row>
    <row r="26" spans="1:28" x14ac:dyDescent="0.2">
      <c r="A26" s="108"/>
      <c r="B26" s="96" t="s">
        <v>360</v>
      </c>
      <c r="C26" s="360">
        <f>+'Berech. Lagerraum flüssig+fest'!AU13</f>
        <v>0</v>
      </c>
      <c r="D26" s="377">
        <f t="shared" ref="D26:K26" si="0">+C26</f>
        <v>0</v>
      </c>
      <c r="E26" s="377">
        <f t="shared" si="0"/>
        <v>0</v>
      </c>
      <c r="F26" s="377">
        <f t="shared" si="0"/>
        <v>0</v>
      </c>
      <c r="G26" s="377">
        <f t="shared" si="0"/>
        <v>0</v>
      </c>
      <c r="H26" s="377">
        <f t="shared" si="0"/>
        <v>0</v>
      </c>
      <c r="I26" s="377">
        <f t="shared" si="0"/>
        <v>0</v>
      </c>
      <c r="J26" s="361">
        <f t="shared" si="0"/>
        <v>0</v>
      </c>
      <c r="K26" s="715">
        <f t="shared" si="0"/>
        <v>0</v>
      </c>
      <c r="L26" s="426">
        <f>+J26</f>
        <v>0</v>
      </c>
      <c r="M26" s="377">
        <f>+L26</f>
        <v>0</v>
      </c>
      <c r="N26" s="377">
        <f>+M26</f>
        <v>0</v>
      </c>
      <c r="O26" s="361">
        <f>+N26</f>
        <v>0</v>
      </c>
      <c r="P26" s="715">
        <f>+O26</f>
        <v>0</v>
      </c>
      <c r="Q26" s="426">
        <f>+O26</f>
        <v>0</v>
      </c>
      <c r="R26" s="377">
        <f>+Q26</f>
        <v>0</v>
      </c>
      <c r="S26" s="377">
        <f>+R26</f>
        <v>0</v>
      </c>
      <c r="T26" s="377">
        <f>+R26</f>
        <v>0</v>
      </c>
      <c r="U26" s="377">
        <f>+T26</f>
        <v>0</v>
      </c>
      <c r="V26" s="320"/>
      <c r="W26" s="563">
        <f t="shared" ref="W26:Y27" si="1">S26</f>
        <v>0</v>
      </c>
      <c r="X26" s="1091">
        <f t="shared" si="1"/>
        <v>0</v>
      </c>
      <c r="Y26" s="565">
        <f t="shared" si="1"/>
        <v>0</v>
      </c>
    </row>
    <row r="27" spans="1:28" x14ac:dyDescent="0.2">
      <c r="A27" s="108"/>
      <c r="B27" s="96" t="s">
        <v>283</v>
      </c>
      <c r="C27" s="360">
        <f>+'Berech. Lagerraum flüssig+fest'!B13</f>
        <v>0</v>
      </c>
      <c r="D27" s="377">
        <f>+C27</f>
        <v>0</v>
      </c>
      <c r="E27" s="377">
        <f t="shared" ref="E27:U27" si="2">+D27</f>
        <v>0</v>
      </c>
      <c r="F27" s="377">
        <f t="shared" si="2"/>
        <v>0</v>
      </c>
      <c r="G27" s="377">
        <f t="shared" si="2"/>
        <v>0</v>
      </c>
      <c r="H27" s="377">
        <f t="shared" si="2"/>
        <v>0</v>
      </c>
      <c r="I27" s="377">
        <f>+H27</f>
        <v>0</v>
      </c>
      <c r="J27" s="361">
        <f>+I27</f>
        <v>0</v>
      </c>
      <c r="K27" s="715">
        <f t="shared" si="2"/>
        <v>0</v>
      </c>
      <c r="L27" s="426">
        <f>+J27</f>
        <v>0</v>
      </c>
      <c r="M27" s="377">
        <f t="shared" si="2"/>
        <v>0</v>
      </c>
      <c r="N27" s="377">
        <f t="shared" si="2"/>
        <v>0</v>
      </c>
      <c r="O27" s="361">
        <f t="shared" si="2"/>
        <v>0</v>
      </c>
      <c r="P27" s="715">
        <f t="shared" si="2"/>
        <v>0</v>
      </c>
      <c r="Q27" s="426">
        <f>+O27</f>
        <v>0</v>
      </c>
      <c r="R27" s="377">
        <f>+Q27</f>
        <v>0</v>
      </c>
      <c r="S27" s="377">
        <f>+R27</f>
        <v>0</v>
      </c>
      <c r="T27" s="377">
        <f>+R27</f>
        <v>0</v>
      </c>
      <c r="U27" s="377">
        <f t="shared" si="2"/>
        <v>0</v>
      </c>
      <c r="V27" s="320"/>
      <c r="W27" s="563">
        <f t="shared" si="1"/>
        <v>0</v>
      </c>
      <c r="X27" s="1091">
        <f t="shared" si="1"/>
        <v>0</v>
      </c>
      <c r="Y27" s="565">
        <f t="shared" si="1"/>
        <v>0</v>
      </c>
    </row>
    <row r="28" spans="1:28" x14ac:dyDescent="0.2">
      <c r="A28" s="108"/>
      <c r="B28" s="96" t="s">
        <v>361</v>
      </c>
      <c r="C28" s="728">
        <f>IF(C27&lt;=6000,C14,IF(AND(C27&gt;6000,C27&lt;=8000),C14+(C15-C14)/2000*(C27-6000),IF(AND(C27&gt;8000,C27&lt;=10000),C15+(C16-C15)/2000*(C27-8000),IF(AND(C27&gt;10000,C27&lt;=12000),C16+(C17-C16)/2000*(C27-10000),C17))))</f>
        <v>1</v>
      </c>
      <c r="D28" s="728">
        <f>IF(D27&lt;=6000,D14,IF(AND(D27&gt;6000,D27&lt;=8000),D14+(D15-D14)/2000*(D27-6000),IF(AND(D27&gt;8000,D27&lt;=10000),D15+(D16-D15)/2000*(D27-8000),IF(AND(D27&gt;10000,D27&lt;=12000),D16+(D17-D16)/2000*(D27-10000),D17))))</f>
        <v>100</v>
      </c>
      <c r="E28" s="728">
        <f>IF(E27&lt;=6000,E14,IF(AND(E27&gt;6000,E27&lt;=8000),E14+(E15-E14)/2000*(E27-6000),IF(AND(E27&gt;8000,E27&lt;=10000),E15+(E16-E15)/2000*(E27-8000),IF(AND(E27&gt;10000,E27&lt;=12000),E16+(E17-E16)/2000*(E27-10000),E17))))</f>
        <v>36</v>
      </c>
      <c r="F28" s="728">
        <f>IF(F27&lt;=6000,F14,IF(AND(F27&gt;6000,F27&lt;=8000),F14+(F15-F14)/2000*(F27-6000),IF(AND(F27&gt;8000,F27&lt;=10000),F15+(F16-F15)/2000*(F27-8000),IF(AND(F27&gt;10000,F27&lt;=12000),F16+(F17-F16)/2000*(F27-10000),F17))))</f>
        <v>104</v>
      </c>
      <c r="G28" s="728">
        <f t="shared" ref="G28:T28" si="3">IF(G27&lt;=6000,G14,IF(AND(G27&gt;6000,G27&lt;=8000),G14+(G15-G14)/2000*(G27-6000),IF(AND(G27&gt;8000,G27&lt;=10000),G15+(G16-G15)/2000*(G27-8000),IF(AND(G27&gt;10000,G27&lt;=12000),G16+(G17-G16)/2000*(G27-10000),G17))))</f>
        <v>33.799999999999997</v>
      </c>
      <c r="H28" s="728">
        <f t="shared" si="3"/>
        <v>22.5</v>
      </c>
      <c r="I28" s="728">
        <f t="shared" si="3"/>
        <v>16.899999999999999</v>
      </c>
      <c r="J28" s="728">
        <f>IF(J27&lt;=6000,J14,IF(AND(J27&gt;6000,J27&lt;=8000),J14+(J15-J14)/2000*(J27-6000),IF(AND(J27&gt;8000,J27&lt;=10000),J15+(J16-J15)/2000*(J27-8000),IF(AND(J27&gt;10000,J27&lt;=12000),J16+(J17-J16)/2000*(J27-10000),J17))))</f>
        <v>19</v>
      </c>
      <c r="K28" s="729">
        <f>IF(K27&lt;=6000,K14,IF(AND(K27&gt;6000,K27&lt;=8000),K14+(K15-K14)/2000*(K27-6000),IF(AND(K27&gt;8000,K27&lt;=10000),K15+(K16-K15)/2000*(K27-8000),IF(AND(K27&gt;10000,K27&lt;=12000),K16+(K17-K16)/2000*(K27-10000),K17))))</f>
        <v>8.9</v>
      </c>
      <c r="L28" s="728">
        <f t="shared" si="3"/>
        <v>4</v>
      </c>
      <c r="M28" s="728">
        <f t="shared" si="3"/>
        <v>15</v>
      </c>
      <c r="N28" s="728">
        <f t="shared" si="3"/>
        <v>18.600000000000001</v>
      </c>
      <c r="O28" s="728">
        <f t="shared" si="3"/>
        <v>23.4</v>
      </c>
      <c r="P28" s="729">
        <f t="shared" si="3"/>
        <v>21.7</v>
      </c>
      <c r="Q28" s="728">
        <f t="shared" si="3"/>
        <v>7.3</v>
      </c>
      <c r="R28" s="728">
        <f>IF(R27&lt;=6000,R14,IF(AND(R27&gt;6000,R27&lt;=8000),R14+(R15-R14)/2000*(R27-6000),IF(AND(R27&gt;8000,R27&lt;=10000),R15+(R16-R15)/2000*(R27-8000),IF(AND(R27&gt;10000,R27&lt;=12000),R16+(R17-R16)/2000*(R27-10000),R17))))</f>
        <v>6</v>
      </c>
      <c r="S28" s="729">
        <f>IF(S27&lt;=6000,S14,IF(AND(S27&gt;6000,S27&lt;=8000),S14+(S15-S14)/2000*(S27-6000),IF(AND(S27&gt;8000,S27&lt;=10000),S15+(S16-S15)/2000*(S27-8000),IF(AND(S27&gt;10000,S27&lt;=12000),S16+(S17-S16)/2000*(S27-10000),S17))))</f>
        <v>1.8</v>
      </c>
      <c r="T28" s="728">
        <f t="shared" si="3"/>
        <v>15</v>
      </c>
      <c r="U28" s="728">
        <f>IF(U27&lt;=6000,U14,IF(AND(U27&gt;6000,U27&lt;=8000),U14+(U15-U14)/2000*(U27-6000),IF(AND(U27&gt;8000,U27&lt;=10000),U15+(U16-U15)/2000*(U27-8000),IF(AND(U27&gt;10000,U27&lt;=12000),U16+(U17-U16)/2000*(U27-10000),U17))))</f>
        <v>30</v>
      </c>
      <c r="V28" s="1181"/>
      <c r="W28" s="1097">
        <f>IF(W27&lt;=6000,W14,IF(AND(W27&gt;6000,W27&lt;=8000),W14+(W15-W14)/2000*(W27-6000),IF(AND(W27&gt;8000,W27&lt;=10000),W15+(W16-W15)/2000*(W27-8000),IF(AND(W27&gt;10000,W27&lt;=12000),W16+(W17-W16)/2000*(W27-10000),W17))))</f>
        <v>4</v>
      </c>
      <c r="X28" s="1092">
        <f>IF(X27&lt;=6000,X14,IF(AND(X27&gt;6000,X27&lt;=8000),X14+(X15-X14)/2000*(X27-6000),IF(AND(X27&gt;8000,X27&lt;=10000),X15+(X16-X15)/2000*(X27-8000),IF(AND(X27&gt;10000,X27&lt;=12000),X16+(X17-X16)/2000*(X27-10000),X17))))</f>
        <v>7</v>
      </c>
      <c r="Y28" s="1093">
        <f>IF(Y27&lt;=6000,Y14,IF(AND(Y27&gt;6000,Y27&lt;=8000),Y14+(Y15-Y14)/2000*(Y27-6000),IF(AND(Y27&gt;8000,Y27&lt;=10000),Y15+(Y16-Y15)/2000*(Y27-8000),IF(AND(Y27&gt;10000,Y27&lt;=12000),Y16+(Y17-Y16)/2000*(Y27-10000),Y17))))</f>
        <v>12</v>
      </c>
    </row>
    <row r="29" spans="1:28" x14ac:dyDescent="0.2">
      <c r="A29" s="108"/>
      <c r="B29" s="96" t="s">
        <v>362</v>
      </c>
      <c r="C29" s="728">
        <f>IF(C27&lt;=6000,C22,IF(AND(C27&gt;6000,C27&lt;=8000),C22+(C23-C22)/2000*(C27-6000),IF(AND(C27&gt;8000,C27&lt;=10000),C23+(C24-C23)/2000*(C27-8000),C24)))</f>
        <v>1</v>
      </c>
      <c r="D29" s="728">
        <f>IF(D27&lt;=6000,D22,IF(AND(D27&gt;6000,D27&lt;=8000),D22+(D23-D22)/2000*(D27-6000),IF(AND(D27&gt;8000,D27&lt;=10000),D23+(D24-D23)/2000*(D27-8000),D24)))</f>
        <v>109</v>
      </c>
      <c r="E29" s="728">
        <f t="shared" ref="E29:U29" si="4">IF(E27&lt;=6000,E22,IF(AND(E27&gt;6000,E27&lt;=8000),E22+(E23-E22)/2000*(E27-6000),IF(AND(E27&gt;8000,E27&lt;=10000),E23+(E24-E23)/2000*(E27-8000),E24)))</f>
        <v>37</v>
      </c>
      <c r="F29" s="728">
        <f t="shared" si="4"/>
        <v>129</v>
      </c>
      <c r="G29" s="728">
        <f t="shared" si="4"/>
        <v>36.5</v>
      </c>
      <c r="H29" s="728">
        <f t="shared" si="4"/>
        <v>24.3</v>
      </c>
      <c r="I29" s="728">
        <f t="shared" si="4"/>
        <v>18.2</v>
      </c>
      <c r="J29" s="728">
        <f t="shared" si="4"/>
        <v>19</v>
      </c>
      <c r="K29" s="729">
        <f>IF(K27&lt;=6000,K22,IF(AND(K27&gt;6000,K27&lt;=8000),K22+(K23-K22)/2000*(K27-6000),IF(AND(K27&gt;8000,K27&lt;=10000),K23+(K24-K23)/2000*(K27-8000),K24)))</f>
        <v>9.6</v>
      </c>
      <c r="L29" s="728">
        <f t="shared" si="4"/>
        <v>4</v>
      </c>
      <c r="M29" s="728">
        <f t="shared" si="4"/>
        <v>14.4</v>
      </c>
      <c r="N29" s="728">
        <f t="shared" si="4"/>
        <v>18.600000000000001</v>
      </c>
      <c r="O29" s="728">
        <f t="shared" si="4"/>
        <v>23.4</v>
      </c>
      <c r="P29" s="729">
        <f t="shared" si="4"/>
        <v>24.9</v>
      </c>
      <c r="Q29" s="728">
        <f t="shared" si="4"/>
        <v>9.6</v>
      </c>
      <c r="R29" s="728">
        <f t="shared" si="4"/>
        <v>6</v>
      </c>
      <c r="S29" s="729">
        <f t="shared" si="4"/>
        <v>1.8</v>
      </c>
      <c r="T29" s="728">
        <f t="shared" si="4"/>
        <v>15</v>
      </c>
      <c r="U29" s="728">
        <f t="shared" si="4"/>
        <v>30</v>
      </c>
      <c r="V29" s="1181"/>
      <c r="W29" s="1097">
        <f>IF(W27&lt;=6000,W22,IF(AND(W27&gt;6000,W27&lt;=8000),W22+(W23-W22)/2000*(W27-6000),IF(AND(W27&gt;8000,W27&lt;=10000),W23+(W24-W23)/2000*(W27-8000),W24)))</f>
        <v>4</v>
      </c>
      <c r="X29" s="1092">
        <f>IF(X27&lt;=6000,X22,IF(AND(X27&gt;6000,X27&lt;=8000),X22+(X23-X22)/2000*(X27-6000),IF(AND(X27&gt;8000,X27&lt;=10000),X23+(X24-X23)/2000*(X27-8000),X24)))</f>
        <v>7</v>
      </c>
      <c r="Y29" s="1093">
        <f>IF(Y27&lt;=6000,Y22,IF(AND(Y27&gt;6000,Y27&lt;=8000),Y22+(Y23-Y22)/2000*(Y27-6000),IF(AND(Y27&gt;8000,Y27&lt;=10000),Y23+(Y24-Y23)/2000*(Y27-8000),Y24)))</f>
        <v>12</v>
      </c>
    </row>
    <row r="30" spans="1:28" x14ac:dyDescent="0.2">
      <c r="A30" s="108"/>
      <c r="B30" s="96"/>
      <c r="C30" s="377"/>
      <c r="D30" s="377"/>
      <c r="E30" s="377"/>
      <c r="F30" s="377"/>
      <c r="G30" s="377"/>
      <c r="H30" s="377"/>
      <c r="I30" s="377"/>
      <c r="J30" s="361"/>
      <c r="K30" s="360"/>
      <c r="L30" s="426"/>
      <c r="M30" s="377"/>
      <c r="N30" s="377"/>
      <c r="O30" s="361"/>
      <c r="P30" s="713"/>
      <c r="Q30" s="426"/>
      <c r="R30" s="377"/>
      <c r="S30" s="377"/>
      <c r="T30" s="377"/>
      <c r="U30" s="377"/>
      <c r="V30" s="320"/>
      <c r="W30" s="1087"/>
      <c r="X30" s="1088"/>
      <c r="Y30" s="1089"/>
    </row>
    <row r="31" spans="1:28" x14ac:dyDescent="0.2">
      <c r="A31" s="108"/>
      <c r="B31" s="96" t="s">
        <v>26</v>
      </c>
      <c r="C31" s="32">
        <f>IF(C$26&lt;=0.65,C28,IF(C$26&gt;=0.85,C29,((0.85-C$26)*5*C28)+((C$26-0.65)*5*C29)))</f>
        <v>1</v>
      </c>
      <c r="D31" s="32">
        <f>IF(D$26&lt;=0.65,D28,IF(D$26&gt;=0.85,D29,((0.85-D$26)*5*D28)+((D$26-0.65)*5*D29)))</f>
        <v>100</v>
      </c>
      <c r="E31" s="32">
        <f t="shared" ref="E31:Y31" si="5">IF(E$26&lt;=0.65,E28,IF(E$26&gt;=0.85,E29,((0.85-E$26)*5*E28)+((E$26-0.65)*5*E29)))</f>
        <v>36</v>
      </c>
      <c r="F31" s="32">
        <f t="shared" si="5"/>
        <v>104</v>
      </c>
      <c r="G31" s="32">
        <f t="shared" si="5"/>
        <v>33.799999999999997</v>
      </c>
      <c r="H31" s="32">
        <f t="shared" si="5"/>
        <v>22.5</v>
      </c>
      <c r="I31" s="32">
        <f>IF(I$26&lt;=0.65,I28,IF(I$26&gt;=0.85,I29,((0.85-I$26)*5*I28)+((I$26-0.65)*5*I29)))</f>
        <v>16.899999999999999</v>
      </c>
      <c r="J31" s="32">
        <f>IF(J$26&lt;=0.65,J28,IF(J$26&gt;=0.85,J29,((0.85-J$26)*5*J28)+((J$26-0.65)*5*J29)))</f>
        <v>19</v>
      </c>
      <c r="K31" s="721">
        <f>IF(K$26&lt;=0.65,K28,IF(K$26&gt;=0.85,K29,((0.85-K$26)*5*K28)+((K$26-0.65)*5*K29)))</f>
        <v>8.9</v>
      </c>
      <c r="L31" s="32">
        <f t="shared" si="5"/>
        <v>4</v>
      </c>
      <c r="M31" s="32">
        <f t="shared" si="5"/>
        <v>15</v>
      </c>
      <c r="N31" s="32">
        <f t="shared" si="5"/>
        <v>18.600000000000001</v>
      </c>
      <c r="O31" s="32">
        <f t="shared" si="5"/>
        <v>23.4</v>
      </c>
      <c r="P31" s="721">
        <f t="shared" si="5"/>
        <v>21.7</v>
      </c>
      <c r="Q31" s="32">
        <f>IF(Q$26&lt;=0.65,Q28,IF(Q$26&gt;=0.85,Q29,((0.85-Q$26)*5*Q28)+((Q$26-0.65)*5*Q29)))</f>
        <v>7.3</v>
      </c>
      <c r="R31" s="32">
        <f t="shared" si="5"/>
        <v>6</v>
      </c>
      <c r="S31" s="721">
        <f>IF(S$26&lt;=0.65,S28,IF(S$26&gt;=0.85,S29,((0.85-S$26)*5*S28)+((S$26-0.65)*5*S29)))</f>
        <v>1.8</v>
      </c>
      <c r="T31" s="32">
        <f t="shared" si="5"/>
        <v>15</v>
      </c>
      <c r="U31" s="32">
        <f t="shared" si="5"/>
        <v>30</v>
      </c>
      <c r="V31" s="1182">
        <v>0.9</v>
      </c>
      <c r="W31" s="1098">
        <f>IF(W$26&lt;=0.65,W28,IF(W$26&gt;=0.85,W29,((0.85-W$26)*5*W28)+((W$26-0.65)*5*W29)))</f>
        <v>4</v>
      </c>
      <c r="X31" s="1094">
        <f t="shared" si="5"/>
        <v>7</v>
      </c>
      <c r="Y31" s="1095">
        <f t="shared" si="5"/>
        <v>12</v>
      </c>
      <c r="Z31" s="693">
        <v>1</v>
      </c>
      <c r="AA31" s="693">
        <v>2</v>
      </c>
      <c r="AB31" s="364"/>
    </row>
    <row r="32" spans="1:28" x14ac:dyDescent="0.2">
      <c r="A32" s="108"/>
      <c r="B32" s="96" t="s">
        <v>8</v>
      </c>
      <c r="C32" s="360">
        <v>0.3</v>
      </c>
      <c r="D32" s="361">
        <v>22</v>
      </c>
      <c r="E32" s="362">
        <v>7.6</v>
      </c>
      <c r="F32" s="362">
        <v>22.6</v>
      </c>
      <c r="G32" s="333">
        <v>7.5</v>
      </c>
      <c r="H32" s="362">
        <v>5</v>
      </c>
      <c r="I32" s="363">
        <v>3.7</v>
      </c>
      <c r="J32" s="361">
        <v>3.3</v>
      </c>
      <c r="K32" s="713">
        <v>11.4</v>
      </c>
      <c r="L32" s="368">
        <v>1.5</v>
      </c>
      <c r="M32" s="364">
        <v>2.7</v>
      </c>
      <c r="N32" s="365">
        <v>3.5</v>
      </c>
      <c r="O32" s="559">
        <v>4.5999999999999996</v>
      </c>
      <c r="P32" s="713">
        <v>38</v>
      </c>
      <c r="Q32" s="372">
        <v>1.7</v>
      </c>
      <c r="R32" s="360">
        <v>1.2</v>
      </c>
      <c r="S32" s="713">
        <v>1.8</v>
      </c>
      <c r="T32" s="367">
        <v>15</v>
      </c>
      <c r="U32" s="368">
        <v>30</v>
      </c>
      <c r="V32" s="320">
        <v>0.9</v>
      </c>
      <c r="W32" s="559">
        <v>5</v>
      </c>
      <c r="X32" s="364">
        <v>7</v>
      </c>
      <c r="Y32" s="426">
        <v>12</v>
      </c>
      <c r="Z32" s="693">
        <v>1</v>
      </c>
      <c r="AA32" s="693">
        <v>2</v>
      </c>
    </row>
    <row r="33" spans="1:28" x14ac:dyDescent="0.2">
      <c r="A33" s="108"/>
      <c r="B33" s="96" t="s">
        <v>350</v>
      </c>
      <c r="C33" s="32">
        <f>IF(C$26&lt;=0.65,C11,IF(C$26&gt;=0.85,C19,((0.85-C$26)*5*C11)+((C$26-0.65)*5*C19)))</f>
        <v>0.3</v>
      </c>
      <c r="D33" s="32">
        <f>IF(D$26&lt;=0.65,D11,IF(D$26&gt;=0.85,D19,((0.85-D$26)*5*D11)+((D$26-0.65)*5*D19)))</f>
        <v>37</v>
      </c>
      <c r="E33" s="32">
        <f t="shared" ref="E33:U33" si="6">IF(E$26&lt;=0.65,E11,IF(E$26&gt;=0.85,E19,((0.85-E$26)*5*E11)+((E$26-0.65)*5*E19)))</f>
        <v>11</v>
      </c>
      <c r="F33" s="32">
        <f t="shared" si="6"/>
        <v>46</v>
      </c>
      <c r="G33" s="32">
        <f t="shared" si="6"/>
        <v>12.5</v>
      </c>
      <c r="H33" s="32">
        <f t="shared" si="6"/>
        <v>8.3000000000000007</v>
      </c>
      <c r="I33" s="32">
        <f t="shared" si="6"/>
        <v>6.2</v>
      </c>
      <c r="J33" s="32">
        <f t="shared" si="6"/>
        <v>7.6</v>
      </c>
      <c r="K33" s="721">
        <f>IF(K$26&lt;=0.65,K11,IF(K$26&gt;=0.85,K19,((0.85-K$26)*5*K11)+((K$26-0.65)*5*K19)))</f>
        <v>8.1999999999999993</v>
      </c>
      <c r="L33" s="32">
        <f t="shared" si="6"/>
        <v>2.5</v>
      </c>
      <c r="M33" s="32">
        <f t="shared" si="6"/>
        <v>4.5</v>
      </c>
      <c r="N33" s="32">
        <f t="shared" si="6"/>
        <v>7.4</v>
      </c>
      <c r="O33" s="32">
        <f t="shared" si="6"/>
        <v>8.9</v>
      </c>
      <c r="P33" s="721">
        <f>IF(P$26&lt;=0.65,P11,IF(P$26&gt;=0.85,P19,((0.85-P$26)*5*P11)+((P$26-0.65)*5*P19)))</f>
        <v>32.200000000000003</v>
      </c>
      <c r="Q33" s="32">
        <f t="shared" si="6"/>
        <v>2.8</v>
      </c>
      <c r="R33" s="32">
        <f t="shared" si="6"/>
        <v>2</v>
      </c>
      <c r="S33" s="721">
        <f>IF(S$26&lt;=0.65,S11,IF(S$26&gt;=0.85,S19,((0.85-S$26)*5*S11)+((S$26-0.65)*5*S19)))</f>
        <v>1.8</v>
      </c>
      <c r="T33" s="32">
        <f t="shared" si="6"/>
        <v>15</v>
      </c>
      <c r="U33" s="32">
        <f t="shared" si="6"/>
        <v>30</v>
      </c>
      <c r="V33" s="320">
        <v>0.9</v>
      </c>
      <c r="W33" s="1090">
        <f t="shared" ref="W33:Y35" si="7">IF(W$26&lt;=0.65,W11,IF(W$26&gt;=0.85,W19,((0.85-W$26)*5*W11)+((W$26-0.65)*5*W19)))</f>
        <v>8.1999999999999993</v>
      </c>
      <c r="X33" s="1090">
        <f t="shared" si="7"/>
        <v>7</v>
      </c>
      <c r="Y33" s="1096">
        <f t="shared" si="7"/>
        <v>12</v>
      </c>
      <c r="Z33" s="693">
        <v>1</v>
      </c>
      <c r="AA33" s="693">
        <v>2</v>
      </c>
      <c r="AB33" s="364"/>
    </row>
    <row r="34" spans="1:28" x14ac:dyDescent="0.2">
      <c r="A34" s="108"/>
      <c r="B34" s="96" t="s">
        <v>10</v>
      </c>
      <c r="C34" s="32">
        <f t="shared" ref="C34:U34" si="8">IF(C$26&lt;=0.65,C12,IF(C$26&gt;=0.85,C20,((0.85-C$26)*5*C12)+((C$26-0.65)*5*C20)))</f>
        <v>0.7</v>
      </c>
      <c r="D34" s="32">
        <f t="shared" si="8"/>
        <v>56</v>
      </c>
      <c r="E34" s="32">
        <f t="shared" si="8"/>
        <v>18</v>
      </c>
      <c r="F34" s="32">
        <f t="shared" si="8"/>
        <v>69</v>
      </c>
      <c r="G34" s="32">
        <f t="shared" si="8"/>
        <v>18.899999999999999</v>
      </c>
      <c r="H34" s="32">
        <f t="shared" si="8"/>
        <v>12.6</v>
      </c>
      <c r="I34" s="32">
        <f t="shared" si="8"/>
        <v>9.4</v>
      </c>
      <c r="J34" s="32">
        <f t="shared" si="8"/>
        <v>11.5</v>
      </c>
      <c r="K34" s="721">
        <f>IF(K$26&lt;=0.65,K12,IF(K$26&gt;=0.85,K20,((0.85-K$26)*5*K12)+((K$26-0.65)*5*K20)))</f>
        <v>8.1999999999999993</v>
      </c>
      <c r="L34" s="32">
        <f t="shared" si="8"/>
        <v>3.7</v>
      </c>
      <c r="M34" s="32">
        <f t="shared" si="8"/>
        <v>6.8</v>
      </c>
      <c r="N34" s="32">
        <f t="shared" si="8"/>
        <v>11.8</v>
      </c>
      <c r="O34" s="32">
        <f t="shared" si="8"/>
        <v>14.6</v>
      </c>
      <c r="P34" s="721">
        <f>IF(P$26&lt;=0.65,P12,IF(P$26&gt;=0.85,P20,((0.85-P$26)*5*P12)+((P$26-0.65)*5*P20)))</f>
        <v>31.1</v>
      </c>
      <c r="Q34" s="32">
        <f t="shared" si="8"/>
        <v>4.3</v>
      </c>
      <c r="R34" s="32">
        <f t="shared" si="8"/>
        <v>3</v>
      </c>
      <c r="S34" s="721">
        <f>IF(S$26&lt;=0.65,S12,IF(S$26&gt;=0.85,S20,((0.85-S$26)*5*S12)+((S$26-0.65)*5*S20)))</f>
        <v>1.8</v>
      </c>
      <c r="T34" s="32">
        <f t="shared" si="8"/>
        <v>15</v>
      </c>
      <c r="U34" s="32">
        <f t="shared" si="8"/>
        <v>30</v>
      </c>
      <c r="V34" s="320">
        <v>0.9</v>
      </c>
      <c r="W34" s="1090">
        <f t="shared" si="7"/>
        <v>5.3</v>
      </c>
      <c r="X34" s="1090">
        <f t="shared" si="7"/>
        <v>7</v>
      </c>
      <c r="Y34" s="1096">
        <f t="shared" si="7"/>
        <v>12</v>
      </c>
      <c r="Z34" s="693">
        <v>1</v>
      </c>
      <c r="AA34" s="693">
        <v>2</v>
      </c>
    </row>
    <row r="35" spans="1:28" x14ac:dyDescent="0.2">
      <c r="A35" s="108"/>
      <c r="B35" s="96" t="s">
        <v>11</v>
      </c>
      <c r="C35" s="32">
        <f t="shared" ref="C35:U35" si="9">IF(C$26&lt;=0.65,C13,IF(C$26&gt;=0.85,C21,((0.85-C$26)*5*C13)+((C$26-0.65)*5*C21)))</f>
        <v>1</v>
      </c>
      <c r="D35" s="32">
        <f t="shared" si="9"/>
        <v>64</v>
      </c>
      <c r="E35" s="32">
        <f t="shared" si="9"/>
        <v>21</v>
      </c>
      <c r="F35" s="32">
        <f t="shared" si="9"/>
        <v>78</v>
      </c>
      <c r="G35" s="32">
        <f t="shared" si="9"/>
        <v>21.5</v>
      </c>
      <c r="H35" s="32">
        <f t="shared" si="9"/>
        <v>14.3</v>
      </c>
      <c r="I35" s="32">
        <f t="shared" si="9"/>
        <v>10.7</v>
      </c>
      <c r="J35" s="32">
        <f t="shared" si="9"/>
        <v>13.1</v>
      </c>
      <c r="K35" s="721">
        <f>IF(K$26&lt;=0.65,K13,IF(K$26&gt;=0.85,K21,((0.85-K$26)*5*K13)+((K$26-0.65)*5*K21)))</f>
        <v>8.1999999999999993</v>
      </c>
      <c r="L35" s="32">
        <f t="shared" si="9"/>
        <v>4.2</v>
      </c>
      <c r="M35" s="32">
        <f t="shared" si="9"/>
        <v>7.8</v>
      </c>
      <c r="N35" s="32">
        <f t="shared" si="9"/>
        <v>14</v>
      </c>
      <c r="O35" s="32">
        <f t="shared" si="9"/>
        <v>17.5</v>
      </c>
      <c r="P35" s="721">
        <f>IF(P$26&lt;=0.65,P13,IF(P$26&gt;=0.85,P21,((0.85-P$26)*5*P13)+((P$26-0.65)*5*P21)))</f>
        <v>32.1</v>
      </c>
      <c r="Q35" s="32">
        <f t="shared" si="9"/>
        <v>4.8</v>
      </c>
      <c r="R35" s="32">
        <f>IF(R$26&lt;=0.65,R13,IF(R$26&gt;=0.85,R21,((0.85-R$26)*5*R13)+((R$26-0.65)*5*R21)))</f>
        <v>3.4</v>
      </c>
      <c r="S35" s="721">
        <f>IF(S$26&lt;=0.65,S13,IF(S$26&gt;=0.85,S21,((0.85-S$26)*5*S13)+((S$26-0.65)*5*S21)))</f>
        <v>1.8</v>
      </c>
      <c r="T35" s="32">
        <f t="shared" si="9"/>
        <v>15</v>
      </c>
      <c r="U35" s="32">
        <f t="shared" si="9"/>
        <v>30</v>
      </c>
      <c r="V35" s="320">
        <v>0.9</v>
      </c>
      <c r="W35" s="1090">
        <f t="shared" si="7"/>
        <v>4.2</v>
      </c>
      <c r="X35" s="1090">
        <f t="shared" si="7"/>
        <v>7</v>
      </c>
      <c r="Y35" s="1096">
        <f t="shared" si="7"/>
        <v>12</v>
      </c>
      <c r="Z35" s="693">
        <v>1</v>
      </c>
      <c r="AA35" s="693">
        <v>2</v>
      </c>
      <c r="AB35" s="364"/>
    </row>
    <row r="36" spans="1:28" x14ac:dyDescent="0.2">
      <c r="A36" s="115"/>
      <c r="B36" s="116" t="s">
        <v>81</v>
      </c>
      <c r="C36" s="369">
        <v>0.3</v>
      </c>
      <c r="D36" s="370">
        <v>37.5</v>
      </c>
      <c r="E36" s="371">
        <v>14.9</v>
      </c>
      <c r="F36" s="372">
        <v>31.3</v>
      </c>
      <c r="G36" s="366">
        <v>11.7</v>
      </c>
      <c r="H36" s="371">
        <v>7.8</v>
      </c>
      <c r="I36" s="372">
        <v>5.9</v>
      </c>
      <c r="J36" s="370">
        <v>7</v>
      </c>
      <c r="K36" s="713">
        <v>8.3000000000000007</v>
      </c>
      <c r="L36" s="703">
        <v>1</v>
      </c>
      <c r="M36" s="373">
        <v>2.9</v>
      </c>
      <c r="N36" s="374">
        <v>6.4</v>
      </c>
      <c r="O36" s="707">
        <v>8.3000000000000007</v>
      </c>
      <c r="P36" s="713">
        <v>31.3</v>
      </c>
      <c r="Q36" s="372">
        <v>2.2999999999999998</v>
      </c>
      <c r="R36" s="369">
        <v>2.7</v>
      </c>
      <c r="S36" s="713">
        <v>1.8</v>
      </c>
      <c r="T36" s="370">
        <v>15</v>
      </c>
      <c r="U36" s="375">
        <v>30</v>
      </c>
      <c r="V36" s="320">
        <v>0.9</v>
      </c>
      <c r="W36" s="563">
        <v>3.3</v>
      </c>
      <c r="X36" s="564">
        <v>7</v>
      </c>
      <c r="Y36" s="565">
        <v>12</v>
      </c>
      <c r="Z36" s="693">
        <v>1</v>
      </c>
      <c r="AA36" s="693">
        <v>2</v>
      </c>
    </row>
    <row r="37" spans="1:28" x14ac:dyDescent="0.2">
      <c r="A37" s="115"/>
      <c r="B37" s="116" t="s">
        <v>82</v>
      </c>
      <c r="C37" s="369">
        <v>0.7</v>
      </c>
      <c r="D37" s="367">
        <v>54.5</v>
      </c>
      <c r="E37" s="371">
        <v>20.5</v>
      </c>
      <c r="F37" s="372">
        <v>45.5</v>
      </c>
      <c r="G37" s="366">
        <v>17.100000000000001</v>
      </c>
      <c r="H37" s="371">
        <v>11.4</v>
      </c>
      <c r="I37" s="376">
        <v>8.6</v>
      </c>
      <c r="J37" s="370">
        <v>9.6999999999999993</v>
      </c>
      <c r="K37" s="713">
        <v>8.8000000000000007</v>
      </c>
      <c r="L37" s="703">
        <v>1.4</v>
      </c>
      <c r="M37" s="373">
        <v>4.2</v>
      </c>
      <c r="N37" s="374">
        <v>9.5</v>
      </c>
      <c r="O37" s="707">
        <v>12.7</v>
      </c>
      <c r="P37" s="713">
        <v>35</v>
      </c>
      <c r="Q37" s="372">
        <v>3.4</v>
      </c>
      <c r="R37" s="369">
        <v>3.9</v>
      </c>
      <c r="S37" s="713">
        <v>1.8</v>
      </c>
      <c r="T37" s="370">
        <v>15</v>
      </c>
      <c r="U37" s="375">
        <v>30</v>
      </c>
      <c r="V37" s="320">
        <v>0.9</v>
      </c>
      <c r="W37" s="563">
        <v>2.1</v>
      </c>
      <c r="X37" s="564">
        <v>7</v>
      </c>
      <c r="Y37" s="565">
        <v>12</v>
      </c>
      <c r="Z37" s="693">
        <v>1</v>
      </c>
      <c r="AA37" s="693">
        <v>2</v>
      </c>
      <c r="AB37" s="364"/>
    </row>
    <row r="38" spans="1:28" x14ac:dyDescent="0.2">
      <c r="A38" s="108"/>
      <c r="B38" s="96" t="s">
        <v>9</v>
      </c>
      <c r="C38" s="360">
        <v>1</v>
      </c>
      <c r="D38" s="377">
        <v>64</v>
      </c>
      <c r="E38" s="362">
        <v>21</v>
      </c>
      <c r="F38" s="363">
        <v>78</v>
      </c>
      <c r="G38" s="333">
        <v>21.5</v>
      </c>
      <c r="H38" s="362">
        <v>14.3</v>
      </c>
      <c r="I38" s="363">
        <v>10.7</v>
      </c>
      <c r="J38" s="251">
        <v>13.1</v>
      </c>
      <c r="K38" s="713">
        <v>8.1999999999999993</v>
      </c>
      <c r="L38" s="368">
        <v>4.2</v>
      </c>
      <c r="M38" s="364">
        <v>7.8</v>
      </c>
      <c r="N38" s="365">
        <v>14</v>
      </c>
      <c r="O38" s="559">
        <v>17.5</v>
      </c>
      <c r="P38" s="713">
        <v>32.1</v>
      </c>
      <c r="Q38" s="363">
        <v>4.8</v>
      </c>
      <c r="R38" s="360">
        <v>3.4</v>
      </c>
      <c r="S38" s="713">
        <v>1.8</v>
      </c>
      <c r="T38" s="361">
        <v>15</v>
      </c>
      <c r="U38" s="100">
        <v>30</v>
      </c>
      <c r="V38" s="320">
        <v>0.9</v>
      </c>
      <c r="W38" s="563">
        <v>4.2</v>
      </c>
      <c r="X38" s="564">
        <v>7</v>
      </c>
      <c r="Y38" s="565">
        <v>12</v>
      </c>
      <c r="Z38" s="693">
        <v>1</v>
      </c>
      <c r="AA38" s="693">
        <v>2</v>
      </c>
    </row>
    <row r="39" spans="1:28" x14ac:dyDescent="0.2">
      <c r="A39" s="108"/>
      <c r="B39" s="96" t="s">
        <v>84</v>
      </c>
      <c r="C39" s="360">
        <v>1</v>
      </c>
      <c r="D39" s="377">
        <v>105</v>
      </c>
      <c r="E39" s="362">
        <v>31</v>
      </c>
      <c r="F39" s="363">
        <v>129</v>
      </c>
      <c r="G39" s="384">
        <v>32.200000000000003</v>
      </c>
      <c r="H39" s="362">
        <v>21.4</v>
      </c>
      <c r="I39" s="363">
        <v>16.100000000000001</v>
      </c>
      <c r="J39" s="361">
        <v>20</v>
      </c>
      <c r="K39" s="713">
        <v>8</v>
      </c>
      <c r="L39" s="368">
        <v>4</v>
      </c>
      <c r="M39" s="364">
        <v>15.8</v>
      </c>
      <c r="N39" s="365">
        <v>19.600000000000001</v>
      </c>
      <c r="O39" s="559">
        <v>24.4</v>
      </c>
      <c r="P39" s="713">
        <v>18.899999999999999</v>
      </c>
      <c r="Q39" s="363">
        <v>7.6</v>
      </c>
      <c r="R39" s="360">
        <v>6</v>
      </c>
      <c r="S39" s="713">
        <v>1.8</v>
      </c>
      <c r="T39" s="361">
        <v>15</v>
      </c>
      <c r="U39" s="100">
        <v>30</v>
      </c>
      <c r="V39" s="320">
        <v>0.9</v>
      </c>
      <c r="W39" s="563">
        <v>4</v>
      </c>
      <c r="X39" s="564">
        <v>7</v>
      </c>
      <c r="Y39" s="565">
        <v>12</v>
      </c>
      <c r="Z39" s="693">
        <v>1</v>
      </c>
      <c r="AA39" s="693">
        <v>2</v>
      </c>
      <c r="AB39" s="364"/>
    </row>
    <row r="40" spans="1:28" x14ac:dyDescent="0.2">
      <c r="A40" s="87"/>
      <c r="B40" s="96" t="s">
        <v>86</v>
      </c>
      <c r="C40" s="360">
        <v>0.3</v>
      </c>
      <c r="D40" s="400">
        <v>27.3</v>
      </c>
      <c r="E40" s="362">
        <v>12.6</v>
      </c>
      <c r="F40" s="401">
        <v>12.8</v>
      </c>
      <c r="G40" s="333">
        <v>8.1</v>
      </c>
      <c r="H40" s="362">
        <v>5.7</v>
      </c>
      <c r="I40" s="363">
        <v>3.8</v>
      </c>
      <c r="J40" s="361">
        <v>4.2</v>
      </c>
      <c r="K40" s="713">
        <v>5.5</v>
      </c>
      <c r="L40" s="368">
        <v>2</v>
      </c>
      <c r="M40" s="364">
        <v>3.6</v>
      </c>
      <c r="N40" s="365">
        <v>4.3</v>
      </c>
      <c r="O40" s="559">
        <v>5.5</v>
      </c>
      <c r="P40" s="713">
        <v>25.4</v>
      </c>
      <c r="Q40" s="363">
        <v>1.2</v>
      </c>
      <c r="R40" s="360">
        <v>1.3</v>
      </c>
      <c r="S40" s="713">
        <v>1.8</v>
      </c>
      <c r="T40" s="361">
        <v>20</v>
      </c>
      <c r="U40" s="100">
        <v>30</v>
      </c>
      <c r="V40" s="320">
        <v>0.9</v>
      </c>
      <c r="W40" s="563">
        <v>6.7</v>
      </c>
      <c r="X40" s="564">
        <v>7</v>
      </c>
      <c r="Y40" s="565">
        <v>12</v>
      </c>
      <c r="Z40" s="693">
        <v>1</v>
      </c>
      <c r="AA40" s="693">
        <v>2</v>
      </c>
    </row>
    <row r="41" spans="1:28" x14ac:dyDescent="0.2">
      <c r="A41" s="87"/>
      <c r="B41" s="96" t="s">
        <v>88</v>
      </c>
      <c r="C41" s="360">
        <v>0.3</v>
      </c>
      <c r="D41" s="400">
        <v>24.1</v>
      </c>
      <c r="E41" s="362">
        <v>11.2</v>
      </c>
      <c r="F41" s="401">
        <v>11.6</v>
      </c>
      <c r="G41" s="333">
        <v>7.2</v>
      </c>
      <c r="H41" s="362">
        <v>5</v>
      </c>
      <c r="I41" s="363">
        <v>3.4</v>
      </c>
      <c r="J41" s="361">
        <v>4.2</v>
      </c>
      <c r="K41" s="713">
        <v>5.5</v>
      </c>
      <c r="L41" s="368">
        <v>2</v>
      </c>
      <c r="M41" s="364">
        <v>3.6</v>
      </c>
      <c r="N41" s="365">
        <v>4.3</v>
      </c>
      <c r="O41" s="559">
        <v>5.5</v>
      </c>
      <c r="P41" s="713">
        <v>24.4</v>
      </c>
      <c r="Q41" s="363">
        <v>1.2</v>
      </c>
      <c r="R41" s="360">
        <v>1.3</v>
      </c>
      <c r="S41" s="713">
        <v>1.8</v>
      </c>
      <c r="T41" s="361">
        <v>20</v>
      </c>
      <c r="U41" s="100">
        <v>30</v>
      </c>
      <c r="V41" s="320">
        <v>0.9</v>
      </c>
      <c r="W41" s="563">
        <v>6.7</v>
      </c>
      <c r="X41" s="564">
        <v>7</v>
      </c>
      <c r="Y41" s="565">
        <v>12</v>
      </c>
      <c r="Z41" s="693">
        <v>1</v>
      </c>
      <c r="AA41" s="693">
        <v>2</v>
      </c>
      <c r="AB41" s="364"/>
    </row>
    <row r="42" spans="1:28" x14ac:dyDescent="0.2">
      <c r="A42" s="87"/>
      <c r="B42" s="123" t="s">
        <v>90</v>
      </c>
      <c r="C42" s="360">
        <v>0.3</v>
      </c>
      <c r="D42" s="377">
        <v>27.5</v>
      </c>
      <c r="E42" s="362">
        <v>12.8</v>
      </c>
      <c r="F42" s="401">
        <v>13.1</v>
      </c>
      <c r="G42" s="333">
        <v>8.1999999999999993</v>
      </c>
      <c r="H42" s="362">
        <v>5.8</v>
      </c>
      <c r="I42" s="363">
        <v>3.8</v>
      </c>
      <c r="J42" s="361">
        <v>4.4000000000000004</v>
      </c>
      <c r="K42" s="713">
        <v>5.5</v>
      </c>
      <c r="L42" s="368">
        <v>2</v>
      </c>
      <c r="M42" s="364">
        <v>3.7</v>
      </c>
      <c r="N42" s="365">
        <v>4.5</v>
      </c>
      <c r="O42" s="559">
        <v>5.7</v>
      </c>
      <c r="P42" s="713">
        <v>25.5</v>
      </c>
      <c r="Q42" s="363">
        <v>1.2</v>
      </c>
      <c r="R42" s="360">
        <v>1.4</v>
      </c>
      <c r="S42" s="713">
        <v>1.8</v>
      </c>
      <c r="T42" s="361">
        <v>20</v>
      </c>
      <c r="U42" s="100">
        <v>30</v>
      </c>
      <c r="V42" s="320">
        <v>0.9</v>
      </c>
      <c r="W42" s="563">
        <v>6.7</v>
      </c>
      <c r="X42" s="564">
        <v>7</v>
      </c>
      <c r="Y42" s="565">
        <v>12</v>
      </c>
      <c r="Z42" s="693">
        <v>1</v>
      </c>
      <c r="AA42" s="693">
        <v>2</v>
      </c>
    </row>
    <row r="43" spans="1:28" x14ac:dyDescent="0.2">
      <c r="A43" s="87"/>
      <c r="B43" s="123" t="s">
        <v>92</v>
      </c>
      <c r="C43" s="360">
        <v>0.3</v>
      </c>
      <c r="D43" s="377">
        <v>24.2</v>
      </c>
      <c r="E43" s="362">
        <v>11.2</v>
      </c>
      <c r="F43" s="401">
        <v>11.8</v>
      </c>
      <c r="G43" s="333">
        <v>7.4</v>
      </c>
      <c r="H43" s="362">
        <v>5.2</v>
      </c>
      <c r="I43" s="363">
        <v>3.4</v>
      </c>
      <c r="J43" s="361">
        <v>4.4000000000000004</v>
      </c>
      <c r="K43" s="713">
        <v>5.5</v>
      </c>
      <c r="L43" s="368">
        <v>2</v>
      </c>
      <c r="M43" s="364">
        <v>3.7</v>
      </c>
      <c r="N43" s="365">
        <v>4.5</v>
      </c>
      <c r="O43" s="559">
        <v>5.7</v>
      </c>
      <c r="P43" s="713">
        <v>24.6</v>
      </c>
      <c r="Q43" s="363">
        <v>1.2</v>
      </c>
      <c r="R43" s="360">
        <v>1.4</v>
      </c>
      <c r="S43" s="713">
        <v>1.8</v>
      </c>
      <c r="T43" s="361">
        <v>20</v>
      </c>
      <c r="U43" s="100">
        <v>30</v>
      </c>
      <c r="V43" s="320">
        <v>0.9</v>
      </c>
      <c r="W43" s="563">
        <v>6.7</v>
      </c>
      <c r="X43" s="564">
        <v>7</v>
      </c>
      <c r="Y43" s="565">
        <v>12</v>
      </c>
      <c r="Z43" s="693">
        <v>1</v>
      </c>
      <c r="AA43" s="693">
        <v>2</v>
      </c>
      <c r="AB43" s="364"/>
    </row>
    <row r="44" spans="1:28" x14ac:dyDescent="0.2">
      <c r="A44" s="87"/>
      <c r="B44" s="96" t="s">
        <v>94</v>
      </c>
      <c r="C44" s="360">
        <v>0.3</v>
      </c>
      <c r="D44" s="400">
        <v>41.1</v>
      </c>
      <c r="E44" s="362">
        <v>17.899999999999999</v>
      </c>
      <c r="F44" s="401">
        <v>21.1</v>
      </c>
      <c r="G44" s="333">
        <v>11.9</v>
      </c>
      <c r="H44" s="362">
        <v>8.3000000000000007</v>
      </c>
      <c r="I44" s="363">
        <v>5.5</v>
      </c>
      <c r="J44" s="361">
        <v>6.5</v>
      </c>
      <c r="K44" s="713">
        <v>5.5</v>
      </c>
      <c r="L44" s="368">
        <v>3</v>
      </c>
      <c r="M44" s="364">
        <v>5.2</v>
      </c>
      <c r="N44" s="365">
        <v>6.1</v>
      </c>
      <c r="O44" s="559">
        <v>7.8</v>
      </c>
      <c r="P44" s="713">
        <v>26</v>
      </c>
      <c r="Q44" s="363">
        <v>1.2</v>
      </c>
      <c r="R44" s="360">
        <v>2.4</v>
      </c>
      <c r="S44" s="713">
        <v>1.8</v>
      </c>
      <c r="T44" s="361">
        <v>20</v>
      </c>
      <c r="U44" s="100">
        <v>30</v>
      </c>
      <c r="V44" s="320">
        <v>0.9</v>
      </c>
      <c r="W44" s="563">
        <v>10</v>
      </c>
      <c r="X44" s="564">
        <v>7</v>
      </c>
      <c r="Y44" s="565">
        <v>12</v>
      </c>
      <c r="Z44" s="693">
        <v>1</v>
      </c>
      <c r="AA44" s="693">
        <v>2</v>
      </c>
    </row>
    <row r="45" spans="1:28" x14ac:dyDescent="0.2">
      <c r="A45" s="87"/>
      <c r="B45" s="96" t="s">
        <v>96</v>
      </c>
      <c r="C45" s="360">
        <v>0.3</v>
      </c>
      <c r="D45" s="400">
        <v>36.799999999999997</v>
      </c>
      <c r="E45" s="362">
        <v>16</v>
      </c>
      <c r="F45" s="401">
        <v>19.5</v>
      </c>
      <c r="G45" s="333">
        <v>10.9</v>
      </c>
      <c r="H45" s="362">
        <v>7.6</v>
      </c>
      <c r="I45" s="363">
        <v>5.0999999999999996</v>
      </c>
      <c r="J45" s="361">
        <v>6.5</v>
      </c>
      <c r="K45" s="713">
        <v>5.5</v>
      </c>
      <c r="L45" s="368">
        <v>3</v>
      </c>
      <c r="M45" s="364">
        <v>5.2</v>
      </c>
      <c r="N45" s="365">
        <v>6.1</v>
      </c>
      <c r="O45" s="559">
        <v>7.8</v>
      </c>
      <c r="P45" s="713">
        <v>25.2</v>
      </c>
      <c r="Q45" s="363">
        <v>1.2</v>
      </c>
      <c r="R45" s="360">
        <v>2.4</v>
      </c>
      <c r="S45" s="713">
        <v>1.8</v>
      </c>
      <c r="T45" s="361">
        <v>20</v>
      </c>
      <c r="U45" s="100">
        <v>30</v>
      </c>
      <c r="V45" s="320">
        <v>0.9</v>
      </c>
      <c r="W45" s="563">
        <v>10</v>
      </c>
      <c r="X45" s="564">
        <v>7</v>
      </c>
      <c r="Y45" s="565">
        <v>12</v>
      </c>
      <c r="Z45" s="693">
        <v>1</v>
      </c>
      <c r="AA45" s="693">
        <v>2</v>
      </c>
      <c r="AB45" s="364"/>
    </row>
    <row r="46" spans="1:28" x14ac:dyDescent="0.2">
      <c r="A46" s="87"/>
      <c r="B46" s="123" t="s">
        <v>98</v>
      </c>
      <c r="C46" s="360">
        <v>0.3</v>
      </c>
      <c r="D46" s="377">
        <v>42.9</v>
      </c>
      <c r="E46" s="362">
        <v>18.600000000000001</v>
      </c>
      <c r="F46" s="401">
        <v>21.3</v>
      </c>
      <c r="G46" s="333">
        <v>12.5</v>
      </c>
      <c r="H46" s="362">
        <v>8.6999999999999993</v>
      </c>
      <c r="I46" s="363">
        <v>5.8</v>
      </c>
      <c r="J46" s="361">
        <v>7</v>
      </c>
      <c r="K46" s="713">
        <v>5.5</v>
      </c>
      <c r="L46" s="368">
        <v>3</v>
      </c>
      <c r="M46" s="364">
        <v>5.5</v>
      </c>
      <c r="N46" s="365">
        <v>6.5</v>
      </c>
      <c r="O46" s="559">
        <v>8.3000000000000007</v>
      </c>
      <c r="P46" s="713">
        <v>25.9</v>
      </c>
      <c r="Q46" s="363">
        <v>1.2</v>
      </c>
      <c r="R46" s="360">
        <v>2.6</v>
      </c>
      <c r="S46" s="713">
        <v>1.8</v>
      </c>
      <c r="T46" s="361">
        <v>20</v>
      </c>
      <c r="U46" s="100">
        <v>30</v>
      </c>
      <c r="V46" s="320">
        <v>0.9</v>
      </c>
      <c r="W46" s="563">
        <v>10</v>
      </c>
      <c r="X46" s="564">
        <v>7</v>
      </c>
      <c r="Y46" s="565">
        <v>12</v>
      </c>
      <c r="Z46" s="693">
        <v>1</v>
      </c>
      <c r="AA46" s="693">
        <v>2</v>
      </c>
    </row>
    <row r="47" spans="1:28" x14ac:dyDescent="0.2">
      <c r="A47" s="87"/>
      <c r="B47" s="123" t="s">
        <v>100</v>
      </c>
      <c r="C47" s="360">
        <v>0.3</v>
      </c>
      <c r="D47" s="377">
        <v>38.4</v>
      </c>
      <c r="E47" s="362">
        <v>16.7</v>
      </c>
      <c r="F47" s="401">
        <v>20.7</v>
      </c>
      <c r="G47" s="333">
        <v>11.5</v>
      </c>
      <c r="H47" s="362">
        <v>8</v>
      </c>
      <c r="I47" s="363">
        <v>5.3</v>
      </c>
      <c r="J47" s="361">
        <v>7</v>
      </c>
      <c r="K47" s="713">
        <v>5.5</v>
      </c>
      <c r="L47" s="368">
        <v>3</v>
      </c>
      <c r="M47" s="364">
        <v>5.5</v>
      </c>
      <c r="N47" s="365">
        <v>6.5</v>
      </c>
      <c r="O47" s="559">
        <v>8.3000000000000007</v>
      </c>
      <c r="P47" s="713">
        <v>25.1</v>
      </c>
      <c r="Q47" s="363">
        <v>1.2</v>
      </c>
      <c r="R47" s="360">
        <v>2.6</v>
      </c>
      <c r="S47" s="713">
        <v>1.8</v>
      </c>
      <c r="T47" s="361">
        <v>20</v>
      </c>
      <c r="U47" s="100">
        <v>30</v>
      </c>
      <c r="V47" s="320">
        <v>0.9</v>
      </c>
      <c r="W47" s="563">
        <v>10</v>
      </c>
      <c r="X47" s="564">
        <v>7</v>
      </c>
      <c r="Y47" s="565">
        <v>12</v>
      </c>
      <c r="Z47" s="693">
        <v>1</v>
      </c>
      <c r="AA47" s="693">
        <v>2</v>
      </c>
      <c r="AB47" s="364"/>
    </row>
    <row r="48" spans="1:28" x14ac:dyDescent="0.2">
      <c r="A48" s="108"/>
      <c r="B48" s="123" t="s">
        <v>102</v>
      </c>
      <c r="C48" s="402">
        <v>0.02</v>
      </c>
      <c r="D48" s="377">
        <v>4.5</v>
      </c>
      <c r="E48" s="403">
        <v>1.64</v>
      </c>
      <c r="F48" s="404">
        <v>2.7</v>
      </c>
      <c r="G48" s="333">
        <v>1.3</v>
      </c>
      <c r="H48" s="362">
        <v>0.9</v>
      </c>
      <c r="I48" s="363">
        <v>0.6</v>
      </c>
      <c r="J48" s="361">
        <v>0.7</v>
      </c>
      <c r="K48" s="713">
        <v>5.5</v>
      </c>
      <c r="L48" s="368">
        <v>0.2</v>
      </c>
      <c r="M48" s="364">
        <v>0.4</v>
      </c>
      <c r="N48" s="365">
        <v>0.6</v>
      </c>
      <c r="O48" s="559">
        <v>0.8</v>
      </c>
      <c r="P48" s="713">
        <v>25.6</v>
      </c>
      <c r="Q48" s="712">
        <v>0.15</v>
      </c>
      <c r="R48" s="360">
        <v>0.4</v>
      </c>
      <c r="S48" s="713">
        <v>1.8</v>
      </c>
      <c r="T48" s="361">
        <v>20</v>
      </c>
      <c r="U48" s="100">
        <v>30</v>
      </c>
      <c r="V48" s="320">
        <v>0.9</v>
      </c>
      <c r="W48" s="563">
        <v>10</v>
      </c>
      <c r="X48" s="564">
        <v>7</v>
      </c>
      <c r="Y48" s="565">
        <v>12</v>
      </c>
      <c r="Z48" s="693">
        <v>1</v>
      </c>
      <c r="AA48" s="693">
        <v>2</v>
      </c>
    </row>
    <row r="49" spans="1:28" x14ac:dyDescent="0.2">
      <c r="A49" s="108"/>
      <c r="B49" s="123" t="s">
        <v>104</v>
      </c>
      <c r="C49" s="402">
        <v>0.02</v>
      </c>
      <c r="D49" s="377">
        <v>4.2</v>
      </c>
      <c r="E49" s="403">
        <v>1.61</v>
      </c>
      <c r="F49" s="404">
        <v>2.6</v>
      </c>
      <c r="G49" s="333">
        <v>1.2</v>
      </c>
      <c r="H49" s="362">
        <v>0.8</v>
      </c>
      <c r="I49" s="363">
        <v>0.6</v>
      </c>
      <c r="J49" s="361">
        <v>0.7</v>
      </c>
      <c r="K49" s="713">
        <v>5.5</v>
      </c>
      <c r="L49" s="368">
        <v>0.2</v>
      </c>
      <c r="M49" s="364">
        <v>0.4</v>
      </c>
      <c r="N49" s="365">
        <v>0.6</v>
      </c>
      <c r="O49" s="559">
        <v>0.8</v>
      </c>
      <c r="P49" s="713">
        <v>25.1</v>
      </c>
      <c r="Q49" s="712">
        <v>0.15</v>
      </c>
      <c r="R49" s="360">
        <v>0.4</v>
      </c>
      <c r="S49" s="713">
        <v>1.8</v>
      </c>
      <c r="T49" s="361">
        <v>20</v>
      </c>
      <c r="U49" s="100">
        <v>30</v>
      </c>
      <c r="V49" s="320">
        <v>0.9</v>
      </c>
      <c r="W49" s="563">
        <v>10</v>
      </c>
      <c r="X49" s="564">
        <v>7</v>
      </c>
      <c r="Y49" s="565">
        <v>12</v>
      </c>
      <c r="Z49" s="693">
        <v>1</v>
      </c>
      <c r="AA49" s="693">
        <v>2</v>
      </c>
      <c r="AB49" s="364"/>
    </row>
    <row r="50" spans="1:28" x14ac:dyDescent="0.2">
      <c r="A50" s="87"/>
      <c r="B50" s="96" t="s">
        <v>106</v>
      </c>
      <c r="C50" s="402">
        <v>0.16</v>
      </c>
      <c r="D50" s="377">
        <v>14.1</v>
      </c>
      <c r="E50" s="362">
        <v>6</v>
      </c>
      <c r="F50" s="401">
        <v>7</v>
      </c>
      <c r="G50" s="384">
        <v>3.8</v>
      </c>
      <c r="H50" s="362">
        <v>2.7</v>
      </c>
      <c r="I50" s="363">
        <v>1.8</v>
      </c>
      <c r="J50" s="361">
        <v>1.8</v>
      </c>
      <c r="K50" s="713">
        <v>5.5</v>
      </c>
      <c r="L50" s="368">
        <v>0.5</v>
      </c>
      <c r="M50" s="364">
        <v>1.3</v>
      </c>
      <c r="N50" s="365">
        <v>1.9</v>
      </c>
      <c r="O50" s="559">
        <v>2.6</v>
      </c>
      <c r="P50" s="713">
        <v>22.9</v>
      </c>
      <c r="Q50" s="363">
        <v>0.7</v>
      </c>
      <c r="R50" s="360">
        <v>0.7</v>
      </c>
      <c r="S50" s="713">
        <v>1.8</v>
      </c>
      <c r="T50" s="361">
        <v>20</v>
      </c>
      <c r="U50" s="100">
        <v>30</v>
      </c>
      <c r="V50" s="320">
        <v>0.9</v>
      </c>
      <c r="W50" s="563">
        <v>3.1</v>
      </c>
      <c r="X50" s="564">
        <v>7</v>
      </c>
      <c r="Y50" s="565">
        <v>12</v>
      </c>
      <c r="Z50" s="693">
        <v>1</v>
      </c>
      <c r="AA50" s="693">
        <v>2</v>
      </c>
    </row>
    <row r="51" spans="1:28" x14ac:dyDescent="0.2">
      <c r="A51" s="87"/>
      <c r="B51" s="96" t="s">
        <v>108</v>
      </c>
      <c r="C51" s="402">
        <v>0.16</v>
      </c>
      <c r="D51" s="377">
        <v>13.4</v>
      </c>
      <c r="E51" s="362">
        <v>5.0999999999999996</v>
      </c>
      <c r="F51" s="401">
        <v>6.8</v>
      </c>
      <c r="G51" s="384">
        <v>3.9</v>
      </c>
      <c r="H51" s="362">
        <v>2.7</v>
      </c>
      <c r="I51" s="363">
        <v>1.8</v>
      </c>
      <c r="J51" s="361">
        <v>1.8</v>
      </c>
      <c r="K51" s="713">
        <v>5.5</v>
      </c>
      <c r="L51" s="368">
        <v>0.5</v>
      </c>
      <c r="M51" s="364">
        <v>1.3</v>
      </c>
      <c r="N51" s="365">
        <v>1.9</v>
      </c>
      <c r="O51" s="559">
        <v>2.6</v>
      </c>
      <c r="P51" s="713">
        <v>23</v>
      </c>
      <c r="Q51" s="363">
        <v>0.7</v>
      </c>
      <c r="R51" s="360">
        <v>0.7</v>
      </c>
      <c r="S51" s="713">
        <v>1.8</v>
      </c>
      <c r="T51" s="361">
        <v>20</v>
      </c>
      <c r="U51" s="100">
        <v>30</v>
      </c>
      <c r="V51" s="320">
        <v>0.9</v>
      </c>
      <c r="W51" s="563">
        <v>3.1</v>
      </c>
      <c r="X51" s="564">
        <v>7</v>
      </c>
      <c r="Y51" s="565">
        <v>12</v>
      </c>
      <c r="Z51" s="693">
        <v>1</v>
      </c>
      <c r="AA51" s="693">
        <v>2</v>
      </c>
      <c r="AB51" s="364"/>
    </row>
    <row r="52" spans="1:28" x14ac:dyDescent="0.2">
      <c r="A52" s="108"/>
      <c r="B52" s="96" t="s">
        <v>109</v>
      </c>
      <c r="C52" s="402">
        <v>0.16</v>
      </c>
      <c r="D52" s="377">
        <v>15.4</v>
      </c>
      <c r="E52" s="362">
        <v>6.3</v>
      </c>
      <c r="F52" s="401">
        <v>7.5</v>
      </c>
      <c r="G52" s="384">
        <v>4.0999999999999996</v>
      </c>
      <c r="H52" s="362">
        <v>2.9</v>
      </c>
      <c r="I52" s="363">
        <v>1.9</v>
      </c>
      <c r="J52" s="361">
        <v>1.9</v>
      </c>
      <c r="K52" s="713">
        <v>5.5</v>
      </c>
      <c r="L52" s="368">
        <v>0.5</v>
      </c>
      <c r="M52" s="364">
        <v>1.4</v>
      </c>
      <c r="N52" s="365">
        <v>1.9</v>
      </c>
      <c r="O52" s="559">
        <v>2.6</v>
      </c>
      <c r="P52" s="713">
        <v>22.1</v>
      </c>
      <c r="Q52" s="363">
        <v>0.7</v>
      </c>
      <c r="R52" s="360">
        <v>0.8</v>
      </c>
      <c r="S52" s="713">
        <v>1.8</v>
      </c>
      <c r="T52" s="361">
        <v>20</v>
      </c>
      <c r="U52" s="100">
        <v>30</v>
      </c>
      <c r="V52" s="320">
        <v>0.9</v>
      </c>
      <c r="W52" s="563">
        <v>3.1</v>
      </c>
      <c r="X52" s="564">
        <v>7</v>
      </c>
      <c r="Y52" s="565">
        <v>12</v>
      </c>
      <c r="Z52" s="693">
        <v>1</v>
      </c>
      <c r="AA52" s="693">
        <v>2</v>
      </c>
    </row>
    <row r="53" spans="1:28" x14ac:dyDescent="0.2">
      <c r="A53" s="108"/>
      <c r="B53" s="96" t="s">
        <v>111</v>
      </c>
      <c r="C53" s="402">
        <v>0.16</v>
      </c>
      <c r="D53" s="1183">
        <v>14.8</v>
      </c>
      <c r="E53" s="362">
        <v>5.4</v>
      </c>
      <c r="F53" s="401">
        <v>7.3</v>
      </c>
      <c r="G53" s="384">
        <v>4.2</v>
      </c>
      <c r="H53" s="362">
        <v>2.9</v>
      </c>
      <c r="I53" s="363">
        <v>1.9</v>
      </c>
      <c r="J53" s="361">
        <v>1.9</v>
      </c>
      <c r="K53" s="713">
        <v>5.5</v>
      </c>
      <c r="L53" s="368">
        <v>0.5</v>
      </c>
      <c r="M53" s="364">
        <v>1.4</v>
      </c>
      <c r="N53" s="365">
        <v>1.9</v>
      </c>
      <c r="O53" s="559">
        <v>2.6</v>
      </c>
      <c r="P53" s="713">
        <v>22.2</v>
      </c>
      <c r="Q53" s="363">
        <v>0.7</v>
      </c>
      <c r="R53" s="360">
        <v>0.8</v>
      </c>
      <c r="S53" s="713">
        <v>1.8</v>
      </c>
      <c r="T53" s="361">
        <v>20</v>
      </c>
      <c r="U53" s="100">
        <v>30</v>
      </c>
      <c r="V53" s="320">
        <v>0.9</v>
      </c>
      <c r="W53" s="563">
        <v>3.1</v>
      </c>
      <c r="X53" s="564">
        <v>7</v>
      </c>
      <c r="Y53" s="565">
        <v>12</v>
      </c>
      <c r="Z53" s="693">
        <v>1</v>
      </c>
      <c r="AA53" s="693">
        <v>2</v>
      </c>
      <c r="AB53" s="364"/>
    </row>
    <row r="54" spans="1:28" x14ac:dyDescent="0.2">
      <c r="A54" s="115"/>
      <c r="B54" s="116" t="s">
        <v>112</v>
      </c>
      <c r="C54" s="369">
        <v>0.3</v>
      </c>
      <c r="D54" s="367">
        <v>22.1</v>
      </c>
      <c r="E54" s="371">
        <v>9.6</v>
      </c>
      <c r="F54" s="407">
        <v>8.8000000000000007</v>
      </c>
      <c r="G54" s="408">
        <v>4.5</v>
      </c>
      <c r="H54" s="371">
        <v>3.2</v>
      </c>
      <c r="I54" s="372">
        <v>2.1</v>
      </c>
      <c r="J54" s="370">
        <v>3.6</v>
      </c>
      <c r="K54" s="713">
        <v>5.5</v>
      </c>
      <c r="L54" s="703">
        <v>1</v>
      </c>
      <c r="M54" s="373">
        <v>2.5</v>
      </c>
      <c r="N54" s="374">
        <v>3.6</v>
      </c>
      <c r="O54" s="707">
        <v>4.9000000000000004</v>
      </c>
      <c r="P54" s="713">
        <v>19.8</v>
      </c>
      <c r="Q54" s="363">
        <v>1</v>
      </c>
      <c r="R54" s="369">
        <v>1.5</v>
      </c>
      <c r="S54" s="713">
        <v>1.8</v>
      </c>
      <c r="T54" s="370">
        <v>20</v>
      </c>
      <c r="U54" s="375">
        <v>30</v>
      </c>
      <c r="V54" s="320">
        <v>0.9</v>
      </c>
      <c r="W54" s="563">
        <v>3.3</v>
      </c>
      <c r="X54" s="564">
        <v>7</v>
      </c>
      <c r="Y54" s="565">
        <v>12</v>
      </c>
      <c r="Z54" s="693">
        <v>1</v>
      </c>
      <c r="AA54" s="693">
        <v>2</v>
      </c>
    </row>
    <row r="55" spans="1:28" x14ac:dyDescent="0.2">
      <c r="A55" s="108"/>
      <c r="B55" s="96" t="s">
        <v>114</v>
      </c>
      <c r="C55" s="421">
        <v>4.0000000000000001E-3</v>
      </c>
      <c r="D55" s="406">
        <v>0.85</v>
      </c>
      <c r="E55" s="403">
        <v>0.44</v>
      </c>
      <c r="F55" s="422">
        <v>0.38</v>
      </c>
      <c r="G55" s="384"/>
      <c r="H55" s="423"/>
      <c r="I55" s="424"/>
      <c r="J55" s="251"/>
      <c r="K55" s="378"/>
      <c r="L55" s="368">
        <v>3.7</v>
      </c>
      <c r="M55" s="689">
        <f t="shared" ref="M55:O56" si="10">24.4817073170732/1000</f>
        <v>2.4481707317073203E-2</v>
      </c>
      <c r="N55" s="689">
        <f t="shared" si="10"/>
        <v>2.4481707317073203E-2</v>
      </c>
      <c r="O55" s="705">
        <f t="shared" si="10"/>
        <v>2.4481707317073203E-2</v>
      </c>
      <c r="P55" s="713">
        <v>50</v>
      </c>
      <c r="Q55" s="442">
        <v>0</v>
      </c>
      <c r="R55" s="428">
        <v>0</v>
      </c>
      <c r="S55" s="725"/>
      <c r="T55" s="377">
        <v>40</v>
      </c>
      <c r="U55" s="368">
        <v>40</v>
      </c>
      <c r="V55" s="320">
        <v>0.7</v>
      </c>
      <c r="W55" s="686">
        <v>0.93</v>
      </c>
      <c r="X55" s="686">
        <v>0.93</v>
      </c>
      <c r="Y55" s="686">
        <v>0.93</v>
      </c>
      <c r="Z55" s="693">
        <v>5</v>
      </c>
      <c r="AA55" s="693">
        <v>5</v>
      </c>
      <c r="AB55" s="364"/>
    </row>
    <row r="56" spans="1:28" x14ac:dyDescent="0.2">
      <c r="A56" s="108"/>
      <c r="B56" s="96" t="s">
        <v>116</v>
      </c>
      <c r="C56" s="421">
        <v>4.0000000000000001E-3</v>
      </c>
      <c r="D56" s="406">
        <v>0.81</v>
      </c>
      <c r="E56" s="403">
        <v>0.39</v>
      </c>
      <c r="F56" s="422">
        <v>0.38</v>
      </c>
      <c r="G56" s="384"/>
      <c r="H56" s="423"/>
      <c r="I56" s="424"/>
      <c r="J56" s="251"/>
      <c r="K56" s="378"/>
      <c r="L56" s="368">
        <v>3.7</v>
      </c>
      <c r="M56" s="689">
        <f t="shared" si="10"/>
        <v>2.4481707317073203E-2</v>
      </c>
      <c r="N56" s="689">
        <f t="shared" si="10"/>
        <v>2.4481707317073203E-2</v>
      </c>
      <c r="O56" s="705">
        <f t="shared" si="10"/>
        <v>2.4481707317073203E-2</v>
      </c>
      <c r="P56" s="713">
        <v>50</v>
      </c>
      <c r="Q56" s="442">
        <v>0</v>
      </c>
      <c r="R56" s="428">
        <v>0</v>
      </c>
      <c r="S56" s="725"/>
      <c r="T56" s="377">
        <v>40</v>
      </c>
      <c r="U56" s="368">
        <v>40</v>
      </c>
      <c r="V56" s="320">
        <v>0.7</v>
      </c>
      <c r="W56" s="686">
        <v>0.93</v>
      </c>
      <c r="X56" s="686">
        <v>0.93</v>
      </c>
      <c r="Y56" s="686">
        <v>0.93</v>
      </c>
      <c r="Z56" s="693">
        <v>5</v>
      </c>
      <c r="AA56" s="693">
        <v>5</v>
      </c>
    </row>
    <row r="57" spans="1:28" x14ac:dyDescent="0.2">
      <c r="A57" s="108"/>
      <c r="B57" s="96" t="s">
        <v>118</v>
      </c>
      <c r="C57" s="421">
        <v>4.0000000000000001E-3</v>
      </c>
      <c r="D57" s="406">
        <v>0.32</v>
      </c>
      <c r="E57" s="403">
        <v>0.21</v>
      </c>
      <c r="F57" s="422">
        <v>0.15</v>
      </c>
      <c r="G57" s="384"/>
      <c r="H57" s="423"/>
      <c r="I57" s="424"/>
      <c r="J57" s="361"/>
      <c r="K57" s="360"/>
      <c r="L57" s="368">
        <v>2.2999999999999998</v>
      </c>
      <c r="M57" s="689">
        <f t="shared" ref="M57:O58" si="11">8.44907407407407/1000</f>
        <v>8.4490740740740707E-3</v>
      </c>
      <c r="N57" s="689">
        <f t="shared" si="11"/>
        <v>8.4490740740740707E-3</v>
      </c>
      <c r="O57" s="705">
        <f t="shared" si="11"/>
        <v>8.4490740740740707E-3</v>
      </c>
      <c r="P57" s="713">
        <v>50</v>
      </c>
      <c r="Q57" s="442">
        <v>0</v>
      </c>
      <c r="R57" s="428">
        <v>0</v>
      </c>
      <c r="S57" s="725"/>
      <c r="T57" s="377">
        <v>40</v>
      </c>
      <c r="U57" s="368">
        <v>40</v>
      </c>
      <c r="V57" s="320">
        <v>0.7</v>
      </c>
      <c r="W57" s="686">
        <v>0.59</v>
      </c>
      <c r="X57" s="686">
        <v>0.59</v>
      </c>
      <c r="Y57" s="686">
        <v>0.59</v>
      </c>
      <c r="Z57" s="693">
        <v>5</v>
      </c>
      <c r="AA57" s="693">
        <v>5</v>
      </c>
      <c r="AB57" s="364"/>
    </row>
    <row r="58" spans="1:28" x14ac:dyDescent="0.2">
      <c r="A58" s="108"/>
      <c r="B58" s="96" t="s">
        <v>120</v>
      </c>
      <c r="C58" s="421">
        <v>4.0000000000000001E-3</v>
      </c>
      <c r="D58" s="406">
        <v>0.3</v>
      </c>
      <c r="E58" s="403">
        <v>0.18</v>
      </c>
      <c r="F58" s="422">
        <v>0.15</v>
      </c>
      <c r="G58" s="384"/>
      <c r="H58" s="423"/>
      <c r="I58" s="424"/>
      <c r="J58" s="361"/>
      <c r="K58" s="360"/>
      <c r="L58" s="368">
        <v>2.2999999999999998</v>
      </c>
      <c r="M58" s="689">
        <f t="shared" si="11"/>
        <v>8.4490740740740707E-3</v>
      </c>
      <c r="N58" s="689">
        <f t="shared" si="11"/>
        <v>8.4490740740740707E-3</v>
      </c>
      <c r="O58" s="705">
        <f t="shared" si="11"/>
        <v>8.4490740740740707E-3</v>
      </c>
      <c r="P58" s="713">
        <v>50</v>
      </c>
      <c r="Q58" s="442">
        <v>0</v>
      </c>
      <c r="R58" s="428">
        <v>0</v>
      </c>
      <c r="S58" s="725"/>
      <c r="T58" s="377">
        <v>40</v>
      </c>
      <c r="U58" s="368">
        <v>40</v>
      </c>
      <c r="V58" s="320">
        <v>0.7</v>
      </c>
      <c r="W58" s="686">
        <v>0.59</v>
      </c>
      <c r="X58" s="686">
        <v>0.59</v>
      </c>
      <c r="Y58" s="686">
        <v>0.59</v>
      </c>
      <c r="Z58" s="693">
        <v>5</v>
      </c>
      <c r="AA58" s="693">
        <v>5</v>
      </c>
    </row>
    <row r="59" spans="1:28" x14ac:dyDescent="0.2">
      <c r="A59" s="87"/>
      <c r="B59" s="145" t="s">
        <v>122</v>
      </c>
      <c r="C59" s="421">
        <v>4.0000000000000001E-3</v>
      </c>
      <c r="D59" s="406">
        <v>0.52</v>
      </c>
      <c r="E59" s="403">
        <v>0.25</v>
      </c>
      <c r="F59" s="422">
        <v>0.28000000000000003</v>
      </c>
      <c r="G59" s="384"/>
      <c r="H59" s="423"/>
      <c r="I59" s="424"/>
      <c r="J59" s="251"/>
      <c r="K59" s="378"/>
      <c r="L59" s="368">
        <v>1.8</v>
      </c>
      <c r="M59" s="689">
        <f t="shared" ref="M59:O60" si="12">14.8081140350877/1000</f>
        <v>1.4808114035087699E-2</v>
      </c>
      <c r="N59" s="689">
        <f t="shared" si="12"/>
        <v>1.4808114035087699E-2</v>
      </c>
      <c r="O59" s="705">
        <f t="shared" si="12"/>
        <v>1.4808114035087699E-2</v>
      </c>
      <c r="P59" s="713">
        <v>60</v>
      </c>
      <c r="Q59" s="442">
        <v>0</v>
      </c>
      <c r="R59" s="428">
        <v>0</v>
      </c>
      <c r="S59" s="725"/>
      <c r="T59" s="377">
        <v>40</v>
      </c>
      <c r="U59" s="368">
        <v>40</v>
      </c>
      <c r="V59" s="320">
        <v>0.7</v>
      </c>
      <c r="W59" s="686">
        <v>0.46</v>
      </c>
      <c r="X59" s="686">
        <v>0.46</v>
      </c>
      <c r="Y59" s="686">
        <v>0.46</v>
      </c>
      <c r="Z59" s="693">
        <v>5</v>
      </c>
      <c r="AA59" s="693">
        <v>5</v>
      </c>
      <c r="AB59" s="364"/>
    </row>
    <row r="60" spans="1:28" x14ac:dyDescent="0.2">
      <c r="A60" s="87"/>
      <c r="B60" s="430" t="s">
        <v>124</v>
      </c>
      <c r="C60" s="421">
        <v>4.0000000000000001E-3</v>
      </c>
      <c r="D60" s="406">
        <v>0.48</v>
      </c>
      <c r="E60" s="403">
        <v>0.23</v>
      </c>
      <c r="F60" s="422">
        <v>0.28000000000000003</v>
      </c>
      <c r="G60" s="384"/>
      <c r="H60" s="423"/>
      <c r="I60" s="424"/>
      <c r="J60" s="251"/>
      <c r="K60" s="378"/>
      <c r="L60" s="368">
        <v>1.8</v>
      </c>
      <c r="M60" s="689">
        <f t="shared" si="12"/>
        <v>1.4808114035087699E-2</v>
      </c>
      <c r="N60" s="689">
        <f t="shared" si="12"/>
        <v>1.4808114035087699E-2</v>
      </c>
      <c r="O60" s="705">
        <f t="shared" si="12"/>
        <v>1.4808114035087699E-2</v>
      </c>
      <c r="P60" s="713">
        <v>60</v>
      </c>
      <c r="Q60" s="442">
        <v>0</v>
      </c>
      <c r="R60" s="428">
        <v>0</v>
      </c>
      <c r="S60" s="725"/>
      <c r="T60" s="377">
        <v>40</v>
      </c>
      <c r="U60" s="368">
        <v>40</v>
      </c>
      <c r="V60" s="320">
        <v>0.7</v>
      </c>
      <c r="W60" s="686">
        <v>0.46</v>
      </c>
      <c r="X60" s="686">
        <v>0.46</v>
      </c>
      <c r="Y60" s="686">
        <v>0.46</v>
      </c>
      <c r="Z60" s="693">
        <v>5</v>
      </c>
      <c r="AA60" s="693">
        <v>5</v>
      </c>
    </row>
    <row r="61" spans="1:28" x14ac:dyDescent="0.2">
      <c r="A61" s="87"/>
      <c r="B61" s="145" t="s">
        <v>126</v>
      </c>
      <c r="C61" s="421">
        <v>4.0000000000000001E-3</v>
      </c>
      <c r="D61" s="406">
        <v>2.42</v>
      </c>
      <c r="E61" s="403">
        <v>1.36</v>
      </c>
      <c r="F61" s="422">
        <v>1.17</v>
      </c>
      <c r="G61" s="384"/>
      <c r="H61" s="423"/>
      <c r="I61" s="424"/>
      <c r="J61" s="361"/>
      <c r="K61" s="360"/>
      <c r="L61" s="368">
        <v>21.6</v>
      </c>
      <c r="M61" s="689">
        <f t="shared" ref="M61:O62" si="13">54.625850340136/1000</f>
        <v>5.4625850340135999E-2</v>
      </c>
      <c r="N61" s="689">
        <f t="shared" si="13"/>
        <v>5.4625850340135999E-2</v>
      </c>
      <c r="O61" s="705">
        <f t="shared" si="13"/>
        <v>5.4625850340135999E-2</v>
      </c>
      <c r="P61" s="713">
        <v>50</v>
      </c>
      <c r="Q61" s="442">
        <v>0</v>
      </c>
      <c r="R61" s="428">
        <v>0</v>
      </c>
      <c r="S61" s="725"/>
      <c r="T61" s="377">
        <v>40</v>
      </c>
      <c r="U61" s="368">
        <v>40</v>
      </c>
      <c r="V61" s="320">
        <v>0.7</v>
      </c>
      <c r="W61" s="686">
        <v>5.41</v>
      </c>
      <c r="X61" s="686">
        <v>5.41</v>
      </c>
      <c r="Y61" s="686">
        <v>5.41</v>
      </c>
      <c r="Z61" s="693">
        <v>5</v>
      </c>
      <c r="AA61" s="693">
        <v>5</v>
      </c>
      <c r="AB61" s="364"/>
    </row>
    <row r="62" spans="1:28" x14ac:dyDescent="0.2">
      <c r="A62" s="87"/>
      <c r="B62" s="145" t="s">
        <v>128</v>
      </c>
      <c r="C62" s="421">
        <v>4.0000000000000001E-3</v>
      </c>
      <c r="D62" s="406">
        <v>2.25</v>
      </c>
      <c r="E62" s="403">
        <v>1.06</v>
      </c>
      <c r="F62" s="422">
        <v>1.1100000000000001</v>
      </c>
      <c r="G62" s="384"/>
      <c r="H62" s="423"/>
      <c r="I62" s="424"/>
      <c r="J62" s="361"/>
      <c r="K62" s="360"/>
      <c r="L62" s="368">
        <v>21.6</v>
      </c>
      <c r="M62" s="689">
        <f t="shared" si="13"/>
        <v>5.4625850340135999E-2</v>
      </c>
      <c r="N62" s="689">
        <f t="shared" si="13"/>
        <v>5.4625850340135999E-2</v>
      </c>
      <c r="O62" s="705">
        <f t="shared" si="13"/>
        <v>5.4625850340135999E-2</v>
      </c>
      <c r="P62" s="713">
        <v>50</v>
      </c>
      <c r="Q62" s="442">
        <v>0</v>
      </c>
      <c r="R62" s="428">
        <v>0</v>
      </c>
      <c r="S62" s="725"/>
      <c r="T62" s="377">
        <v>40</v>
      </c>
      <c r="U62" s="368">
        <v>40</v>
      </c>
      <c r="V62" s="320">
        <v>0.7</v>
      </c>
      <c r="W62" s="686">
        <v>5.41</v>
      </c>
      <c r="X62" s="686">
        <v>5.41</v>
      </c>
      <c r="Y62" s="686">
        <v>5.41</v>
      </c>
      <c r="Z62" s="693">
        <v>5</v>
      </c>
      <c r="AA62" s="693">
        <v>5</v>
      </c>
    </row>
    <row r="63" spans="1:28" x14ac:dyDescent="0.2">
      <c r="A63" s="87"/>
      <c r="B63" s="145" t="s">
        <v>130</v>
      </c>
      <c r="C63" s="421">
        <v>4.0000000000000001E-3</v>
      </c>
      <c r="D63" s="406">
        <v>1.71</v>
      </c>
      <c r="E63" s="403">
        <v>0.93</v>
      </c>
      <c r="F63" s="422">
        <v>0.96</v>
      </c>
      <c r="G63" s="384"/>
      <c r="H63" s="423"/>
      <c r="I63" s="424"/>
      <c r="J63" s="251"/>
      <c r="K63" s="378"/>
      <c r="L63" s="368">
        <v>17.399999999999999</v>
      </c>
      <c r="M63" s="689">
        <f t="shared" ref="M63:O64" si="14">60.8333333333333/1000</f>
        <v>6.0833333333333302E-2</v>
      </c>
      <c r="N63" s="689">
        <f t="shared" si="14"/>
        <v>6.0833333333333302E-2</v>
      </c>
      <c r="O63" s="705">
        <f t="shared" si="14"/>
        <v>6.0833333333333302E-2</v>
      </c>
      <c r="P63" s="713">
        <v>50</v>
      </c>
      <c r="Q63" s="442">
        <v>0</v>
      </c>
      <c r="R63" s="428">
        <v>0</v>
      </c>
      <c r="S63" s="725"/>
      <c r="T63" s="377">
        <v>40</v>
      </c>
      <c r="U63" s="368">
        <v>40</v>
      </c>
      <c r="V63" s="320">
        <v>0.7</v>
      </c>
      <c r="W63" s="686">
        <v>4.34</v>
      </c>
      <c r="X63" s="686">
        <v>4.34</v>
      </c>
      <c r="Y63" s="686">
        <v>4.34</v>
      </c>
      <c r="Z63" s="693">
        <v>5</v>
      </c>
      <c r="AA63" s="693">
        <v>5</v>
      </c>
      <c r="AB63" s="364"/>
    </row>
    <row r="64" spans="1:28" x14ac:dyDescent="0.2">
      <c r="A64" s="87"/>
      <c r="B64" s="145" t="s">
        <v>132</v>
      </c>
      <c r="C64" s="421">
        <v>4.0000000000000001E-3</v>
      </c>
      <c r="D64" s="406">
        <v>1.62</v>
      </c>
      <c r="E64" s="403">
        <v>0.66</v>
      </c>
      <c r="F64" s="422">
        <v>0.92</v>
      </c>
      <c r="G64" s="384"/>
      <c r="H64" s="423"/>
      <c r="I64" s="424"/>
      <c r="J64" s="251"/>
      <c r="K64" s="378"/>
      <c r="L64" s="368">
        <v>17.399999999999999</v>
      </c>
      <c r="M64" s="689">
        <f t="shared" si="14"/>
        <v>6.0833333333333302E-2</v>
      </c>
      <c r="N64" s="689">
        <f t="shared" si="14"/>
        <v>6.0833333333333302E-2</v>
      </c>
      <c r="O64" s="705">
        <f t="shared" si="14"/>
        <v>6.0833333333333302E-2</v>
      </c>
      <c r="P64" s="713">
        <v>50</v>
      </c>
      <c r="Q64" s="442">
        <v>0</v>
      </c>
      <c r="R64" s="428">
        <v>0</v>
      </c>
      <c r="S64" s="725"/>
      <c r="T64" s="377">
        <v>40</v>
      </c>
      <c r="U64" s="368">
        <v>40</v>
      </c>
      <c r="V64" s="320">
        <v>0.7</v>
      </c>
      <c r="W64" s="686">
        <v>4.34</v>
      </c>
      <c r="X64" s="686">
        <v>4.34</v>
      </c>
      <c r="Y64" s="686">
        <v>4.34</v>
      </c>
      <c r="Z64" s="693">
        <v>5</v>
      </c>
      <c r="AA64" s="693">
        <v>5</v>
      </c>
    </row>
    <row r="65" spans="1:28" x14ac:dyDescent="0.2">
      <c r="A65" s="108"/>
      <c r="B65" s="96" t="s">
        <v>133</v>
      </c>
      <c r="C65" s="421">
        <v>4.0000000000000001E-3</v>
      </c>
      <c r="D65" s="406">
        <v>1.87</v>
      </c>
      <c r="E65" s="403">
        <v>0.57999999999999996</v>
      </c>
      <c r="F65" s="422">
        <v>1.79</v>
      </c>
      <c r="G65" s="384"/>
      <c r="H65" s="423"/>
      <c r="I65" s="424"/>
      <c r="J65" s="251"/>
      <c r="K65" s="378"/>
      <c r="L65" s="368">
        <v>53.3</v>
      </c>
      <c r="M65" s="690">
        <f>105.328571428571/1000</f>
        <v>0.10532857142857099</v>
      </c>
      <c r="N65" s="690">
        <f>105.328571428571/1000</f>
        <v>0.10532857142857099</v>
      </c>
      <c r="O65" s="708">
        <f>105.328571428571/1000</f>
        <v>0.10532857142857099</v>
      </c>
      <c r="P65" s="713">
        <v>30</v>
      </c>
      <c r="Q65" s="442">
        <v>0</v>
      </c>
      <c r="R65" s="428">
        <v>0</v>
      </c>
      <c r="S65" s="725"/>
      <c r="T65" s="377">
        <v>40</v>
      </c>
      <c r="U65" s="368">
        <v>40</v>
      </c>
      <c r="V65" s="320">
        <v>0.7</v>
      </c>
      <c r="W65" s="686">
        <v>13.33</v>
      </c>
      <c r="X65" s="686">
        <v>13.33</v>
      </c>
      <c r="Y65" s="686">
        <v>13.33</v>
      </c>
      <c r="Z65" s="693">
        <v>5</v>
      </c>
      <c r="AA65" s="693">
        <v>5</v>
      </c>
      <c r="AB65" s="364"/>
    </row>
    <row r="66" spans="1:28" x14ac:dyDescent="0.2">
      <c r="A66" s="108"/>
      <c r="B66" s="145" t="s">
        <v>135</v>
      </c>
      <c r="C66" s="421">
        <v>4.0000000000000001E-3</v>
      </c>
      <c r="D66" s="406">
        <v>0.71</v>
      </c>
      <c r="E66" s="403">
        <v>0.4</v>
      </c>
      <c r="F66" s="422">
        <v>0.38</v>
      </c>
      <c r="G66" s="384"/>
      <c r="H66" s="423"/>
      <c r="I66" s="424"/>
      <c r="J66" s="251"/>
      <c r="K66" s="378"/>
      <c r="L66" s="368">
        <v>6.4</v>
      </c>
      <c r="M66" s="689">
        <f>67.3846153846154/1000</f>
        <v>6.7384615384615404E-2</v>
      </c>
      <c r="N66" s="689">
        <f>67.3846153846154/1000</f>
        <v>6.7384615384615404E-2</v>
      </c>
      <c r="O66" s="705">
        <f>67.3846153846154/1000</f>
        <v>6.7384615384615404E-2</v>
      </c>
      <c r="P66" s="713">
        <v>30</v>
      </c>
      <c r="Q66" s="442">
        <v>0</v>
      </c>
      <c r="R66" s="428">
        <v>0</v>
      </c>
      <c r="S66" s="725"/>
      <c r="T66" s="377">
        <v>40</v>
      </c>
      <c r="U66" s="368">
        <v>40</v>
      </c>
      <c r="V66" s="320">
        <v>0.7</v>
      </c>
      <c r="W66" s="1184">
        <v>1.6</v>
      </c>
      <c r="X66" s="1184">
        <v>1.6</v>
      </c>
      <c r="Y66" s="1184">
        <v>1.6</v>
      </c>
      <c r="Z66" s="693">
        <v>5</v>
      </c>
      <c r="AA66" s="693">
        <v>5</v>
      </c>
    </row>
    <row r="67" spans="1:28" x14ac:dyDescent="0.2">
      <c r="A67" s="108"/>
      <c r="B67" s="145" t="s">
        <v>137</v>
      </c>
      <c r="C67" s="421">
        <v>4.0000000000000001E-3</v>
      </c>
      <c r="D67" s="406">
        <v>0.63</v>
      </c>
      <c r="E67" s="403">
        <v>0.4</v>
      </c>
      <c r="F67" s="422">
        <v>0.31</v>
      </c>
      <c r="G67" s="384"/>
      <c r="H67" s="423"/>
      <c r="I67" s="424"/>
      <c r="J67" s="251"/>
      <c r="K67" s="378"/>
      <c r="L67" s="368">
        <v>6</v>
      </c>
      <c r="M67" s="689">
        <f>49.9702380952381/1000</f>
        <v>4.9970238095238102E-2</v>
      </c>
      <c r="N67" s="689">
        <f>49.9702380952381/1000</f>
        <v>4.9970238095238102E-2</v>
      </c>
      <c r="O67" s="705">
        <f>49.9702380952381/1000</f>
        <v>4.9970238095238102E-2</v>
      </c>
      <c r="P67" s="713">
        <v>30</v>
      </c>
      <c r="Q67" s="442">
        <v>0</v>
      </c>
      <c r="R67" s="428">
        <v>0</v>
      </c>
      <c r="S67" s="725"/>
      <c r="T67" s="377">
        <v>40</v>
      </c>
      <c r="U67" s="368">
        <v>40</v>
      </c>
      <c r="V67" s="320">
        <v>0.7</v>
      </c>
      <c r="W67" s="686">
        <v>1.49</v>
      </c>
      <c r="X67" s="686">
        <v>1.49</v>
      </c>
      <c r="Y67" s="686">
        <v>1.49</v>
      </c>
      <c r="Z67" s="693">
        <v>5</v>
      </c>
      <c r="AA67" s="693">
        <v>5</v>
      </c>
      <c r="AB67" s="364"/>
    </row>
    <row r="68" spans="1:28" x14ac:dyDescent="0.2">
      <c r="A68" s="146"/>
      <c r="B68" s="96" t="s">
        <v>138</v>
      </c>
      <c r="C68" s="421">
        <v>3.0000000000000001E-3</v>
      </c>
      <c r="D68" s="406">
        <v>0.64</v>
      </c>
      <c r="E68" s="403">
        <v>0.28000000000000003</v>
      </c>
      <c r="F68" s="422">
        <v>0.21</v>
      </c>
      <c r="G68" s="384"/>
      <c r="H68" s="423"/>
      <c r="I68" s="424"/>
      <c r="J68" s="251"/>
      <c r="K68" s="378"/>
      <c r="L68" s="368">
        <v>1</v>
      </c>
      <c r="M68" s="434">
        <f>9.4/1000</f>
        <v>9.4000000000000004E-3</v>
      </c>
      <c r="N68" s="434">
        <f>9.4/1000</f>
        <v>9.4000000000000004E-3</v>
      </c>
      <c r="O68" s="709">
        <f>9.4/1000</f>
        <v>9.4000000000000004E-3</v>
      </c>
      <c r="P68" s="713">
        <v>30</v>
      </c>
      <c r="Q68" s="442">
        <v>0</v>
      </c>
      <c r="R68" s="428">
        <v>0</v>
      </c>
      <c r="S68" s="725"/>
      <c r="T68" s="377">
        <v>40</v>
      </c>
      <c r="U68" s="368">
        <v>40</v>
      </c>
      <c r="V68" s="320">
        <v>0.7</v>
      </c>
      <c r="W68" s="691">
        <v>0.33</v>
      </c>
      <c r="X68" s="691">
        <v>0.33</v>
      </c>
      <c r="Y68" s="691">
        <v>0.33</v>
      </c>
      <c r="Z68" s="693">
        <v>5</v>
      </c>
      <c r="AA68" s="693">
        <v>5</v>
      </c>
    </row>
    <row r="69" spans="1:28" x14ac:dyDescent="0.2">
      <c r="A69" s="108"/>
      <c r="B69" s="96" t="s">
        <v>139</v>
      </c>
      <c r="C69" s="360">
        <v>0.1</v>
      </c>
      <c r="D69" s="377">
        <v>5.9</v>
      </c>
      <c r="E69" s="362">
        <v>1.9</v>
      </c>
      <c r="F69" s="363">
        <v>6.5</v>
      </c>
      <c r="G69" s="384"/>
      <c r="H69" s="423"/>
      <c r="I69" s="424"/>
      <c r="J69" s="251"/>
      <c r="K69" s="378"/>
      <c r="L69" s="368">
        <v>0.2</v>
      </c>
      <c r="M69" s="368">
        <v>0.4</v>
      </c>
      <c r="N69" s="368">
        <v>0.4</v>
      </c>
      <c r="O69" s="364">
        <v>0.4</v>
      </c>
      <c r="P69" s="713">
        <v>30</v>
      </c>
      <c r="Q69" s="442">
        <v>0</v>
      </c>
      <c r="R69" s="428">
        <v>0</v>
      </c>
      <c r="S69" s="725"/>
      <c r="T69" s="377">
        <v>45</v>
      </c>
      <c r="U69" s="368">
        <v>45</v>
      </c>
      <c r="V69" s="320">
        <v>0.9</v>
      </c>
      <c r="W69" s="686">
        <v>4</v>
      </c>
      <c r="X69" s="685">
        <v>4</v>
      </c>
      <c r="Y69" s="684">
        <v>4</v>
      </c>
      <c r="Z69" s="693">
        <v>1</v>
      </c>
      <c r="AA69" s="693">
        <v>2</v>
      </c>
      <c r="AB69" s="364"/>
    </row>
    <row r="70" spans="1:28" x14ac:dyDescent="0.2">
      <c r="A70" s="108"/>
      <c r="B70" s="96" t="s">
        <v>140</v>
      </c>
      <c r="C70" s="360">
        <v>0.1</v>
      </c>
      <c r="D70" s="377">
        <v>14.2</v>
      </c>
      <c r="E70" s="362">
        <v>4.3</v>
      </c>
      <c r="F70" s="363">
        <v>15.5</v>
      </c>
      <c r="G70" s="384"/>
      <c r="H70" s="423"/>
      <c r="I70" s="424"/>
      <c r="J70" s="251"/>
      <c r="K70" s="378"/>
      <c r="L70" s="368">
        <v>0.4</v>
      </c>
      <c r="M70" s="368">
        <v>1.1000000000000001</v>
      </c>
      <c r="N70" s="368">
        <v>1.1000000000000001</v>
      </c>
      <c r="O70" s="364">
        <v>1.1000000000000001</v>
      </c>
      <c r="P70" s="713">
        <v>30</v>
      </c>
      <c r="Q70" s="442">
        <v>0</v>
      </c>
      <c r="R70" s="428">
        <v>0</v>
      </c>
      <c r="S70" s="725"/>
      <c r="T70" s="377">
        <v>45</v>
      </c>
      <c r="U70" s="368">
        <v>45</v>
      </c>
      <c r="V70" s="320">
        <v>0.9</v>
      </c>
      <c r="W70" s="686">
        <v>4</v>
      </c>
      <c r="X70" s="685">
        <v>4</v>
      </c>
      <c r="Y70" s="684">
        <v>4</v>
      </c>
      <c r="Z70" s="693">
        <v>1</v>
      </c>
      <c r="AA70" s="693">
        <v>2</v>
      </c>
    </row>
    <row r="71" spans="1:28" x14ac:dyDescent="0.2">
      <c r="A71" s="108"/>
      <c r="B71" s="145" t="s">
        <v>142</v>
      </c>
      <c r="C71" s="360">
        <v>0.1</v>
      </c>
      <c r="D71" s="400">
        <v>15.2</v>
      </c>
      <c r="E71" s="362">
        <v>5.7</v>
      </c>
      <c r="F71" s="363">
        <v>18</v>
      </c>
      <c r="G71" s="384"/>
      <c r="H71" s="423"/>
      <c r="I71" s="424"/>
      <c r="J71" s="251"/>
      <c r="K71" s="378"/>
      <c r="L71" s="368">
        <v>0.6</v>
      </c>
      <c r="M71" s="100">
        <v>1</v>
      </c>
      <c r="N71" s="100">
        <v>1</v>
      </c>
      <c r="O71" s="559">
        <v>1</v>
      </c>
      <c r="P71" s="713">
        <v>30</v>
      </c>
      <c r="Q71" s="442">
        <v>0</v>
      </c>
      <c r="R71" s="428">
        <v>0</v>
      </c>
      <c r="S71" s="725"/>
      <c r="T71" s="377">
        <v>45</v>
      </c>
      <c r="U71" s="368">
        <v>45</v>
      </c>
      <c r="V71" s="320">
        <v>0.9</v>
      </c>
      <c r="W71" s="563">
        <v>6</v>
      </c>
      <c r="X71" s="564">
        <v>6</v>
      </c>
      <c r="Y71" s="565">
        <v>6</v>
      </c>
      <c r="Z71" s="693">
        <v>1</v>
      </c>
      <c r="AA71" s="693">
        <v>2</v>
      </c>
      <c r="AB71" s="364"/>
    </row>
    <row r="72" spans="1:28" x14ac:dyDescent="0.2">
      <c r="A72" s="108"/>
      <c r="B72" s="145" t="s">
        <v>144</v>
      </c>
      <c r="C72" s="360">
        <v>0.7</v>
      </c>
      <c r="D72" s="400">
        <v>33.4</v>
      </c>
      <c r="E72" s="362">
        <v>15.3</v>
      </c>
      <c r="F72" s="363">
        <v>51</v>
      </c>
      <c r="G72" s="384"/>
      <c r="H72" s="423"/>
      <c r="I72" s="424"/>
      <c r="J72" s="251"/>
      <c r="K72" s="378"/>
      <c r="L72" s="368">
        <v>4</v>
      </c>
      <c r="M72" s="100">
        <v>6.8</v>
      </c>
      <c r="N72" s="100">
        <v>6.8</v>
      </c>
      <c r="O72" s="559">
        <v>6.8</v>
      </c>
      <c r="P72" s="713">
        <v>30</v>
      </c>
      <c r="Q72" s="442">
        <v>0</v>
      </c>
      <c r="R72" s="428">
        <v>0</v>
      </c>
      <c r="S72" s="725"/>
      <c r="T72" s="377">
        <v>45</v>
      </c>
      <c r="U72" s="368">
        <v>45</v>
      </c>
      <c r="V72" s="320">
        <v>0.7</v>
      </c>
      <c r="W72" s="1185">
        <v>5.7</v>
      </c>
      <c r="X72" s="1186">
        <v>5.7</v>
      </c>
      <c r="Y72" s="1187">
        <v>5.7</v>
      </c>
      <c r="Z72" s="693">
        <v>1</v>
      </c>
      <c r="AA72" s="693">
        <v>2</v>
      </c>
    </row>
    <row r="73" spans="1:28" x14ac:dyDescent="0.2">
      <c r="A73" s="108"/>
      <c r="B73" s="145" t="s">
        <v>146</v>
      </c>
      <c r="C73" s="360">
        <v>0.7</v>
      </c>
      <c r="D73" s="400">
        <v>53.6</v>
      </c>
      <c r="E73" s="362">
        <v>23.4</v>
      </c>
      <c r="F73" s="363">
        <v>67</v>
      </c>
      <c r="G73" s="384"/>
      <c r="H73" s="423"/>
      <c r="I73" s="424"/>
      <c r="J73" s="251"/>
      <c r="K73" s="378"/>
      <c r="L73" s="368">
        <v>6</v>
      </c>
      <c r="M73" s="100">
        <v>11.2</v>
      </c>
      <c r="N73" s="100">
        <v>11.2</v>
      </c>
      <c r="O73" s="559">
        <v>11.2</v>
      </c>
      <c r="P73" s="713">
        <v>30</v>
      </c>
      <c r="Q73" s="442">
        <v>0</v>
      </c>
      <c r="R73" s="428">
        <v>0</v>
      </c>
      <c r="S73" s="725"/>
      <c r="T73" s="377">
        <v>45</v>
      </c>
      <c r="U73" s="368">
        <v>45</v>
      </c>
      <c r="V73" s="320">
        <v>0.7</v>
      </c>
      <c r="W73" s="1185">
        <v>8.6</v>
      </c>
      <c r="X73" s="1186">
        <v>8.6</v>
      </c>
      <c r="Y73" s="1187">
        <v>8.6</v>
      </c>
      <c r="Z73" s="693">
        <v>1</v>
      </c>
      <c r="AA73" s="693">
        <v>2</v>
      </c>
      <c r="AB73" s="364"/>
    </row>
    <row r="74" spans="1:28" x14ac:dyDescent="0.2">
      <c r="A74" s="108"/>
      <c r="B74" s="96" t="s">
        <v>148</v>
      </c>
      <c r="C74" s="421">
        <v>3.0000000000000001E-3</v>
      </c>
      <c r="D74" s="377">
        <v>9.6999999999999993</v>
      </c>
      <c r="E74" s="362">
        <v>5.4</v>
      </c>
      <c r="F74" s="363">
        <v>8.3000000000000007</v>
      </c>
      <c r="G74" s="384"/>
      <c r="H74" s="423"/>
      <c r="I74" s="424"/>
      <c r="J74" s="361"/>
      <c r="K74" s="360"/>
      <c r="L74" s="368">
        <v>0.3</v>
      </c>
      <c r="M74" s="100">
        <v>0.8</v>
      </c>
      <c r="N74" s="100">
        <v>0.8</v>
      </c>
      <c r="O74" s="559">
        <v>0.8</v>
      </c>
      <c r="P74" s="713">
        <v>30</v>
      </c>
      <c r="Q74" s="442">
        <v>0</v>
      </c>
      <c r="R74" s="428">
        <v>0</v>
      </c>
      <c r="S74" s="725"/>
      <c r="T74" s="377">
        <v>45</v>
      </c>
      <c r="U74" s="368">
        <v>45</v>
      </c>
      <c r="V74" s="320">
        <v>0.9</v>
      </c>
      <c r="W74" s="1185">
        <v>106.7</v>
      </c>
      <c r="X74" s="1186">
        <v>106.7</v>
      </c>
      <c r="Y74" s="1187">
        <v>106.7</v>
      </c>
      <c r="Z74" s="693">
        <v>5</v>
      </c>
      <c r="AA74" s="693">
        <v>5</v>
      </c>
    </row>
    <row r="75" spans="1:28" x14ac:dyDescent="0.2">
      <c r="A75" s="148"/>
      <c r="B75" s="96" t="s">
        <v>149</v>
      </c>
      <c r="C75" s="402">
        <v>0.15</v>
      </c>
      <c r="D75" s="377">
        <v>15.8</v>
      </c>
      <c r="E75" s="362">
        <v>4.5</v>
      </c>
      <c r="F75" s="363">
        <v>17.600000000000001</v>
      </c>
      <c r="G75" s="384"/>
      <c r="H75" s="423"/>
      <c r="I75" s="424"/>
      <c r="J75" s="251"/>
      <c r="K75" s="378"/>
      <c r="L75" s="368"/>
      <c r="M75" s="431"/>
      <c r="N75" s="426"/>
      <c r="O75" s="559"/>
      <c r="P75" s="713"/>
      <c r="Q75" s="442">
        <v>0</v>
      </c>
      <c r="R75" s="428">
        <v>0</v>
      </c>
      <c r="S75" s="725"/>
      <c r="T75" s="377">
        <v>45</v>
      </c>
      <c r="U75" s="368">
        <v>45</v>
      </c>
      <c r="V75" s="320">
        <v>0.9</v>
      </c>
      <c r="W75" s="566"/>
      <c r="X75" s="558"/>
      <c r="Y75" s="567"/>
      <c r="Z75" s="693">
        <v>1</v>
      </c>
      <c r="AA75" s="693">
        <v>2</v>
      </c>
      <c r="AB75" s="364"/>
    </row>
    <row r="76" spans="1:28" x14ac:dyDescent="0.2">
      <c r="A76" s="148"/>
      <c r="B76" s="96" t="s">
        <v>150</v>
      </c>
      <c r="C76" s="402">
        <v>0.05</v>
      </c>
      <c r="D76" s="377">
        <v>5.8</v>
      </c>
      <c r="E76" s="362">
        <v>1.7</v>
      </c>
      <c r="F76" s="363">
        <v>6.4</v>
      </c>
      <c r="G76" s="384"/>
      <c r="H76" s="423"/>
      <c r="I76" s="443"/>
      <c r="J76" s="251"/>
      <c r="K76" s="378"/>
      <c r="L76" s="368"/>
      <c r="M76" s="431"/>
      <c r="N76" s="426"/>
      <c r="O76" s="559"/>
      <c r="P76" s="713"/>
      <c r="Q76" s="442"/>
      <c r="R76" s="428"/>
      <c r="S76" s="725"/>
      <c r="T76" s="377">
        <v>45</v>
      </c>
      <c r="U76" s="368">
        <v>45</v>
      </c>
      <c r="V76" s="320">
        <v>0.9</v>
      </c>
      <c r="W76" s="566"/>
      <c r="X76" s="558"/>
      <c r="Y76" s="567"/>
      <c r="Z76" s="693">
        <v>1</v>
      </c>
      <c r="AA76" s="693">
        <v>2</v>
      </c>
    </row>
    <row r="77" spans="1:28" x14ac:dyDescent="0.2">
      <c r="A77" s="146"/>
      <c r="B77" s="96" t="s">
        <v>151</v>
      </c>
      <c r="C77" s="360">
        <v>0.3</v>
      </c>
      <c r="D77" s="377">
        <v>22.7</v>
      </c>
      <c r="E77" s="362">
        <v>7.2</v>
      </c>
      <c r="F77" s="363">
        <v>27</v>
      </c>
      <c r="G77" s="384"/>
      <c r="H77" s="423"/>
      <c r="I77" s="424"/>
      <c r="J77" s="251"/>
      <c r="K77" s="378"/>
      <c r="L77" s="368"/>
      <c r="M77" s="431"/>
      <c r="N77" s="426"/>
      <c r="O77" s="559"/>
      <c r="P77" s="713"/>
      <c r="Q77" s="442">
        <v>0</v>
      </c>
      <c r="R77" s="428">
        <v>0</v>
      </c>
      <c r="S77" s="725"/>
      <c r="T77" s="377">
        <v>45</v>
      </c>
      <c r="U77" s="368">
        <v>45</v>
      </c>
      <c r="V77" s="320">
        <v>0.9</v>
      </c>
      <c r="W77" s="566"/>
      <c r="X77" s="558"/>
      <c r="Y77" s="567"/>
      <c r="Z77" s="693">
        <v>1</v>
      </c>
      <c r="AA77" s="693">
        <v>2</v>
      </c>
      <c r="AB77" s="364"/>
    </row>
    <row r="78" spans="1:28" x14ac:dyDescent="0.2">
      <c r="A78" s="146"/>
      <c r="B78" s="96" t="s">
        <v>152</v>
      </c>
      <c r="C78" s="402">
        <v>0.1</v>
      </c>
      <c r="D78" s="377">
        <v>8.3000000000000007</v>
      </c>
      <c r="E78" s="362">
        <v>2.7</v>
      </c>
      <c r="F78" s="363">
        <v>9.9</v>
      </c>
      <c r="G78" s="384"/>
      <c r="H78" s="423"/>
      <c r="I78" s="443"/>
      <c r="J78" s="251"/>
      <c r="K78" s="378"/>
      <c r="L78" s="368"/>
      <c r="M78" s="431"/>
      <c r="N78" s="426"/>
      <c r="O78" s="559"/>
      <c r="P78" s="713"/>
      <c r="Q78" s="442"/>
      <c r="R78" s="428"/>
      <c r="S78" s="725"/>
      <c r="T78" s="377">
        <v>45</v>
      </c>
      <c r="U78" s="368">
        <v>45</v>
      </c>
      <c r="V78" s="320">
        <v>0.9</v>
      </c>
      <c r="W78" s="566"/>
      <c r="X78" s="558"/>
      <c r="Y78" s="567"/>
      <c r="Z78" s="693">
        <v>1</v>
      </c>
      <c r="AA78" s="693">
        <v>2</v>
      </c>
    </row>
    <row r="79" spans="1:28" ht="13.5" thickBot="1" x14ac:dyDescent="0.25">
      <c r="A79" s="155"/>
      <c r="B79" s="89" t="s">
        <v>153</v>
      </c>
      <c r="C79" s="338">
        <v>0.3</v>
      </c>
      <c r="D79" s="444">
        <v>22.7</v>
      </c>
      <c r="E79" s="445">
        <v>7.2</v>
      </c>
      <c r="F79" s="446">
        <v>27</v>
      </c>
      <c r="G79" s="447"/>
      <c r="H79" s="448"/>
      <c r="I79" s="449"/>
      <c r="J79" s="349"/>
      <c r="K79" s="450"/>
      <c r="L79" s="704">
        <v>2</v>
      </c>
      <c r="M79" s="453">
        <v>3.4</v>
      </c>
      <c r="N79" s="453">
        <v>3.4</v>
      </c>
      <c r="O79" s="710">
        <v>3.4</v>
      </c>
      <c r="P79" s="713">
        <v>30</v>
      </c>
      <c r="Q79" s="454">
        <v>0</v>
      </c>
      <c r="R79" s="455">
        <v>0</v>
      </c>
      <c r="S79" s="726"/>
      <c r="T79" s="444">
        <v>45</v>
      </c>
      <c r="U79" s="453">
        <v>45</v>
      </c>
      <c r="V79" s="320">
        <v>0.9</v>
      </c>
      <c r="W79" s="681">
        <v>6.7</v>
      </c>
      <c r="X79" s="682">
        <v>6.7</v>
      </c>
      <c r="Y79" s="683">
        <v>6.7</v>
      </c>
      <c r="Z79" s="693">
        <v>1</v>
      </c>
      <c r="AA79" s="693">
        <v>2</v>
      </c>
      <c r="AB79" s="364"/>
    </row>
    <row r="83" spans="4:4" x14ac:dyDescent="0.2">
      <c r="D83" s="166" t="s">
        <v>27</v>
      </c>
    </row>
    <row r="84" spans="4:4" x14ac:dyDescent="0.2">
      <c r="D84" s="167" t="s">
        <v>80</v>
      </c>
    </row>
    <row r="85" spans="4:4" x14ac:dyDescent="0.2">
      <c r="D85" s="167" t="s">
        <v>154</v>
      </c>
    </row>
    <row r="86" spans="4:4" x14ac:dyDescent="0.2">
      <c r="D86" s="167" t="s">
        <v>155</v>
      </c>
    </row>
    <row r="87" spans="4:4" x14ac:dyDescent="0.2">
      <c r="D87" s="162" t="s">
        <v>156</v>
      </c>
    </row>
    <row r="90" spans="4:4" x14ac:dyDescent="0.2">
      <c r="D90" s="320" t="s">
        <v>382</v>
      </c>
    </row>
  </sheetData>
  <customSheetViews>
    <customSheetView guid="{DDA6E6AA-9473-49A0-A3A2-76E4959B79AF}" scale="90" state="hidden" topLeftCell="A21">
      <selection activeCell="V71" sqref="V71"/>
      <pageMargins left="0.7" right="0.7" top="0.78740157499999996" bottom="0.78740157499999996" header="0.3" footer="0.3"/>
      <pageSetup paperSize="9" orientation="portrait" r:id="rId1"/>
    </customSheetView>
  </customSheetViews>
  <mergeCells count="9">
    <mergeCell ref="W5:Y5"/>
    <mergeCell ref="W6:Y6"/>
    <mergeCell ref="M7:O7"/>
    <mergeCell ref="G5:J5"/>
    <mergeCell ref="M5:O5"/>
    <mergeCell ref="T5:U5"/>
    <mergeCell ref="G6:J6"/>
    <mergeCell ref="M6:O6"/>
    <mergeCell ref="T6:U6"/>
  </mergeCells>
  <pageMargins left="0.7" right="0.7" top="0.78740157499999996" bottom="0.78740157499999996"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S72"/>
  <sheetViews>
    <sheetView workbookViewId="0">
      <selection activeCell="B6" sqref="B6"/>
    </sheetView>
  </sheetViews>
  <sheetFormatPr baseColWidth="10" defaultRowHeight="12.75" x14ac:dyDescent="0.2"/>
  <cols>
    <col min="1" max="1" width="1" style="456" customWidth="1"/>
    <col min="2" max="2" width="49.7109375" style="456" customWidth="1"/>
    <col min="3" max="3" width="10.28515625" style="321" bestFit="1" customWidth="1"/>
    <col min="4" max="6" width="5.7109375" style="320" customWidth="1"/>
    <col min="7" max="7" width="5.7109375" style="321" customWidth="1"/>
    <col min="8" max="9" width="5.7109375" style="320" customWidth="1"/>
    <col min="10" max="10" width="11" style="320" customWidth="1"/>
    <col min="11" max="11" width="11.28515625" style="320" customWidth="1"/>
    <col min="12" max="14" width="8" style="320" customWidth="1"/>
    <col min="15" max="15" width="14.7109375" style="320" customWidth="1"/>
    <col min="16" max="16" width="13.7109375" style="320" customWidth="1"/>
    <col min="17" max="17" width="7.85546875" style="320" customWidth="1"/>
    <col min="18" max="18" width="8.7109375" style="320" customWidth="1"/>
    <col min="19" max="19" width="11.42578125" style="322" customWidth="1"/>
    <col min="20" max="16384" width="11.42578125" style="323"/>
  </cols>
  <sheetData>
    <row r="1" spans="1:19" x14ac:dyDescent="0.2">
      <c r="A1" s="318" t="s">
        <v>323</v>
      </c>
      <c r="B1" s="66"/>
      <c r="C1" s="319" t="s">
        <v>324</v>
      </c>
      <c r="E1" s="67"/>
      <c r="F1" s="74"/>
      <c r="H1" s="74"/>
      <c r="I1" s="74"/>
      <c r="J1" s="74"/>
      <c r="K1" s="74"/>
      <c r="L1" s="74"/>
      <c r="M1" s="74"/>
      <c r="N1" s="74"/>
      <c r="O1" s="74"/>
      <c r="P1" s="74"/>
      <c r="Q1" s="74"/>
      <c r="R1" s="74"/>
    </row>
    <row r="2" spans="1:19" x14ac:dyDescent="0.2">
      <c r="A2" s="75"/>
      <c r="B2" s="66"/>
      <c r="C2" s="324"/>
      <c r="D2" s="74"/>
      <c r="E2" s="74"/>
      <c r="F2" s="74"/>
      <c r="G2" s="324"/>
      <c r="H2" s="74"/>
      <c r="I2" s="74"/>
      <c r="J2" s="74"/>
      <c r="K2" s="74"/>
      <c r="L2" s="74"/>
      <c r="M2" s="74"/>
      <c r="N2" s="74"/>
      <c r="O2" s="74"/>
      <c r="P2" s="74"/>
      <c r="Q2" s="74"/>
      <c r="R2" s="74"/>
      <c r="S2" s="253"/>
    </row>
    <row r="3" spans="1:19" x14ac:dyDescent="0.2">
      <c r="A3" s="75"/>
      <c r="B3" s="66"/>
      <c r="C3" s="324"/>
      <c r="D3" s="74"/>
      <c r="E3" s="74"/>
      <c r="F3" s="74"/>
      <c r="G3" s="324"/>
      <c r="H3" s="74"/>
      <c r="I3" s="74"/>
      <c r="J3" s="74"/>
      <c r="K3" s="74"/>
      <c r="L3" s="74"/>
      <c r="M3" s="74"/>
      <c r="N3" s="74"/>
      <c r="O3" s="74"/>
      <c r="P3" s="74"/>
      <c r="Q3" s="74"/>
      <c r="R3" s="74"/>
      <c r="S3" s="253"/>
    </row>
    <row r="4" spans="1:19" ht="13.5" thickBot="1" x14ac:dyDescent="0.25">
      <c r="A4" s="75"/>
      <c r="B4" s="66"/>
      <c r="C4" s="325"/>
      <c r="D4" s="74"/>
      <c r="E4" s="74"/>
      <c r="F4" s="74"/>
      <c r="G4" s="324"/>
      <c r="H4" s="74"/>
      <c r="I4" s="74"/>
      <c r="J4" s="74"/>
      <c r="K4" s="74"/>
      <c r="L4" s="74"/>
      <c r="M4" s="74"/>
      <c r="N4" s="74"/>
      <c r="O4" s="74"/>
      <c r="P4" s="74"/>
      <c r="Q4" s="74"/>
      <c r="R4" s="74"/>
      <c r="S4" s="74"/>
    </row>
    <row r="5" spans="1:19" ht="14.25" x14ac:dyDescent="0.2">
      <c r="A5" s="76"/>
      <c r="B5" s="77"/>
      <c r="C5" s="326" t="s">
        <v>325</v>
      </c>
      <c r="D5" s="327" t="s">
        <v>3</v>
      </c>
      <c r="E5" s="78"/>
      <c r="F5" s="78"/>
      <c r="G5" s="1545" t="s">
        <v>326</v>
      </c>
      <c r="H5" s="1546"/>
      <c r="I5" s="1546"/>
      <c r="J5" s="1547"/>
      <c r="K5" s="328" t="s">
        <v>327</v>
      </c>
      <c r="L5" s="1548" t="s">
        <v>328</v>
      </c>
      <c r="M5" s="1548"/>
      <c r="N5" s="1549"/>
      <c r="O5" s="328" t="s">
        <v>329</v>
      </c>
      <c r="P5" s="328" t="s">
        <v>330</v>
      </c>
      <c r="Q5" s="1545" t="s">
        <v>331</v>
      </c>
      <c r="R5" s="1547"/>
      <c r="S5" s="320"/>
    </row>
    <row r="6" spans="1:19" ht="14.25" x14ac:dyDescent="0.2">
      <c r="A6" s="108"/>
      <c r="B6" s="81" t="s">
        <v>74</v>
      </c>
      <c r="C6" s="329" t="s">
        <v>332</v>
      </c>
      <c r="D6" s="330" t="s">
        <v>333</v>
      </c>
      <c r="E6" s="83"/>
      <c r="F6" s="83"/>
      <c r="G6" s="1550" t="s">
        <v>334</v>
      </c>
      <c r="H6" s="1543"/>
      <c r="I6" s="1543"/>
      <c r="J6" s="1544"/>
      <c r="K6" s="331" t="s">
        <v>57</v>
      </c>
      <c r="L6" s="1551" t="s">
        <v>334</v>
      </c>
      <c r="M6" s="1551"/>
      <c r="N6" s="1552"/>
      <c r="O6" s="332" t="s">
        <v>335</v>
      </c>
      <c r="P6" s="331" t="s">
        <v>335</v>
      </c>
      <c r="Q6" s="1550" t="s">
        <v>336</v>
      </c>
      <c r="R6" s="1544"/>
      <c r="S6" s="320"/>
    </row>
    <row r="7" spans="1:19" ht="14.25" x14ac:dyDescent="0.2">
      <c r="A7" s="87"/>
      <c r="B7" s="68" t="s">
        <v>359</v>
      </c>
      <c r="C7" s="329" t="s">
        <v>337</v>
      </c>
      <c r="D7" s="330" t="s">
        <v>338</v>
      </c>
      <c r="E7" s="83"/>
      <c r="F7" s="83"/>
      <c r="G7" s="333"/>
      <c r="H7" s="334" t="s">
        <v>290</v>
      </c>
      <c r="I7" s="335"/>
      <c r="J7" s="331" t="s">
        <v>13</v>
      </c>
      <c r="K7" s="336" t="s">
        <v>339</v>
      </c>
      <c r="L7" s="1543" t="s">
        <v>340</v>
      </c>
      <c r="M7" s="1543"/>
      <c r="N7" s="1544"/>
      <c r="O7" s="332" t="s">
        <v>341</v>
      </c>
      <c r="P7" s="331" t="s">
        <v>341</v>
      </c>
      <c r="Q7" s="251"/>
      <c r="R7" s="337" t="s">
        <v>342</v>
      </c>
      <c r="S7" s="320"/>
    </row>
    <row r="8" spans="1:19" ht="15.75" thickBot="1" x14ac:dyDescent="0.3">
      <c r="A8" s="88"/>
      <c r="B8" s="89"/>
      <c r="C8" s="338"/>
      <c r="D8" s="90" t="s">
        <v>5</v>
      </c>
      <c r="E8" s="339" t="s">
        <v>343</v>
      </c>
      <c r="F8" s="339" t="s">
        <v>344</v>
      </c>
      <c r="G8" s="340">
        <v>0.05</v>
      </c>
      <c r="H8" s="341">
        <v>7.4999999999999997E-2</v>
      </c>
      <c r="I8" s="342">
        <v>0.1</v>
      </c>
      <c r="J8" s="343" t="s">
        <v>345</v>
      </c>
      <c r="K8" s="344" t="s">
        <v>346</v>
      </c>
      <c r="L8" s="345" t="s">
        <v>57</v>
      </c>
      <c r="M8" s="346" t="s">
        <v>58</v>
      </c>
      <c r="N8" s="347" t="s">
        <v>59</v>
      </c>
      <c r="O8" s="348" t="s">
        <v>347</v>
      </c>
      <c r="P8" s="344" t="s">
        <v>348</v>
      </c>
      <c r="Q8" s="349" t="s">
        <v>0</v>
      </c>
      <c r="R8" s="350" t="s">
        <v>12</v>
      </c>
      <c r="S8" s="320"/>
    </row>
    <row r="9" spans="1:19" x14ac:dyDescent="0.2">
      <c r="A9" s="101" t="s">
        <v>80</v>
      </c>
      <c r="B9" s="102"/>
      <c r="C9" s="351"/>
      <c r="D9" s="103"/>
      <c r="E9" s="352"/>
      <c r="F9" s="353"/>
      <c r="G9" s="354"/>
      <c r="H9" s="352"/>
      <c r="I9" s="353"/>
      <c r="J9" s="355"/>
      <c r="K9" s="351"/>
      <c r="L9" s="356"/>
      <c r="M9" s="357"/>
      <c r="N9" s="358"/>
      <c r="O9" s="354"/>
      <c r="P9" s="351"/>
      <c r="Q9" s="359"/>
      <c r="R9" s="358"/>
      <c r="S9" s="253"/>
    </row>
    <row r="10" spans="1:19" x14ac:dyDescent="0.2">
      <c r="A10" s="108"/>
      <c r="B10" s="96" t="s">
        <v>8</v>
      </c>
      <c r="C10" s="360">
        <v>0.3</v>
      </c>
      <c r="D10" s="361">
        <v>22</v>
      </c>
      <c r="E10" s="362">
        <v>7.6</v>
      </c>
      <c r="F10" s="362">
        <v>22.6</v>
      </c>
      <c r="G10" s="333">
        <v>7.5</v>
      </c>
      <c r="H10" s="362">
        <v>5</v>
      </c>
      <c r="I10" s="363">
        <v>3.7</v>
      </c>
      <c r="J10" s="360">
        <v>3.3</v>
      </c>
      <c r="K10" s="360">
        <v>1.5</v>
      </c>
      <c r="L10" s="364">
        <v>2.7</v>
      </c>
      <c r="M10" s="365">
        <v>3.5</v>
      </c>
      <c r="N10" s="100">
        <v>4.5999999999999996</v>
      </c>
      <c r="O10" s="366">
        <v>1.7</v>
      </c>
      <c r="P10" s="360">
        <v>1.2</v>
      </c>
      <c r="Q10" s="367">
        <v>15</v>
      </c>
      <c r="R10" s="368">
        <v>30</v>
      </c>
      <c r="S10" s="253"/>
    </row>
    <row r="11" spans="1:19" x14ac:dyDescent="0.2">
      <c r="A11" s="115"/>
      <c r="B11" s="116" t="s">
        <v>81</v>
      </c>
      <c r="C11" s="369">
        <v>0.3</v>
      </c>
      <c r="D11" s="370">
        <v>37.5</v>
      </c>
      <c r="E11" s="371">
        <v>14.9</v>
      </c>
      <c r="F11" s="372">
        <v>31.3</v>
      </c>
      <c r="G11" s="366">
        <v>11.7</v>
      </c>
      <c r="H11" s="371">
        <v>7.8</v>
      </c>
      <c r="I11" s="372">
        <v>5.9</v>
      </c>
      <c r="J11" s="369">
        <v>7</v>
      </c>
      <c r="K11" s="369">
        <v>1</v>
      </c>
      <c r="L11" s="373">
        <v>2.9</v>
      </c>
      <c r="M11" s="374">
        <v>6.4</v>
      </c>
      <c r="N11" s="375">
        <v>8.3000000000000007</v>
      </c>
      <c r="O11" s="366">
        <v>2.2999999999999998</v>
      </c>
      <c r="P11" s="369">
        <v>2.7</v>
      </c>
      <c r="Q11" s="370">
        <v>15</v>
      </c>
      <c r="R11" s="375">
        <v>30</v>
      </c>
      <c r="S11" s="253"/>
    </row>
    <row r="12" spans="1:19" x14ac:dyDescent="0.2">
      <c r="A12" s="115"/>
      <c r="B12" s="116" t="s">
        <v>82</v>
      </c>
      <c r="C12" s="369">
        <v>0.7</v>
      </c>
      <c r="D12" s="367">
        <v>54.5</v>
      </c>
      <c r="E12" s="371">
        <v>20.5</v>
      </c>
      <c r="F12" s="372">
        <v>45.5</v>
      </c>
      <c r="G12" s="366">
        <v>17.100000000000001</v>
      </c>
      <c r="H12" s="371">
        <v>11.4</v>
      </c>
      <c r="I12" s="376">
        <v>8.6</v>
      </c>
      <c r="J12" s="369">
        <v>9.6999999999999993</v>
      </c>
      <c r="K12" s="369">
        <v>1.4</v>
      </c>
      <c r="L12" s="373">
        <v>4.2</v>
      </c>
      <c r="M12" s="374">
        <v>9.5</v>
      </c>
      <c r="N12" s="375">
        <v>12.7</v>
      </c>
      <c r="O12" s="366">
        <v>3.4</v>
      </c>
      <c r="P12" s="369">
        <v>3.9</v>
      </c>
      <c r="Q12" s="370">
        <v>15</v>
      </c>
      <c r="R12" s="375">
        <v>30</v>
      </c>
      <c r="S12" s="253"/>
    </row>
    <row r="13" spans="1:19" x14ac:dyDescent="0.2">
      <c r="A13" s="108"/>
      <c r="B13" s="96" t="s">
        <v>9</v>
      </c>
      <c r="C13" s="360">
        <v>1</v>
      </c>
      <c r="D13" s="377">
        <v>64</v>
      </c>
      <c r="E13" s="362">
        <v>21</v>
      </c>
      <c r="F13" s="363">
        <v>78</v>
      </c>
      <c r="G13" s="333">
        <v>21.5</v>
      </c>
      <c r="H13" s="362">
        <v>14.3</v>
      </c>
      <c r="I13" s="363">
        <v>10.7</v>
      </c>
      <c r="J13" s="378">
        <v>13.1</v>
      </c>
      <c r="K13" s="360">
        <v>4.2</v>
      </c>
      <c r="L13" s="364">
        <v>7.8</v>
      </c>
      <c r="M13" s="365">
        <v>14</v>
      </c>
      <c r="N13" s="100">
        <v>17.5</v>
      </c>
      <c r="O13" s="333">
        <v>4.8</v>
      </c>
      <c r="P13" s="360">
        <v>3.4</v>
      </c>
      <c r="Q13" s="361">
        <v>15</v>
      </c>
      <c r="R13" s="100">
        <v>30</v>
      </c>
      <c r="S13" s="253"/>
    </row>
    <row r="14" spans="1:19" ht="14.25" x14ac:dyDescent="0.2">
      <c r="A14" s="379"/>
      <c r="B14" s="380" t="s">
        <v>349</v>
      </c>
      <c r="C14" s="369"/>
      <c r="D14" s="367"/>
      <c r="E14" s="371" t="s">
        <v>288</v>
      </c>
      <c r="F14" s="372"/>
      <c r="G14" s="366"/>
      <c r="H14" s="381"/>
      <c r="I14" s="382"/>
      <c r="J14" s="383"/>
      <c r="K14" s="369"/>
      <c r="L14" s="373"/>
      <c r="M14" s="374"/>
      <c r="N14" s="375"/>
      <c r="O14" s="366"/>
      <c r="P14" s="369"/>
      <c r="Q14" s="370"/>
      <c r="R14" s="375"/>
      <c r="S14" s="320"/>
    </row>
    <row r="15" spans="1:19" x14ac:dyDescent="0.2">
      <c r="A15" s="108"/>
      <c r="B15" s="96" t="s">
        <v>350</v>
      </c>
      <c r="C15" s="360">
        <v>0.3</v>
      </c>
      <c r="D15" s="377">
        <v>37</v>
      </c>
      <c r="E15" s="362">
        <v>11</v>
      </c>
      <c r="F15" s="363">
        <v>46</v>
      </c>
      <c r="G15" s="333">
        <v>12.5</v>
      </c>
      <c r="H15" s="362">
        <v>8.3000000000000007</v>
      </c>
      <c r="I15" s="363">
        <v>6.2</v>
      </c>
      <c r="J15" s="360">
        <v>7.6</v>
      </c>
      <c r="K15" s="360">
        <v>2.5</v>
      </c>
      <c r="L15" s="364">
        <v>4.5</v>
      </c>
      <c r="M15" s="365">
        <v>7.4</v>
      </c>
      <c r="N15" s="100">
        <v>8.9</v>
      </c>
      <c r="O15" s="333">
        <v>2.8</v>
      </c>
      <c r="P15" s="360">
        <v>2</v>
      </c>
      <c r="Q15" s="361">
        <v>15</v>
      </c>
      <c r="R15" s="100">
        <v>30</v>
      </c>
      <c r="S15" s="320"/>
    </row>
    <row r="16" spans="1:19" x14ac:dyDescent="0.2">
      <c r="A16" s="108"/>
      <c r="B16" s="96" t="s">
        <v>10</v>
      </c>
      <c r="C16" s="360">
        <v>0.7</v>
      </c>
      <c r="D16" s="377">
        <v>56</v>
      </c>
      <c r="E16" s="362">
        <v>18</v>
      </c>
      <c r="F16" s="363">
        <v>69</v>
      </c>
      <c r="G16" s="333">
        <v>18.899999999999999</v>
      </c>
      <c r="H16" s="362">
        <v>12.6</v>
      </c>
      <c r="I16" s="363">
        <v>9.4</v>
      </c>
      <c r="J16" s="360">
        <v>11.5</v>
      </c>
      <c r="K16" s="360">
        <v>3.7</v>
      </c>
      <c r="L16" s="364">
        <v>6.8</v>
      </c>
      <c r="M16" s="365">
        <v>11.8</v>
      </c>
      <c r="N16" s="100">
        <v>14.6</v>
      </c>
      <c r="O16" s="333">
        <v>4.3</v>
      </c>
      <c r="P16" s="360">
        <v>3</v>
      </c>
      <c r="Q16" s="361">
        <v>15</v>
      </c>
      <c r="R16" s="100">
        <v>30</v>
      </c>
      <c r="S16" s="320"/>
    </row>
    <row r="17" spans="1:19" x14ac:dyDescent="0.2">
      <c r="A17" s="108"/>
      <c r="B17" s="96" t="s">
        <v>11</v>
      </c>
      <c r="C17" s="360">
        <v>1</v>
      </c>
      <c r="D17" s="377">
        <v>64</v>
      </c>
      <c r="E17" s="362">
        <v>21</v>
      </c>
      <c r="F17" s="363">
        <v>78</v>
      </c>
      <c r="G17" s="333">
        <v>21.5</v>
      </c>
      <c r="H17" s="362">
        <v>14.3</v>
      </c>
      <c r="I17" s="363">
        <v>10.7</v>
      </c>
      <c r="J17" s="360">
        <v>13.1</v>
      </c>
      <c r="K17" s="360">
        <v>4.2</v>
      </c>
      <c r="L17" s="364">
        <v>7.8</v>
      </c>
      <c r="M17" s="365">
        <v>14</v>
      </c>
      <c r="N17" s="100">
        <v>17.5</v>
      </c>
      <c r="O17" s="333">
        <v>4.8</v>
      </c>
      <c r="P17" s="360">
        <v>3.4</v>
      </c>
      <c r="Q17" s="361">
        <v>15</v>
      </c>
      <c r="R17" s="100">
        <v>30</v>
      </c>
      <c r="S17" s="320"/>
    </row>
    <row r="18" spans="1:19" x14ac:dyDescent="0.2">
      <c r="A18" s="108"/>
      <c r="B18" s="96" t="s">
        <v>351</v>
      </c>
      <c r="C18" s="360">
        <v>1</v>
      </c>
      <c r="D18" s="377">
        <v>100</v>
      </c>
      <c r="E18" s="362">
        <v>36</v>
      </c>
      <c r="F18" s="363">
        <v>104</v>
      </c>
      <c r="G18" s="333">
        <v>33.799999999999997</v>
      </c>
      <c r="H18" s="362">
        <v>22.5</v>
      </c>
      <c r="I18" s="363">
        <v>16.899999999999999</v>
      </c>
      <c r="J18" s="360">
        <v>19</v>
      </c>
      <c r="K18" s="360">
        <v>4</v>
      </c>
      <c r="L18" s="364">
        <v>15</v>
      </c>
      <c r="M18" s="365">
        <v>18.600000000000001</v>
      </c>
      <c r="N18" s="100">
        <v>23.4</v>
      </c>
      <c r="O18" s="333">
        <v>7.3</v>
      </c>
      <c r="P18" s="360">
        <v>6</v>
      </c>
      <c r="Q18" s="361">
        <v>15</v>
      </c>
      <c r="R18" s="100">
        <v>30</v>
      </c>
      <c r="S18" s="320"/>
    </row>
    <row r="19" spans="1:19" x14ac:dyDescent="0.2">
      <c r="A19" s="108"/>
      <c r="B19" s="96" t="s">
        <v>352</v>
      </c>
      <c r="C19" s="360">
        <v>1</v>
      </c>
      <c r="D19" s="377">
        <v>115</v>
      </c>
      <c r="E19" s="362">
        <v>42</v>
      </c>
      <c r="F19" s="363">
        <v>116</v>
      </c>
      <c r="G19" s="333">
        <v>37.299999999999997</v>
      </c>
      <c r="H19" s="362">
        <v>24.9</v>
      </c>
      <c r="I19" s="363">
        <v>18.600000000000001</v>
      </c>
      <c r="J19" s="360">
        <v>20</v>
      </c>
      <c r="K19" s="360">
        <v>4</v>
      </c>
      <c r="L19" s="364">
        <v>16</v>
      </c>
      <c r="M19" s="365">
        <v>19.399999999999999</v>
      </c>
      <c r="N19" s="100">
        <v>24.4</v>
      </c>
      <c r="O19" s="333">
        <v>8</v>
      </c>
      <c r="P19" s="360">
        <v>6.4</v>
      </c>
      <c r="Q19" s="361">
        <v>15</v>
      </c>
      <c r="R19" s="100">
        <v>30</v>
      </c>
      <c r="S19" s="320"/>
    </row>
    <row r="20" spans="1:19" x14ac:dyDescent="0.2">
      <c r="A20" s="108"/>
      <c r="B20" s="96" t="s">
        <v>353</v>
      </c>
      <c r="C20" s="360">
        <v>1</v>
      </c>
      <c r="D20" s="377">
        <v>133</v>
      </c>
      <c r="E20" s="362">
        <v>47</v>
      </c>
      <c r="F20" s="363">
        <v>125</v>
      </c>
      <c r="G20" s="333">
        <v>39.299999999999997</v>
      </c>
      <c r="H20" s="362">
        <v>26.2</v>
      </c>
      <c r="I20" s="363">
        <v>19.600000000000001</v>
      </c>
      <c r="J20" s="360">
        <v>21</v>
      </c>
      <c r="K20" s="360">
        <v>5</v>
      </c>
      <c r="L20" s="364">
        <v>17</v>
      </c>
      <c r="M20" s="365">
        <v>20.2</v>
      </c>
      <c r="N20" s="100">
        <v>25.4</v>
      </c>
      <c r="O20" s="333">
        <v>7.7</v>
      </c>
      <c r="P20" s="360">
        <v>6.8</v>
      </c>
      <c r="Q20" s="361">
        <v>15</v>
      </c>
      <c r="R20" s="100">
        <v>30</v>
      </c>
      <c r="S20" s="320"/>
    </row>
    <row r="21" spans="1:19" x14ac:dyDescent="0.2">
      <c r="A21" s="108"/>
      <c r="B21" s="96" t="s">
        <v>354</v>
      </c>
      <c r="C21" s="360">
        <v>1</v>
      </c>
      <c r="D21" s="377">
        <v>152</v>
      </c>
      <c r="E21" s="362">
        <v>52</v>
      </c>
      <c r="F21" s="363">
        <v>135</v>
      </c>
      <c r="G21" s="333">
        <v>45.3</v>
      </c>
      <c r="H21" s="362">
        <v>30.2</v>
      </c>
      <c r="I21" s="363">
        <v>22.7</v>
      </c>
      <c r="J21" s="360">
        <v>22</v>
      </c>
      <c r="K21" s="360">
        <v>6</v>
      </c>
      <c r="L21" s="364">
        <v>17</v>
      </c>
      <c r="M21" s="365">
        <v>21</v>
      </c>
      <c r="N21" s="100">
        <v>26.4</v>
      </c>
      <c r="O21" s="333">
        <v>7.5</v>
      </c>
      <c r="P21" s="360">
        <v>7.2</v>
      </c>
      <c r="Q21" s="361">
        <v>15</v>
      </c>
      <c r="R21" s="100">
        <v>30</v>
      </c>
      <c r="S21" s="320"/>
    </row>
    <row r="22" spans="1:19" ht="14.25" x14ac:dyDescent="0.2">
      <c r="A22" s="379"/>
      <c r="B22" s="380" t="s">
        <v>355</v>
      </c>
      <c r="C22" s="369"/>
      <c r="D22" s="367"/>
      <c r="E22" s="371" t="s">
        <v>288</v>
      </c>
      <c r="F22" s="372"/>
      <c r="G22" s="366"/>
      <c r="H22" s="381"/>
      <c r="I22" s="382"/>
      <c r="J22" s="383"/>
      <c r="K22" s="369"/>
      <c r="L22" s="373"/>
      <c r="M22" s="374"/>
      <c r="N22" s="375"/>
      <c r="O22" s="366"/>
      <c r="P22" s="369"/>
      <c r="Q22" s="370"/>
      <c r="R22" s="375"/>
      <c r="S22" s="320"/>
    </row>
    <row r="23" spans="1:19" x14ac:dyDescent="0.2">
      <c r="A23" s="108"/>
      <c r="B23" s="96" t="s">
        <v>350</v>
      </c>
      <c r="C23" s="360">
        <v>0.3</v>
      </c>
      <c r="D23" s="377">
        <v>47</v>
      </c>
      <c r="E23" s="362">
        <v>14</v>
      </c>
      <c r="F23" s="363">
        <v>58</v>
      </c>
      <c r="G23" s="333">
        <v>12.4</v>
      </c>
      <c r="H23" s="362">
        <v>8.3000000000000007</v>
      </c>
      <c r="I23" s="363">
        <v>6.2</v>
      </c>
      <c r="J23" s="360">
        <v>7.6</v>
      </c>
      <c r="K23" s="360">
        <v>2.5</v>
      </c>
      <c r="L23" s="364">
        <v>4.5</v>
      </c>
      <c r="M23" s="365">
        <v>7.4</v>
      </c>
      <c r="N23" s="100">
        <v>8.9</v>
      </c>
      <c r="O23" s="333">
        <v>3.5</v>
      </c>
      <c r="P23" s="360">
        <v>2</v>
      </c>
      <c r="Q23" s="361">
        <v>15</v>
      </c>
      <c r="R23" s="100">
        <v>30</v>
      </c>
      <c r="S23" s="320"/>
    </row>
    <row r="24" spans="1:19" x14ac:dyDescent="0.2">
      <c r="A24" s="108"/>
      <c r="B24" s="96" t="s">
        <v>10</v>
      </c>
      <c r="C24" s="360">
        <v>0.7</v>
      </c>
      <c r="D24" s="377">
        <v>72</v>
      </c>
      <c r="E24" s="362">
        <v>21</v>
      </c>
      <c r="F24" s="363">
        <v>94</v>
      </c>
      <c r="G24" s="333">
        <v>19</v>
      </c>
      <c r="H24" s="362">
        <v>12.7</v>
      </c>
      <c r="I24" s="363">
        <v>9.5</v>
      </c>
      <c r="J24" s="360">
        <v>11.7</v>
      </c>
      <c r="K24" s="360">
        <v>3.8</v>
      </c>
      <c r="L24" s="364">
        <v>6.9</v>
      </c>
      <c r="M24" s="365">
        <v>12</v>
      </c>
      <c r="N24" s="100">
        <v>14.8</v>
      </c>
      <c r="O24" s="333">
        <v>5.4</v>
      </c>
      <c r="P24" s="360">
        <v>3</v>
      </c>
      <c r="Q24" s="361">
        <v>15</v>
      </c>
      <c r="R24" s="100">
        <v>30</v>
      </c>
      <c r="S24" s="320"/>
    </row>
    <row r="25" spans="1:19" x14ac:dyDescent="0.2">
      <c r="A25" s="108"/>
      <c r="B25" s="96" t="s">
        <v>11</v>
      </c>
      <c r="C25" s="360">
        <v>1</v>
      </c>
      <c r="D25" s="377">
        <v>84</v>
      </c>
      <c r="E25" s="362">
        <v>23</v>
      </c>
      <c r="F25" s="363">
        <v>100</v>
      </c>
      <c r="G25" s="333">
        <v>22.2</v>
      </c>
      <c r="H25" s="362">
        <v>14.8</v>
      </c>
      <c r="I25" s="363">
        <v>11.1</v>
      </c>
      <c r="J25" s="360">
        <v>13.7</v>
      </c>
      <c r="K25" s="360">
        <v>4.4000000000000004</v>
      </c>
      <c r="L25" s="364">
        <v>8.1</v>
      </c>
      <c r="M25" s="365">
        <v>14.5</v>
      </c>
      <c r="N25" s="100">
        <v>18.100000000000001</v>
      </c>
      <c r="O25" s="333">
        <v>6.3</v>
      </c>
      <c r="P25" s="360">
        <v>3.5</v>
      </c>
      <c r="Q25" s="361">
        <v>15</v>
      </c>
      <c r="R25" s="100">
        <v>30</v>
      </c>
      <c r="S25" s="320"/>
    </row>
    <row r="26" spans="1:19" x14ac:dyDescent="0.2">
      <c r="A26" s="108"/>
      <c r="B26" s="96" t="s">
        <v>351</v>
      </c>
      <c r="C26" s="360">
        <v>1</v>
      </c>
      <c r="D26" s="377">
        <v>109</v>
      </c>
      <c r="E26" s="362">
        <v>37</v>
      </c>
      <c r="F26" s="363">
        <v>129</v>
      </c>
      <c r="G26" s="333">
        <v>36.5</v>
      </c>
      <c r="H26" s="362">
        <v>24.3</v>
      </c>
      <c r="I26" s="363">
        <v>18.2</v>
      </c>
      <c r="J26" s="360">
        <v>19</v>
      </c>
      <c r="K26" s="360">
        <v>4</v>
      </c>
      <c r="L26" s="364">
        <v>14.4</v>
      </c>
      <c r="M26" s="365">
        <v>18.600000000000001</v>
      </c>
      <c r="N26" s="100">
        <v>23.4</v>
      </c>
      <c r="O26" s="333">
        <v>9.6</v>
      </c>
      <c r="P26" s="360">
        <v>6</v>
      </c>
      <c r="Q26" s="361">
        <v>15</v>
      </c>
      <c r="R26" s="100">
        <v>30</v>
      </c>
      <c r="S26" s="320"/>
    </row>
    <row r="27" spans="1:19" x14ac:dyDescent="0.2">
      <c r="A27" s="108"/>
      <c r="B27" s="96" t="s">
        <v>352</v>
      </c>
      <c r="C27" s="360">
        <v>1</v>
      </c>
      <c r="D27" s="377">
        <v>124</v>
      </c>
      <c r="E27" s="362">
        <v>43</v>
      </c>
      <c r="F27" s="363">
        <v>134</v>
      </c>
      <c r="G27" s="333">
        <v>38.1</v>
      </c>
      <c r="H27" s="362">
        <v>25.4</v>
      </c>
      <c r="I27" s="363">
        <v>19</v>
      </c>
      <c r="J27" s="360">
        <v>20</v>
      </c>
      <c r="K27" s="360">
        <v>4</v>
      </c>
      <c r="L27" s="364">
        <v>15</v>
      </c>
      <c r="M27" s="365">
        <v>19.399999999999999</v>
      </c>
      <c r="N27" s="100">
        <v>24.4</v>
      </c>
      <c r="O27" s="333">
        <v>9.6999999999999993</v>
      </c>
      <c r="P27" s="360">
        <v>6.4</v>
      </c>
      <c r="Q27" s="361">
        <v>15</v>
      </c>
      <c r="R27" s="100">
        <v>30</v>
      </c>
      <c r="S27" s="320"/>
    </row>
    <row r="28" spans="1:19" x14ac:dyDescent="0.2">
      <c r="A28" s="108"/>
      <c r="B28" s="96" t="s">
        <v>353</v>
      </c>
      <c r="C28" s="360">
        <v>1</v>
      </c>
      <c r="D28" s="377">
        <v>141</v>
      </c>
      <c r="E28" s="362">
        <v>48</v>
      </c>
      <c r="F28" s="363">
        <v>143</v>
      </c>
      <c r="G28" s="333">
        <v>40.4</v>
      </c>
      <c r="H28" s="362">
        <v>26.9</v>
      </c>
      <c r="I28" s="363">
        <v>20.2</v>
      </c>
      <c r="J28" s="360">
        <v>21</v>
      </c>
      <c r="K28" s="360">
        <v>5</v>
      </c>
      <c r="L28" s="364">
        <v>16</v>
      </c>
      <c r="M28" s="365">
        <v>20.2</v>
      </c>
      <c r="N28" s="100">
        <v>25.4</v>
      </c>
      <c r="O28" s="333">
        <v>9.5</v>
      </c>
      <c r="P28" s="360">
        <v>6.8</v>
      </c>
      <c r="Q28" s="361">
        <v>15</v>
      </c>
      <c r="R28" s="100">
        <v>30</v>
      </c>
      <c r="S28" s="320"/>
    </row>
    <row r="29" spans="1:19" ht="13.5" thickBot="1" x14ac:dyDescent="0.25">
      <c r="A29" s="108"/>
      <c r="B29" s="96" t="s">
        <v>84</v>
      </c>
      <c r="C29" s="360">
        <v>1</v>
      </c>
      <c r="D29" s="377">
        <v>105</v>
      </c>
      <c r="E29" s="362">
        <v>31</v>
      </c>
      <c r="F29" s="363">
        <v>129</v>
      </c>
      <c r="G29" s="384">
        <v>32.200000000000003</v>
      </c>
      <c r="H29" s="362">
        <v>21.4</v>
      </c>
      <c r="I29" s="363">
        <v>16.100000000000001</v>
      </c>
      <c r="J29" s="360">
        <v>20</v>
      </c>
      <c r="K29" s="360">
        <v>4</v>
      </c>
      <c r="L29" s="364">
        <v>15.8</v>
      </c>
      <c r="M29" s="365">
        <v>19.600000000000001</v>
      </c>
      <c r="N29" s="100">
        <v>24.4</v>
      </c>
      <c r="O29" s="333">
        <v>7.6</v>
      </c>
      <c r="P29" s="360">
        <v>6</v>
      </c>
      <c r="Q29" s="361">
        <v>15</v>
      </c>
      <c r="R29" s="100">
        <v>30</v>
      </c>
      <c r="S29" s="320"/>
    </row>
    <row r="30" spans="1:19" x14ac:dyDescent="0.2">
      <c r="A30" s="385" t="s">
        <v>154</v>
      </c>
      <c r="B30" s="386"/>
      <c r="C30" s="387"/>
      <c r="D30" s="388"/>
      <c r="E30" s="389"/>
      <c r="F30" s="390"/>
      <c r="G30" s="391">
        <v>3.5000000000000003E-2</v>
      </c>
      <c r="H30" s="392">
        <v>0.05</v>
      </c>
      <c r="I30" s="393">
        <v>7.4999999999999997E-2</v>
      </c>
      <c r="J30" s="394"/>
      <c r="K30" s="387"/>
      <c r="L30" s="395"/>
      <c r="M30" s="396"/>
      <c r="N30" s="397"/>
      <c r="O30" s="398"/>
      <c r="P30" s="387"/>
      <c r="Q30" s="399"/>
      <c r="R30" s="397"/>
      <c r="S30" s="320"/>
    </row>
    <row r="31" spans="1:19" x14ac:dyDescent="0.2">
      <c r="A31" s="87"/>
      <c r="B31" s="96" t="s">
        <v>86</v>
      </c>
      <c r="C31" s="360">
        <v>0.3</v>
      </c>
      <c r="D31" s="400">
        <v>27.3</v>
      </c>
      <c r="E31" s="362">
        <v>12.6</v>
      </c>
      <c r="F31" s="401">
        <v>12.8</v>
      </c>
      <c r="G31" s="333">
        <v>8.1</v>
      </c>
      <c r="H31" s="362">
        <v>5.7</v>
      </c>
      <c r="I31" s="363">
        <v>3.8</v>
      </c>
      <c r="J31" s="360">
        <v>4.2</v>
      </c>
      <c r="K31" s="360">
        <v>2</v>
      </c>
      <c r="L31" s="364">
        <v>3.6</v>
      </c>
      <c r="M31" s="365">
        <v>4.3</v>
      </c>
      <c r="N31" s="100">
        <v>5.5</v>
      </c>
      <c r="O31" s="333">
        <v>1.2</v>
      </c>
      <c r="P31" s="360">
        <v>1.3</v>
      </c>
      <c r="Q31" s="361">
        <v>20</v>
      </c>
      <c r="R31" s="100">
        <v>30</v>
      </c>
      <c r="S31" s="320"/>
    </row>
    <row r="32" spans="1:19" x14ac:dyDescent="0.2">
      <c r="A32" s="87"/>
      <c r="B32" s="96" t="s">
        <v>88</v>
      </c>
      <c r="C32" s="360">
        <v>0.3</v>
      </c>
      <c r="D32" s="400">
        <v>24.1</v>
      </c>
      <c r="E32" s="362">
        <v>11.2</v>
      </c>
      <c r="F32" s="401">
        <v>11.6</v>
      </c>
      <c r="G32" s="333">
        <v>7.2</v>
      </c>
      <c r="H32" s="362">
        <v>5</v>
      </c>
      <c r="I32" s="363">
        <v>3.4</v>
      </c>
      <c r="J32" s="360">
        <v>4.2</v>
      </c>
      <c r="K32" s="360">
        <v>2</v>
      </c>
      <c r="L32" s="364">
        <v>3.6</v>
      </c>
      <c r="M32" s="365">
        <v>4.3</v>
      </c>
      <c r="N32" s="100">
        <v>5.5</v>
      </c>
      <c r="O32" s="333">
        <v>1.2</v>
      </c>
      <c r="P32" s="360">
        <v>1.3</v>
      </c>
      <c r="Q32" s="361">
        <v>20</v>
      </c>
      <c r="R32" s="100">
        <v>30</v>
      </c>
      <c r="S32" s="320"/>
    </row>
    <row r="33" spans="1:19" x14ac:dyDescent="0.2">
      <c r="A33" s="87"/>
      <c r="B33" s="123" t="s">
        <v>90</v>
      </c>
      <c r="C33" s="360">
        <v>0.3</v>
      </c>
      <c r="D33" s="377">
        <v>27.5</v>
      </c>
      <c r="E33" s="362">
        <v>12.8</v>
      </c>
      <c r="F33" s="401">
        <v>13.1</v>
      </c>
      <c r="G33" s="333">
        <v>8.1999999999999993</v>
      </c>
      <c r="H33" s="362">
        <v>5.8</v>
      </c>
      <c r="I33" s="363">
        <v>3.8</v>
      </c>
      <c r="J33" s="360">
        <v>4.4000000000000004</v>
      </c>
      <c r="K33" s="360">
        <v>2</v>
      </c>
      <c r="L33" s="364">
        <v>3.7</v>
      </c>
      <c r="M33" s="365">
        <v>4.5</v>
      </c>
      <c r="N33" s="100">
        <v>5.7</v>
      </c>
      <c r="O33" s="333">
        <v>1.2</v>
      </c>
      <c r="P33" s="360">
        <v>1.4</v>
      </c>
      <c r="Q33" s="361">
        <v>20</v>
      </c>
      <c r="R33" s="100">
        <v>30</v>
      </c>
      <c r="S33" s="320"/>
    </row>
    <row r="34" spans="1:19" x14ac:dyDescent="0.2">
      <c r="A34" s="87"/>
      <c r="B34" s="123" t="s">
        <v>92</v>
      </c>
      <c r="C34" s="360">
        <v>0.3</v>
      </c>
      <c r="D34" s="377">
        <v>24.2</v>
      </c>
      <c r="E34" s="362">
        <v>11.2</v>
      </c>
      <c r="F34" s="401">
        <v>11.8</v>
      </c>
      <c r="G34" s="333">
        <v>7.4</v>
      </c>
      <c r="H34" s="362">
        <v>5.2</v>
      </c>
      <c r="I34" s="363">
        <v>3.4</v>
      </c>
      <c r="J34" s="360">
        <v>4.4000000000000004</v>
      </c>
      <c r="K34" s="360">
        <v>2</v>
      </c>
      <c r="L34" s="364">
        <v>3.7</v>
      </c>
      <c r="M34" s="365">
        <v>4.5</v>
      </c>
      <c r="N34" s="100">
        <v>5.7</v>
      </c>
      <c r="O34" s="333">
        <v>1.2</v>
      </c>
      <c r="P34" s="360">
        <v>1.4</v>
      </c>
      <c r="Q34" s="361">
        <v>20</v>
      </c>
      <c r="R34" s="100">
        <v>30</v>
      </c>
      <c r="S34" s="320"/>
    </row>
    <row r="35" spans="1:19" x14ac:dyDescent="0.2">
      <c r="A35" s="87"/>
      <c r="B35" s="96" t="s">
        <v>94</v>
      </c>
      <c r="C35" s="360">
        <v>0.3</v>
      </c>
      <c r="D35" s="400">
        <v>41.1</v>
      </c>
      <c r="E35" s="362">
        <v>17.899999999999999</v>
      </c>
      <c r="F35" s="401">
        <v>21.1</v>
      </c>
      <c r="G35" s="333">
        <v>11.9</v>
      </c>
      <c r="H35" s="362">
        <v>8.3000000000000007</v>
      </c>
      <c r="I35" s="363">
        <v>5.5</v>
      </c>
      <c r="J35" s="360">
        <v>6.5</v>
      </c>
      <c r="K35" s="360">
        <v>3</v>
      </c>
      <c r="L35" s="364">
        <v>5.2</v>
      </c>
      <c r="M35" s="365">
        <v>6.1</v>
      </c>
      <c r="N35" s="100">
        <v>7.8</v>
      </c>
      <c r="O35" s="333">
        <v>1.2</v>
      </c>
      <c r="P35" s="360">
        <v>2.4</v>
      </c>
      <c r="Q35" s="361">
        <v>20</v>
      </c>
      <c r="R35" s="100">
        <v>30</v>
      </c>
      <c r="S35" s="320"/>
    </row>
    <row r="36" spans="1:19" x14ac:dyDescent="0.2">
      <c r="A36" s="87"/>
      <c r="B36" s="96" t="s">
        <v>96</v>
      </c>
      <c r="C36" s="360">
        <v>0.3</v>
      </c>
      <c r="D36" s="400">
        <v>36.799999999999997</v>
      </c>
      <c r="E36" s="362">
        <v>16</v>
      </c>
      <c r="F36" s="401">
        <v>19.5</v>
      </c>
      <c r="G36" s="333">
        <v>10.9</v>
      </c>
      <c r="H36" s="362">
        <v>7.6</v>
      </c>
      <c r="I36" s="363">
        <v>5.0999999999999996</v>
      </c>
      <c r="J36" s="360">
        <v>6.5</v>
      </c>
      <c r="K36" s="360">
        <v>3</v>
      </c>
      <c r="L36" s="364">
        <v>5.2</v>
      </c>
      <c r="M36" s="365">
        <v>6.1</v>
      </c>
      <c r="N36" s="100">
        <v>7.8</v>
      </c>
      <c r="O36" s="333">
        <v>1.2</v>
      </c>
      <c r="P36" s="360">
        <v>2.4</v>
      </c>
      <c r="Q36" s="361">
        <v>20</v>
      </c>
      <c r="R36" s="100">
        <v>30</v>
      </c>
      <c r="S36" s="320"/>
    </row>
    <row r="37" spans="1:19" x14ac:dyDescent="0.2">
      <c r="A37" s="87"/>
      <c r="B37" s="123" t="s">
        <v>98</v>
      </c>
      <c r="C37" s="360">
        <v>0.3</v>
      </c>
      <c r="D37" s="377">
        <v>42.9</v>
      </c>
      <c r="E37" s="362">
        <v>18.600000000000001</v>
      </c>
      <c r="F37" s="401">
        <v>21.3</v>
      </c>
      <c r="G37" s="333">
        <v>12.5</v>
      </c>
      <c r="H37" s="362">
        <v>8.6999999999999993</v>
      </c>
      <c r="I37" s="363">
        <v>5.8</v>
      </c>
      <c r="J37" s="360">
        <v>7</v>
      </c>
      <c r="K37" s="360">
        <v>3</v>
      </c>
      <c r="L37" s="364">
        <v>5.5</v>
      </c>
      <c r="M37" s="365">
        <v>6.5</v>
      </c>
      <c r="N37" s="100">
        <v>8.3000000000000007</v>
      </c>
      <c r="O37" s="333">
        <v>1.2</v>
      </c>
      <c r="P37" s="360">
        <v>2.6</v>
      </c>
      <c r="Q37" s="361">
        <v>20</v>
      </c>
      <c r="R37" s="100">
        <v>30</v>
      </c>
      <c r="S37" s="320"/>
    </row>
    <row r="38" spans="1:19" x14ac:dyDescent="0.2">
      <c r="A38" s="87"/>
      <c r="B38" s="123" t="s">
        <v>100</v>
      </c>
      <c r="C38" s="360">
        <v>0.3</v>
      </c>
      <c r="D38" s="377">
        <v>38.4</v>
      </c>
      <c r="E38" s="362">
        <v>16.7</v>
      </c>
      <c r="F38" s="401">
        <v>20.7</v>
      </c>
      <c r="G38" s="333">
        <v>11.5</v>
      </c>
      <c r="H38" s="362">
        <v>8</v>
      </c>
      <c r="I38" s="363">
        <v>5.3</v>
      </c>
      <c r="J38" s="360">
        <v>7</v>
      </c>
      <c r="K38" s="360">
        <v>3</v>
      </c>
      <c r="L38" s="364">
        <v>5.5</v>
      </c>
      <c r="M38" s="365">
        <v>6.5</v>
      </c>
      <c r="N38" s="100">
        <v>8.3000000000000007</v>
      </c>
      <c r="O38" s="333">
        <v>1.2</v>
      </c>
      <c r="P38" s="360">
        <v>2.6</v>
      </c>
      <c r="Q38" s="361">
        <v>20</v>
      </c>
      <c r="R38" s="100">
        <v>30</v>
      </c>
      <c r="S38" s="320"/>
    </row>
    <row r="39" spans="1:19" x14ac:dyDescent="0.2">
      <c r="A39" s="108"/>
      <c r="B39" s="123" t="s">
        <v>102</v>
      </c>
      <c r="C39" s="402">
        <v>0.02</v>
      </c>
      <c r="D39" s="377">
        <v>4.5</v>
      </c>
      <c r="E39" s="403">
        <v>1.64</v>
      </c>
      <c r="F39" s="404">
        <v>2.7</v>
      </c>
      <c r="G39" s="333">
        <v>1.3</v>
      </c>
      <c r="H39" s="362">
        <v>0.9</v>
      </c>
      <c r="I39" s="363">
        <v>0.6</v>
      </c>
      <c r="J39" s="360">
        <v>0.7</v>
      </c>
      <c r="K39" s="360">
        <v>0.2</v>
      </c>
      <c r="L39" s="364">
        <v>0.4</v>
      </c>
      <c r="M39" s="365">
        <v>0.6</v>
      </c>
      <c r="N39" s="100">
        <v>0.8</v>
      </c>
      <c r="O39" s="405">
        <v>0.15</v>
      </c>
      <c r="P39" s="360">
        <v>0.4</v>
      </c>
      <c r="Q39" s="361">
        <v>20</v>
      </c>
      <c r="R39" s="100">
        <v>30</v>
      </c>
      <c r="S39" s="320"/>
    </row>
    <row r="40" spans="1:19" x14ac:dyDescent="0.2">
      <c r="A40" s="108"/>
      <c r="B40" s="123" t="s">
        <v>104</v>
      </c>
      <c r="C40" s="402">
        <v>0.02</v>
      </c>
      <c r="D40" s="377">
        <v>4.2</v>
      </c>
      <c r="E40" s="403">
        <v>1.61</v>
      </c>
      <c r="F40" s="404">
        <v>2.6</v>
      </c>
      <c r="G40" s="333">
        <v>1.2</v>
      </c>
      <c r="H40" s="362">
        <v>0.8</v>
      </c>
      <c r="I40" s="363">
        <v>0.6</v>
      </c>
      <c r="J40" s="360">
        <v>0.7</v>
      </c>
      <c r="K40" s="360">
        <v>0.2</v>
      </c>
      <c r="L40" s="364">
        <v>0.4</v>
      </c>
      <c r="M40" s="365">
        <v>0.6</v>
      </c>
      <c r="N40" s="100">
        <v>0.8</v>
      </c>
      <c r="O40" s="405">
        <v>0.15</v>
      </c>
      <c r="P40" s="360">
        <v>0.4</v>
      </c>
      <c r="Q40" s="361">
        <v>20</v>
      </c>
      <c r="R40" s="100">
        <v>30</v>
      </c>
      <c r="S40" s="320"/>
    </row>
    <row r="41" spans="1:19" x14ac:dyDescent="0.2">
      <c r="A41" s="87"/>
      <c r="B41" s="96" t="s">
        <v>106</v>
      </c>
      <c r="C41" s="402">
        <v>0.16</v>
      </c>
      <c r="D41" s="377">
        <v>14.1</v>
      </c>
      <c r="E41" s="362">
        <v>6</v>
      </c>
      <c r="F41" s="401">
        <v>7</v>
      </c>
      <c r="G41" s="384">
        <v>3.8</v>
      </c>
      <c r="H41" s="362">
        <v>2.7</v>
      </c>
      <c r="I41" s="363">
        <v>1.8</v>
      </c>
      <c r="J41" s="360">
        <v>1.8</v>
      </c>
      <c r="K41" s="360">
        <v>0.5</v>
      </c>
      <c r="L41" s="364">
        <v>1.3</v>
      </c>
      <c r="M41" s="365">
        <v>1.9</v>
      </c>
      <c r="N41" s="100">
        <v>2.6</v>
      </c>
      <c r="O41" s="333">
        <v>0.7</v>
      </c>
      <c r="P41" s="360">
        <v>0.7</v>
      </c>
      <c r="Q41" s="361">
        <v>20</v>
      </c>
      <c r="R41" s="100">
        <v>30</v>
      </c>
      <c r="S41" s="320"/>
    </row>
    <row r="42" spans="1:19" x14ac:dyDescent="0.2">
      <c r="A42" s="87"/>
      <c r="B42" s="96" t="s">
        <v>108</v>
      </c>
      <c r="C42" s="402">
        <v>0.16</v>
      </c>
      <c r="D42" s="377">
        <v>13.4</v>
      </c>
      <c r="E42" s="362">
        <v>5.0999999999999996</v>
      </c>
      <c r="F42" s="401">
        <v>6.8</v>
      </c>
      <c r="G42" s="384">
        <v>3.9</v>
      </c>
      <c r="H42" s="362">
        <v>2.7</v>
      </c>
      <c r="I42" s="363">
        <v>1.8</v>
      </c>
      <c r="J42" s="360">
        <v>1.8</v>
      </c>
      <c r="K42" s="360">
        <v>0.5</v>
      </c>
      <c r="L42" s="364">
        <v>1.3</v>
      </c>
      <c r="M42" s="365">
        <v>1.9</v>
      </c>
      <c r="N42" s="100">
        <v>2.6</v>
      </c>
      <c r="O42" s="333">
        <v>0.7</v>
      </c>
      <c r="P42" s="360">
        <v>0.7</v>
      </c>
      <c r="Q42" s="361">
        <v>20</v>
      </c>
      <c r="R42" s="100">
        <v>30</v>
      </c>
      <c r="S42" s="320"/>
    </row>
    <row r="43" spans="1:19" x14ac:dyDescent="0.2">
      <c r="A43" s="108"/>
      <c r="B43" s="96" t="s">
        <v>109</v>
      </c>
      <c r="C43" s="402">
        <v>0.16</v>
      </c>
      <c r="D43" s="377">
        <v>15.4</v>
      </c>
      <c r="E43" s="362">
        <v>6.3</v>
      </c>
      <c r="F43" s="401">
        <v>7.5</v>
      </c>
      <c r="G43" s="384">
        <v>4.0999999999999996</v>
      </c>
      <c r="H43" s="362">
        <v>2.9</v>
      </c>
      <c r="I43" s="363">
        <v>1.9</v>
      </c>
      <c r="J43" s="360">
        <v>1.9</v>
      </c>
      <c r="K43" s="360">
        <v>0.5</v>
      </c>
      <c r="L43" s="364">
        <v>1.4</v>
      </c>
      <c r="M43" s="365">
        <v>1.9</v>
      </c>
      <c r="N43" s="100">
        <v>2.6</v>
      </c>
      <c r="O43" s="333">
        <v>0.7</v>
      </c>
      <c r="P43" s="360">
        <v>0.8</v>
      </c>
      <c r="Q43" s="361">
        <v>20</v>
      </c>
      <c r="R43" s="100">
        <v>30</v>
      </c>
      <c r="S43" s="320"/>
    </row>
    <row r="44" spans="1:19" x14ac:dyDescent="0.2">
      <c r="A44" s="108"/>
      <c r="B44" s="96" t="s">
        <v>111</v>
      </c>
      <c r="C44" s="402">
        <v>0.16</v>
      </c>
      <c r="D44" s="406">
        <v>14.78</v>
      </c>
      <c r="E44" s="362">
        <v>5.4</v>
      </c>
      <c r="F44" s="401">
        <v>7.3</v>
      </c>
      <c r="G44" s="384">
        <v>4.2</v>
      </c>
      <c r="H44" s="362">
        <v>2.9</v>
      </c>
      <c r="I44" s="363">
        <v>1.9</v>
      </c>
      <c r="J44" s="360">
        <v>1.9</v>
      </c>
      <c r="K44" s="360">
        <v>0.5</v>
      </c>
      <c r="L44" s="364">
        <v>1.4</v>
      </c>
      <c r="M44" s="365">
        <v>1.9</v>
      </c>
      <c r="N44" s="100">
        <v>2.6</v>
      </c>
      <c r="O44" s="333">
        <v>0.7</v>
      </c>
      <c r="P44" s="360">
        <v>0.8</v>
      </c>
      <c r="Q44" s="361">
        <v>20</v>
      </c>
      <c r="R44" s="100">
        <v>30</v>
      </c>
      <c r="S44" s="320"/>
    </row>
    <row r="45" spans="1:19" ht="13.5" thickBot="1" x14ac:dyDescent="0.25">
      <c r="A45" s="115"/>
      <c r="B45" s="116" t="s">
        <v>112</v>
      </c>
      <c r="C45" s="369">
        <v>0.3</v>
      </c>
      <c r="D45" s="367">
        <v>22.1</v>
      </c>
      <c r="E45" s="371">
        <v>9.6</v>
      </c>
      <c r="F45" s="407">
        <v>8.8000000000000007</v>
      </c>
      <c r="G45" s="408">
        <v>4.5</v>
      </c>
      <c r="H45" s="371">
        <v>3.2</v>
      </c>
      <c r="I45" s="372">
        <v>2.1</v>
      </c>
      <c r="J45" s="369">
        <v>3.6</v>
      </c>
      <c r="K45" s="369">
        <v>1</v>
      </c>
      <c r="L45" s="373">
        <v>2.5</v>
      </c>
      <c r="M45" s="374">
        <v>3.6</v>
      </c>
      <c r="N45" s="375">
        <v>4.9000000000000004</v>
      </c>
      <c r="O45" s="333">
        <v>1</v>
      </c>
      <c r="P45" s="369">
        <v>1.5</v>
      </c>
      <c r="Q45" s="370">
        <v>20</v>
      </c>
      <c r="R45" s="375">
        <v>30</v>
      </c>
      <c r="S45" s="320"/>
    </row>
    <row r="46" spans="1:19" x14ac:dyDescent="0.2">
      <c r="A46" s="385" t="s">
        <v>155</v>
      </c>
      <c r="B46" s="386"/>
      <c r="C46" s="409"/>
      <c r="D46" s="388"/>
      <c r="E46" s="389"/>
      <c r="F46" s="390"/>
      <c r="G46" s="410"/>
      <c r="H46" s="389"/>
      <c r="I46" s="411"/>
      <c r="J46" s="412"/>
      <c r="K46" s="413" t="s">
        <v>356</v>
      </c>
      <c r="L46" s="414"/>
      <c r="M46" s="415" t="s">
        <v>356</v>
      </c>
      <c r="N46" s="416"/>
      <c r="O46" s="417"/>
      <c r="P46" s="409"/>
      <c r="Q46" s="418"/>
      <c r="R46" s="419"/>
      <c r="S46" s="420"/>
    </row>
    <row r="47" spans="1:19" x14ac:dyDescent="0.2">
      <c r="A47" s="108"/>
      <c r="B47" s="96" t="s">
        <v>114</v>
      </c>
      <c r="C47" s="421">
        <v>4.0000000000000001E-3</v>
      </c>
      <c r="D47" s="406">
        <v>0.85</v>
      </c>
      <c r="E47" s="403">
        <v>0.44</v>
      </c>
      <c r="F47" s="422">
        <v>0.38</v>
      </c>
      <c r="G47" s="384"/>
      <c r="H47" s="423"/>
      <c r="I47" s="424"/>
      <c r="J47" s="378"/>
      <c r="K47" s="360">
        <v>3.7</v>
      </c>
      <c r="L47" s="425"/>
      <c r="M47" s="426"/>
      <c r="N47" s="368">
        <v>24.5</v>
      </c>
      <c r="O47" s="427">
        <v>0</v>
      </c>
      <c r="P47" s="428">
        <v>0</v>
      </c>
      <c r="Q47" s="377">
        <v>40</v>
      </c>
      <c r="R47" s="368">
        <v>40</v>
      </c>
      <c r="S47" s="420"/>
    </row>
    <row r="48" spans="1:19" x14ac:dyDescent="0.2">
      <c r="A48" s="108"/>
      <c r="B48" s="96" t="s">
        <v>116</v>
      </c>
      <c r="C48" s="421">
        <v>4.0000000000000001E-3</v>
      </c>
      <c r="D48" s="406">
        <v>0.81</v>
      </c>
      <c r="E48" s="403">
        <v>0.39</v>
      </c>
      <c r="F48" s="422">
        <v>0.38</v>
      </c>
      <c r="G48" s="384"/>
      <c r="H48" s="423"/>
      <c r="I48" s="424"/>
      <c r="J48" s="378"/>
      <c r="K48" s="360">
        <v>3.7</v>
      </c>
      <c r="L48" s="425"/>
      <c r="M48" s="426"/>
      <c r="N48" s="368">
        <v>24.5</v>
      </c>
      <c r="O48" s="427">
        <v>0</v>
      </c>
      <c r="P48" s="428">
        <v>0</v>
      </c>
      <c r="Q48" s="377">
        <v>40</v>
      </c>
      <c r="R48" s="368">
        <v>40</v>
      </c>
      <c r="S48" s="420"/>
    </row>
    <row r="49" spans="1:19" x14ac:dyDescent="0.2">
      <c r="A49" s="108"/>
      <c r="B49" s="96" t="s">
        <v>118</v>
      </c>
      <c r="C49" s="421">
        <v>4.0000000000000001E-3</v>
      </c>
      <c r="D49" s="406">
        <v>0.32</v>
      </c>
      <c r="E49" s="403">
        <v>0.21</v>
      </c>
      <c r="F49" s="422">
        <v>0.15</v>
      </c>
      <c r="G49" s="384"/>
      <c r="H49" s="423"/>
      <c r="I49" s="424"/>
      <c r="J49" s="360">
        <v>0.1</v>
      </c>
      <c r="K49" s="360">
        <v>2.2999999999999998</v>
      </c>
      <c r="L49" s="425"/>
      <c r="M49" s="426"/>
      <c r="N49" s="368">
        <v>8.4</v>
      </c>
      <c r="O49" s="427">
        <v>0</v>
      </c>
      <c r="P49" s="428">
        <v>0</v>
      </c>
      <c r="Q49" s="377">
        <v>40</v>
      </c>
      <c r="R49" s="368">
        <v>40</v>
      </c>
      <c r="S49" s="420"/>
    </row>
    <row r="50" spans="1:19" x14ac:dyDescent="0.2">
      <c r="A50" s="108"/>
      <c r="B50" s="96" t="s">
        <v>120</v>
      </c>
      <c r="C50" s="421">
        <v>4.0000000000000001E-3</v>
      </c>
      <c r="D50" s="406">
        <v>0.3</v>
      </c>
      <c r="E50" s="403">
        <v>0.18</v>
      </c>
      <c r="F50" s="422">
        <v>0.15</v>
      </c>
      <c r="G50" s="384"/>
      <c r="H50" s="423"/>
      <c r="I50" s="424"/>
      <c r="J50" s="360">
        <v>0.1</v>
      </c>
      <c r="K50" s="360">
        <v>2.2999999999999998</v>
      </c>
      <c r="L50" s="425"/>
      <c r="M50" s="426"/>
      <c r="N50" s="368">
        <v>8.4</v>
      </c>
      <c r="O50" s="427">
        <v>0</v>
      </c>
      <c r="P50" s="428">
        <v>0</v>
      </c>
      <c r="Q50" s="377">
        <v>40</v>
      </c>
      <c r="R50" s="368">
        <v>40</v>
      </c>
      <c r="S50" s="420"/>
    </row>
    <row r="51" spans="1:19" x14ac:dyDescent="0.2">
      <c r="A51" s="87"/>
      <c r="B51" s="145" t="s">
        <v>122</v>
      </c>
      <c r="C51" s="421">
        <v>4.0000000000000001E-3</v>
      </c>
      <c r="D51" s="406">
        <v>0.52</v>
      </c>
      <c r="E51" s="403">
        <v>0.25</v>
      </c>
      <c r="F51" s="422">
        <v>0.28000000000000003</v>
      </c>
      <c r="G51" s="384"/>
      <c r="H51" s="423"/>
      <c r="I51" s="424"/>
      <c r="J51" s="378"/>
      <c r="K51" s="360">
        <v>1.8</v>
      </c>
      <c r="L51" s="429"/>
      <c r="M51" s="426"/>
      <c r="N51" s="368">
        <v>14.8</v>
      </c>
      <c r="O51" s="427">
        <v>0</v>
      </c>
      <c r="P51" s="428">
        <v>0</v>
      </c>
      <c r="Q51" s="377">
        <v>40</v>
      </c>
      <c r="R51" s="368">
        <v>40</v>
      </c>
      <c r="S51" s="320"/>
    </row>
    <row r="52" spans="1:19" x14ac:dyDescent="0.2">
      <c r="A52" s="87"/>
      <c r="B52" s="430" t="s">
        <v>124</v>
      </c>
      <c r="C52" s="421">
        <v>4.0000000000000001E-3</v>
      </c>
      <c r="D52" s="406">
        <v>0.48</v>
      </c>
      <c r="E52" s="403">
        <v>0.23</v>
      </c>
      <c r="F52" s="422">
        <v>0.28000000000000003</v>
      </c>
      <c r="G52" s="384"/>
      <c r="H52" s="423"/>
      <c r="I52" s="424"/>
      <c r="J52" s="378"/>
      <c r="K52" s="360">
        <v>1.8</v>
      </c>
      <c r="L52" s="429"/>
      <c r="M52" s="426"/>
      <c r="N52" s="368">
        <v>14.8</v>
      </c>
      <c r="O52" s="427">
        <v>0</v>
      </c>
      <c r="P52" s="428">
        <v>0</v>
      </c>
      <c r="Q52" s="377">
        <v>40</v>
      </c>
      <c r="R52" s="368">
        <v>40</v>
      </c>
      <c r="S52" s="320"/>
    </row>
    <row r="53" spans="1:19" x14ac:dyDescent="0.2">
      <c r="A53" s="87"/>
      <c r="B53" s="145" t="s">
        <v>126</v>
      </c>
      <c r="C53" s="421">
        <v>4.0000000000000001E-3</v>
      </c>
      <c r="D53" s="406">
        <v>2.42</v>
      </c>
      <c r="E53" s="403">
        <v>1.36</v>
      </c>
      <c r="F53" s="422">
        <v>1.17</v>
      </c>
      <c r="G53" s="384"/>
      <c r="H53" s="423"/>
      <c r="I53" s="424"/>
      <c r="J53" s="360">
        <v>0.3</v>
      </c>
      <c r="K53" s="360">
        <v>21.6</v>
      </c>
      <c r="L53" s="431"/>
      <c r="M53" s="426"/>
      <c r="N53" s="368">
        <v>54.6</v>
      </c>
      <c r="O53" s="427">
        <v>0</v>
      </c>
      <c r="P53" s="428">
        <v>0</v>
      </c>
      <c r="Q53" s="377">
        <v>40</v>
      </c>
      <c r="R53" s="368">
        <v>40</v>
      </c>
      <c r="S53" s="320"/>
    </row>
    <row r="54" spans="1:19" x14ac:dyDescent="0.2">
      <c r="A54" s="87"/>
      <c r="B54" s="145" t="s">
        <v>128</v>
      </c>
      <c r="C54" s="421">
        <v>4.0000000000000001E-3</v>
      </c>
      <c r="D54" s="406">
        <v>2.25</v>
      </c>
      <c r="E54" s="403">
        <v>1.06</v>
      </c>
      <c r="F54" s="422">
        <v>1.1100000000000001</v>
      </c>
      <c r="G54" s="384"/>
      <c r="H54" s="423"/>
      <c r="I54" s="424"/>
      <c r="J54" s="360">
        <v>0.3</v>
      </c>
      <c r="K54" s="360">
        <v>21.6</v>
      </c>
      <c r="L54" s="431"/>
      <c r="M54" s="426"/>
      <c r="N54" s="368">
        <v>54.6</v>
      </c>
      <c r="O54" s="427">
        <v>0</v>
      </c>
      <c r="P54" s="428">
        <v>0</v>
      </c>
      <c r="Q54" s="377">
        <v>40</v>
      </c>
      <c r="R54" s="368">
        <v>40</v>
      </c>
      <c r="S54" s="320"/>
    </row>
    <row r="55" spans="1:19" x14ac:dyDescent="0.2">
      <c r="A55" s="87"/>
      <c r="B55" s="145" t="s">
        <v>130</v>
      </c>
      <c r="C55" s="421">
        <v>4.0000000000000001E-3</v>
      </c>
      <c r="D55" s="406">
        <v>1.71</v>
      </c>
      <c r="E55" s="403">
        <v>0.93</v>
      </c>
      <c r="F55" s="422">
        <v>0.96</v>
      </c>
      <c r="G55" s="384"/>
      <c r="H55" s="423"/>
      <c r="I55" s="424"/>
      <c r="J55" s="378"/>
      <c r="K55" s="360">
        <v>17.399999999999999</v>
      </c>
      <c r="L55" s="431"/>
      <c r="M55" s="426"/>
      <c r="N55" s="368">
        <v>60.8</v>
      </c>
      <c r="O55" s="427">
        <v>0</v>
      </c>
      <c r="P55" s="428">
        <v>0</v>
      </c>
      <c r="Q55" s="377">
        <v>40</v>
      </c>
      <c r="R55" s="368">
        <v>40</v>
      </c>
      <c r="S55" s="320"/>
    </row>
    <row r="56" spans="1:19" x14ac:dyDescent="0.2">
      <c r="A56" s="87"/>
      <c r="B56" s="145" t="s">
        <v>132</v>
      </c>
      <c r="C56" s="421">
        <v>4.0000000000000001E-3</v>
      </c>
      <c r="D56" s="406">
        <v>1.62</v>
      </c>
      <c r="E56" s="403">
        <v>0.66</v>
      </c>
      <c r="F56" s="422">
        <v>0.92</v>
      </c>
      <c r="G56" s="384"/>
      <c r="H56" s="423"/>
      <c r="I56" s="424"/>
      <c r="J56" s="378"/>
      <c r="K56" s="360">
        <v>17.399999999999999</v>
      </c>
      <c r="L56" s="431"/>
      <c r="M56" s="426"/>
      <c r="N56" s="368">
        <v>60.8</v>
      </c>
      <c r="O56" s="427">
        <v>0</v>
      </c>
      <c r="P56" s="428">
        <v>0</v>
      </c>
      <c r="Q56" s="377">
        <v>40</v>
      </c>
      <c r="R56" s="368">
        <v>40</v>
      </c>
      <c r="S56" s="320"/>
    </row>
    <row r="57" spans="1:19" x14ac:dyDescent="0.2">
      <c r="A57" s="108"/>
      <c r="B57" s="96" t="s">
        <v>133</v>
      </c>
      <c r="C57" s="421">
        <v>4.0000000000000001E-3</v>
      </c>
      <c r="D57" s="406">
        <v>1.87</v>
      </c>
      <c r="E57" s="403">
        <v>0.57999999999999996</v>
      </c>
      <c r="F57" s="422">
        <v>1.79</v>
      </c>
      <c r="G57" s="384"/>
      <c r="H57" s="423"/>
      <c r="I57" s="424"/>
      <c r="J57" s="378"/>
      <c r="K57" s="360">
        <v>53.3</v>
      </c>
      <c r="L57" s="431"/>
      <c r="M57" s="426"/>
      <c r="N57" s="100">
        <v>105.3</v>
      </c>
      <c r="O57" s="427">
        <v>0</v>
      </c>
      <c r="P57" s="428">
        <v>0</v>
      </c>
      <c r="Q57" s="377">
        <v>40</v>
      </c>
      <c r="R57" s="368">
        <v>40</v>
      </c>
      <c r="S57" s="320"/>
    </row>
    <row r="58" spans="1:19" x14ac:dyDescent="0.2">
      <c r="A58" s="108"/>
      <c r="B58" s="145" t="s">
        <v>135</v>
      </c>
      <c r="C58" s="421">
        <v>4.0000000000000001E-3</v>
      </c>
      <c r="D58" s="406">
        <v>0.71</v>
      </c>
      <c r="E58" s="403">
        <v>0.4</v>
      </c>
      <c r="F58" s="422">
        <v>0.38</v>
      </c>
      <c r="G58" s="384"/>
      <c r="H58" s="423"/>
      <c r="I58" s="424"/>
      <c r="J58" s="378"/>
      <c r="K58" s="360">
        <v>6.4</v>
      </c>
      <c r="L58" s="432"/>
      <c r="M58" s="426"/>
      <c r="N58" s="368">
        <v>67.400000000000006</v>
      </c>
      <c r="O58" s="427">
        <v>0</v>
      </c>
      <c r="P58" s="428">
        <v>0</v>
      </c>
      <c r="Q58" s="377">
        <v>40</v>
      </c>
      <c r="R58" s="368">
        <v>40</v>
      </c>
      <c r="S58" s="74"/>
    </row>
    <row r="59" spans="1:19" x14ac:dyDescent="0.2">
      <c r="A59" s="108"/>
      <c r="B59" s="145" t="s">
        <v>137</v>
      </c>
      <c r="C59" s="421">
        <v>4.0000000000000001E-3</v>
      </c>
      <c r="D59" s="406">
        <v>0.63</v>
      </c>
      <c r="E59" s="403">
        <v>0.4</v>
      </c>
      <c r="F59" s="422">
        <v>0.31</v>
      </c>
      <c r="G59" s="384"/>
      <c r="H59" s="423"/>
      <c r="I59" s="424"/>
      <c r="J59" s="378"/>
      <c r="K59" s="360">
        <v>6</v>
      </c>
      <c r="L59" s="431"/>
      <c r="M59" s="426"/>
      <c r="N59" s="368">
        <v>50</v>
      </c>
      <c r="O59" s="427">
        <v>0</v>
      </c>
      <c r="P59" s="428">
        <v>0</v>
      </c>
      <c r="Q59" s="377">
        <v>40</v>
      </c>
      <c r="R59" s="368">
        <v>40</v>
      </c>
      <c r="S59" s="320"/>
    </row>
    <row r="60" spans="1:19" ht="13.5" thickBot="1" x14ac:dyDescent="0.25">
      <c r="A60" s="146"/>
      <c r="B60" s="96" t="s">
        <v>138</v>
      </c>
      <c r="C60" s="421">
        <v>3.0000000000000001E-3</v>
      </c>
      <c r="D60" s="406">
        <v>0.64</v>
      </c>
      <c r="E60" s="403">
        <v>0.28000000000000003</v>
      </c>
      <c r="F60" s="422">
        <v>0.21</v>
      </c>
      <c r="G60" s="384"/>
      <c r="H60" s="423"/>
      <c r="I60" s="424"/>
      <c r="J60" s="378"/>
      <c r="K60" s="360">
        <v>1</v>
      </c>
      <c r="L60" s="431"/>
      <c r="M60" s="433"/>
      <c r="N60" s="434">
        <v>9.4</v>
      </c>
      <c r="O60" s="427">
        <v>0</v>
      </c>
      <c r="P60" s="428">
        <v>0</v>
      </c>
      <c r="Q60" s="377">
        <v>40</v>
      </c>
      <c r="R60" s="368">
        <v>40</v>
      </c>
      <c r="S60" s="320"/>
    </row>
    <row r="61" spans="1:19" x14ac:dyDescent="0.2">
      <c r="A61" s="385" t="s">
        <v>357</v>
      </c>
      <c r="B61" s="386"/>
      <c r="C61" s="387"/>
      <c r="D61" s="435"/>
      <c r="E61" s="436"/>
      <c r="F61" s="437"/>
      <c r="G61" s="410"/>
      <c r="H61" s="389"/>
      <c r="I61" s="411"/>
      <c r="J61" s="412"/>
      <c r="K61" s="409" t="s">
        <v>358</v>
      </c>
      <c r="L61" s="438"/>
      <c r="M61" s="438" t="s">
        <v>358</v>
      </c>
      <c r="N61" s="439"/>
      <c r="O61" s="390"/>
      <c r="P61" s="409"/>
      <c r="Q61" s="440"/>
      <c r="R61" s="419"/>
      <c r="S61" s="320"/>
    </row>
    <row r="62" spans="1:19" x14ac:dyDescent="0.2">
      <c r="A62" s="108"/>
      <c r="B62" s="96" t="s">
        <v>139</v>
      </c>
      <c r="C62" s="360">
        <v>0.1</v>
      </c>
      <c r="D62" s="377">
        <v>5.9</v>
      </c>
      <c r="E62" s="362">
        <v>1.9</v>
      </c>
      <c r="F62" s="363">
        <v>6.5</v>
      </c>
      <c r="G62" s="384"/>
      <c r="H62" s="423"/>
      <c r="I62" s="424"/>
      <c r="J62" s="378"/>
      <c r="K62" s="360">
        <v>0.2</v>
      </c>
      <c r="L62" s="441"/>
      <c r="M62" s="426"/>
      <c r="N62" s="368">
        <v>0.4</v>
      </c>
      <c r="O62" s="442">
        <v>0</v>
      </c>
      <c r="P62" s="428">
        <v>0</v>
      </c>
      <c r="Q62" s="377">
        <v>45</v>
      </c>
      <c r="R62" s="368">
        <v>45</v>
      </c>
      <c r="S62" s="320"/>
    </row>
    <row r="63" spans="1:19" x14ac:dyDescent="0.2">
      <c r="A63" s="108"/>
      <c r="B63" s="96" t="s">
        <v>140</v>
      </c>
      <c r="C63" s="360">
        <v>0.1</v>
      </c>
      <c r="D63" s="377">
        <v>14.2</v>
      </c>
      <c r="E63" s="362">
        <v>4.3</v>
      </c>
      <c r="F63" s="363">
        <v>15.5</v>
      </c>
      <c r="G63" s="384"/>
      <c r="H63" s="423"/>
      <c r="I63" s="424"/>
      <c r="J63" s="378"/>
      <c r="K63" s="360">
        <v>0.4</v>
      </c>
      <c r="L63" s="431"/>
      <c r="M63" s="426"/>
      <c r="N63" s="368">
        <v>1.1000000000000001</v>
      </c>
      <c r="O63" s="442">
        <v>0</v>
      </c>
      <c r="P63" s="428">
        <v>0</v>
      </c>
      <c r="Q63" s="377">
        <v>45</v>
      </c>
      <c r="R63" s="368">
        <v>45</v>
      </c>
      <c r="S63" s="320"/>
    </row>
    <row r="64" spans="1:19" x14ac:dyDescent="0.2">
      <c r="A64" s="108"/>
      <c r="B64" s="145" t="s">
        <v>142</v>
      </c>
      <c r="C64" s="360">
        <v>0.1</v>
      </c>
      <c r="D64" s="400">
        <v>15.2</v>
      </c>
      <c r="E64" s="362">
        <v>5.7</v>
      </c>
      <c r="F64" s="363">
        <v>18</v>
      </c>
      <c r="G64" s="384"/>
      <c r="H64" s="423"/>
      <c r="I64" s="424"/>
      <c r="J64" s="378"/>
      <c r="K64" s="360">
        <v>0.6</v>
      </c>
      <c r="L64" s="431"/>
      <c r="M64" s="426"/>
      <c r="N64" s="100">
        <v>1</v>
      </c>
      <c r="O64" s="442">
        <v>0</v>
      </c>
      <c r="P64" s="428">
        <v>0</v>
      </c>
      <c r="Q64" s="377">
        <v>45</v>
      </c>
      <c r="R64" s="368">
        <v>45</v>
      </c>
      <c r="S64" s="320"/>
    </row>
    <row r="65" spans="1:19" x14ac:dyDescent="0.2">
      <c r="A65" s="108"/>
      <c r="B65" s="145" t="s">
        <v>144</v>
      </c>
      <c r="C65" s="360">
        <v>0.7</v>
      </c>
      <c r="D65" s="400">
        <v>33.4</v>
      </c>
      <c r="E65" s="362">
        <v>15.3</v>
      </c>
      <c r="F65" s="363">
        <v>51</v>
      </c>
      <c r="G65" s="384"/>
      <c r="H65" s="423"/>
      <c r="I65" s="424"/>
      <c r="J65" s="378"/>
      <c r="K65" s="360">
        <v>4</v>
      </c>
      <c r="L65" s="431"/>
      <c r="M65" s="426"/>
      <c r="N65" s="100">
        <v>6.8</v>
      </c>
      <c r="O65" s="442">
        <v>0</v>
      </c>
      <c r="P65" s="428">
        <v>0</v>
      </c>
      <c r="Q65" s="377">
        <v>45</v>
      </c>
      <c r="R65" s="368">
        <v>45</v>
      </c>
      <c r="S65" s="320"/>
    </row>
    <row r="66" spans="1:19" x14ac:dyDescent="0.2">
      <c r="A66" s="108"/>
      <c r="B66" s="145" t="s">
        <v>146</v>
      </c>
      <c r="C66" s="360">
        <v>0.7</v>
      </c>
      <c r="D66" s="400">
        <v>53.6</v>
      </c>
      <c r="E66" s="362">
        <v>23.4</v>
      </c>
      <c r="F66" s="363">
        <v>67</v>
      </c>
      <c r="G66" s="384"/>
      <c r="H66" s="423"/>
      <c r="I66" s="424"/>
      <c r="J66" s="378"/>
      <c r="K66" s="360">
        <v>6</v>
      </c>
      <c r="L66" s="431"/>
      <c r="M66" s="426"/>
      <c r="N66" s="100">
        <v>11.2</v>
      </c>
      <c r="O66" s="442">
        <v>0</v>
      </c>
      <c r="P66" s="428">
        <v>0</v>
      </c>
      <c r="Q66" s="377">
        <v>45</v>
      </c>
      <c r="R66" s="368">
        <v>45</v>
      </c>
      <c r="S66" s="320"/>
    </row>
    <row r="67" spans="1:19" x14ac:dyDescent="0.2">
      <c r="A67" s="108"/>
      <c r="B67" s="96" t="s">
        <v>148</v>
      </c>
      <c r="C67" s="421">
        <v>3.0000000000000001E-3</v>
      </c>
      <c r="D67" s="377">
        <v>9.6999999999999993</v>
      </c>
      <c r="E67" s="362">
        <v>5.4</v>
      </c>
      <c r="F67" s="363">
        <v>8.3000000000000007</v>
      </c>
      <c r="G67" s="384"/>
      <c r="H67" s="423"/>
      <c r="I67" s="424"/>
      <c r="J67" s="360">
        <v>0.6</v>
      </c>
      <c r="K67" s="360">
        <v>0.3</v>
      </c>
      <c r="L67" s="431"/>
      <c r="M67" s="426"/>
      <c r="N67" s="100">
        <v>0.8</v>
      </c>
      <c r="O67" s="442">
        <v>0</v>
      </c>
      <c r="P67" s="428">
        <v>0</v>
      </c>
      <c r="Q67" s="377">
        <v>45</v>
      </c>
      <c r="R67" s="368">
        <v>45</v>
      </c>
      <c r="S67" s="320"/>
    </row>
    <row r="68" spans="1:19" x14ac:dyDescent="0.2">
      <c r="A68" s="148"/>
      <c r="B68" s="96" t="s">
        <v>149</v>
      </c>
      <c r="C68" s="402">
        <v>0.15</v>
      </c>
      <c r="D68" s="377">
        <v>15.8</v>
      </c>
      <c r="E68" s="362">
        <v>4.5</v>
      </c>
      <c r="F68" s="363">
        <v>17.600000000000001</v>
      </c>
      <c r="G68" s="384"/>
      <c r="H68" s="423"/>
      <c r="I68" s="424"/>
      <c r="J68" s="378"/>
      <c r="K68" s="360"/>
      <c r="L68" s="431"/>
      <c r="M68" s="426"/>
      <c r="N68" s="100"/>
      <c r="O68" s="442">
        <v>0</v>
      </c>
      <c r="P68" s="428">
        <v>0</v>
      </c>
      <c r="Q68" s="377">
        <v>45</v>
      </c>
      <c r="R68" s="368">
        <v>45</v>
      </c>
      <c r="S68" s="320"/>
    </row>
    <row r="69" spans="1:19" x14ac:dyDescent="0.2">
      <c r="A69" s="148"/>
      <c r="B69" s="96" t="s">
        <v>150</v>
      </c>
      <c r="C69" s="402">
        <v>0.05</v>
      </c>
      <c r="D69" s="377">
        <v>5.8</v>
      </c>
      <c r="E69" s="362">
        <v>1.7</v>
      </c>
      <c r="F69" s="363">
        <v>6.4</v>
      </c>
      <c r="G69" s="384"/>
      <c r="H69" s="423"/>
      <c r="I69" s="443"/>
      <c r="J69" s="378"/>
      <c r="K69" s="360"/>
      <c r="L69" s="431"/>
      <c r="M69" s="426"/>
      <c r="N69" s="100"/>
      <c r="O69" s="427"/>
      <c r="P69" s="428"/>
      <c r="Q69" s="377">
        <v>45</v>
      </c>
      <c r="R69" s="368">
        <v>45</v>
      </c>
      <c r="S69" s="320"/>
    </row>
    <row r="70" spans="1:19" x14ac:dyDescent="0.2">
      <c r="A70" s="146"/>
      <c r="B70" s="96" t="s">
        <v>151</v>
      </c>
      <c r="C70" s="360">
        <v>0.3</v>
      </c>
      <c r="D70" s="377">
        <v>22.7</v>
      </c>
      <c r="E70" s="362">
        <v>7.2</v>
      </c>
      <c r="F70" s="363">
        <v>27</v>
      </c>
      <c r="G70" s="384"/>
      <c r="H70" s="423"/>
      <c r="I70" s="424"/>
      <c r="J70" s="378"/>
      <c r="K70" s="360"/>
      <c r="L70" s="431"/>
      <c r="M70" s="426"/>
      <c r="N70" s="100"/>
      <c r="O70" s="442">
        <v>0</v>
      </c>
      <c r="P70" s="428">
        <v>0</v>
      </c>
      <c r="Q70" s="377">
        <v>45</v>
      </c>
      <c r="R70" s="368">
        <v>45</v>
      </c>
      <c r="S70" s="320"/>
    </row>
    <row r="71" spans="1:19" x14ac:dyDescent="0.2">
      <c r="A71" s="146"/>
      <c r="B71" s="96" t="s">
        <v>152</v>
      </c>
      <c r="C71" s="402">
        <v>0.1</v>
      </c>
      <c r="D71" s="377">
        <v>8.3000000000000007</v>
      </c>
      <c r="E71" s="362">
        <v>2.7</v>
      </c>
      <c r="F71" s="363">
        <v>9.9</v>
      </c>
      <c r="G71" s="384"/>
      <c r="H71" s="423"/>
      <c r="I71" s="443"/>
      <c r="J71" s="378"/>
      <c r="K71" s="360"/>
      <c r="L71" s="431"/>
      <c r="M71" s="426"/>
      <c r="N71" s="100"/>
      <c r="O71" s="427"/>
      <c r="P71" s="428"/>
      <c r="Q71" s="377">
        <v>45</v>
      </c>
      <c r="R71" s="368">
        <v>45</v>
      </c>
      <c r="S71" s="320"/>
    </row>
    <row r="72" spans="1:19" ht="13.5" thickBot="1" x14ac:dyDescent="0.25">
      <c r="A72" s="155"/>
      <c r="B72" s="89" t="s">
        <v>153</v>
      </c>
      <c r="C72" s="338">
        <v>0.3</v>
      </c>
      <c r="D72" s="444">
        <v>22.7</v>
      </c>
      <c r="E72" s="445">
        <v>7.2</v>
      </c>
      <c r="F72" s="446">
        <v>27</v>
      </c>
      <c r="G72" s="447"/>
      <c r="H72" s="448"/>
      <c r="I72" s="449"/>
      <c r="J72" s="450"/>
      <c r="K72" s="338">
        <v>2</v>
      </c>
      <c r="L72" s="451"/>
      <c r="M72" s="452"/>
      <c r="N72" s="453">
        <v>3.4</v>
      </c>
      <c r="O72" s="454">
        <v>0</v>
      </c>
      <c r="P72" s="455">
        <v>0</v>
      </c>
      <c r="Q72" s="444">
        <v>45</v>
      </c>
      <c r="R72" s="453">
        <v>45</v>
      </c>
      <c r="S72" s="320"/>
    </row>
  </sheetData>
  <customSheetViews>
    <customSheetView guid="{DDA6E6AA-9473-49A0-A3A2-76E4959B79AF}" state="hidden">
      <selection activeCell="B6" sqref="B6"/>
      <pageMargins left="0.7" right="0.7" top="0.78740157499999996" bottom="0.78740157499999996" header="0.3" footer="0.3"/>
    </customSheetView>
  </customSheetViews>
  <mergeCells count="7">
    <mergeCell ref="L7:N7"/>
    <mergeCell ref="G5:J5"/>
    <mergeCell ref="L5:N5"/>
    <mergeCell ref="Q5:R5"/>
    <mergeCell ref="G6:J6"/>
    <mergeCell ref="L6:N6"/>
    <mergeCell ref="Q6:R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T111"/>
  <sheetViews>
    <sheetView workbookViewId="0">
      <selection activeCell="P14" sqref="P14"/>
    </sheetView>
  </sheetViews>
  <sheetFormatPr baseColWidth="10" defaultRowHeight="12.75" x14ac:dyDescent="0.2"/>
  <cols>
    <col min="1" max="1" width="3.7109375" style="270" customWidth="1"/>
    <col min="2" max="2" width="37.140625" style="270" customWidth="1"/>
    <col min="3" max="3" width="7.140625" style="263" customWidth="1"/>
    <col min="4" max="4" width="6.7109375" style="263" customWidth="1"/>
    <col min="5" max="5" width="3" style="263" customWidth="1"/>
    <col min="6" max="6" width="4.85546875" style="273" customWidth="1"/>
    <col min="7" max="7" width="6.7109375" style="270" customWidth="1"/>
    <col min="8" max="8" width="11.42578125" style="317"/>
    <col min="9" max="9" width="11.42578125" style="270"/>
    <col min="10" max="11" width="11.42578125" style="263"/>
    <col min="12" max="12" width="11.42578125" style="270"/>
    <col min="13" max="18" width="11.42578125" style="263"/>
    <col min="19" max="20" width="11.42578125" style="271"/>
  </cols>
  <sheetData>
    <row r="1" spans="1:9" x14ac:dyDescent="0.2">
      <c r="A1" s="262" t="s">
        <v>284</v>
      </c>
      <c r="B1" s="262"/>
      <c r="D1" s="264"/>
      <c r="E1" s="265"/>
      <c r="F1" s="266"/>
      <c r="G1" s="267"/>
      <c r="H1" s="268"/>
      <c r="I1" s="269" t="s">
        <v>285</v>
      </c>
    </row>
    <row r="2" spans="1:9" x14ac:dyDescent="0.2">
      <c r="A2" s="272" t="s">
        <v>286</v>
      </c>
      <c r="H2" s="268"/>
    </row>
    <row r="3" spans="1:9" x14ac:dyDescent="0.2">
      <c r="A3" s="270" t="s">
        <v>287</v>
      </c>
      <c r="C3" s="274"/>
      <c r="D3" s="274"/>
      <c r="H3" s="275"/>
    </row>
    <row r="4" spans="1:9" ht="13.5" thickBot="1" x14ac:dyDescent="0.25">
      <c r="A4" s="276" t="s">
        <v>288</v>
      </c>
      <c r="B4" s="274"/>
      <c r="H4" s="271"/>
    </row>
    <row r="5" spans="1:9" x14ac:dyDescent="0.2">
      <c r="A5" s="277"/>
      <c r="B5" s="278"/>
      <c r="C5" s="279"/>
      <c r="D5" s="279"/>
      <c r="E5" s="1553" t="s">
        <v>289</v>
      </c>
      <c r="F5" s="280" t="s">
        <v>290</v>
      </c>
      <c r="G5" s="281"/>
      <c r="H5" s="271"/>
    </row>
    <row r="6" spans="1:9" x14ac:dyDescent="0.2">
      <c r="A6" s="1556" t="s">
        <v>291</v>
      </c>
      <c r="B6" s="1557"/>
      <c r="C6" s="282" t="s">
        <v>292</v>
      </c>
      <c r="D6" s="282" t="s">
        <v>293</v>
      </c>
      <c r="E6" s="1554"/>
      <c r="F6" s="283" t="s">
        <v>294</v>
      </c>
      <c r="G6" s="284"/>
      <c r="H6" s="271"/>
    </row>
    <row r="7" spans="1:9" ht="15" thickBot="1" x14ac:dyDescent="0.3">
      <c r="A7" s="285"/>
      <c r="B7" s="286"/>
      <c r="C7" s="287"/>
      <c r="D7" s="287"/>
      <c r="E7" s="1555"/>
      <c r="F7" s="288" t="s">
        <v>2</v>
      </c>
      <c r="G7" s="289" t="s">
        <v>295</v>
      </c>
      <c r="H7" s="271" t="s">
        <v>6</v>
      </c>
      <c r="I7" s="263" t="s">
        <v>7</v>
      </c>
    </row>
    <row r="8" spans="1:9" x14ac:dyDescent="0.2">
      <c r="A8" s="277" t="s">
        <v>296</v>
      </c>
      <c r="B8" s="290"/>
      <c r="C8" s="291"/>
      <c r="D8" s="291"/>
      <c r="E8" s="292"/>
      <c r="F8" s="293"/>
      <c r="G8" s="294"/>
      <c r="H8" s="271"/>
    </row>
    <row r="9" spans="1:9" ht="14.25" x14ac:dyDescent="0.2">
      <c r="A9" s="295">
        <v>11</v>
      </c>
      <c r="B9" s="296" t="s">
        <v>297</v>
      </c>
      <c r="C9" s="297">
        <v>1</v>
      </c>
      <c r="D9" s="297">
        <v>1</v>
      </c>
      <c r="E9" s="298" t="s">
        <v>298</v>
      </c>
      <c r="F9" s="299">
        <v>6</v>
      </c>
      <c r="G9" s="300">
        <v>3.3</v>
      </c>
      <c r="H9" s="495">
        <v>5</v>
      </c>
      <c r="I9" s="496">
        <v>6</v>
      </c>
    </row>
    <row r="10" spans="1:9" ht="14.25" x14ac:dyDescent="0.2">
      <c r="A10" s="295">
        <v>12</v>
      </c>
      <c r="B10" s="301" t="s">
        <v>299</v>
      </c>
      <c r="C10" s="297">
        <v>1</v>
      </c>
      <c r="D10" s="297">
        <v>1</v>
      </c>
      <c r="E10" s="298" t="s">
        <v>298</v>
      </c>
      <c r="F10" s="302">
        <v>7.5</v>
      </c>
      <c r="G10" s="300">
        <v>4.2</v>
      </c>
      <c r="H10" s="497">
        <v>5</v>
      </c>
      <c r="I10" s="496">
        <v>8</v>
      </c>
    </row>
    <row r="11" spans="1:9" ht="14.25" x14ac:dyDescent="0.2">
      <c r="A11" s="295">
        <v>14</v>
      </c>
      <c r="B11" s="296" t="s">
        <v>300</v>
      </c>
      <c r="C11" s="297">
        <v>1</v>
      </c>
      <c r="D11" s="297">
        <v>1</v>
      </c>
      <c r="E11" s="298" t="s">
        <v>298</v>
      </c>
      <c r="F11" s="302">
        <v>6</v>
      </c>
      <c r="G11" s="300">
        <v>3.1</v>
      </c>
      <c r="H11" s="497">
        <v>5</v>
      </c>
      <c r="I11" s="496">
        <v>5</v>
      </c>
    </row>
    <row r="12" spans="1:9" ht="14.25" x14ac:dyDescent="0.2">
      <c r="A12" s="295">
        <v>15</v>
      </c>
      <c r="B12" s="303" t="s">
        <v>301</v>
      </c>
      <c r="C12" s="297">
        <v>1</v>
      </c>
      <c r="D12" s="297">
        <v>1</v>
      </c>
      <c r="E12" s="298" t="s">
        <v>298</v>
      </c>
      <c r="F12" s="299">
        <v>7.5</v>
      </c>
      <c r="G12" s="300">
        <v>3.9</v>
      </c>
      <c r="H12" s="497">
        <v>5</v>
      </c>
      <c r="I12" s="496">
        <v>5</v>
      </c>
    </row>
    <row r="13" spans="1:9" ht="14.25" x14ac:dyDescent="0.2">
      <c r="A13" s="295">
        <v>16</v>
      </c>
      <c r="B13" s="303" t="s">
        <v>302</v>
      </c>
      <c r="C13" s="297">
        <v>1</v>
      </c>
      <c r="D13" s="297">
        <v>1</v>
      </c>
      <c r="E13" s="298" t="s">
        <v>298</v>
      </c>
      <c r="F13" s="299">
        <v>7.5</v>
      </c>
      <c r="G13" s="300">
        <v>4.0999999999999996</v>
      </c>
      <c r="H13" s="497">
        <v>5</v>
      </c>
      <c r="I13" s="496">
        <v>5</v>
      </c>
    </row>
    <row r="14" spans="1:9" ht="25.5" x14ac:dyDescent="0.2">
      <c r="A14" s="295">
        <v>17</v>
      </c>
      <c r="B14" s="303" t="s">
        <v>303</v>
      </c>
      <c r="C14" s="297">
        <v>1</v>
      </c>
      <c r="D14" s="297">
        <v>2</v>
      </c>
      <c r="E14" s="298" t="s">
        <v>60</v>
      </c>
      <c r="F14" s="299">
        <v>18.5</v>
      </c>
      <c r="G14" s="300">
        <v>4.2</v>
      </c>
      <c r="H14" s="497">
        <v>5</v>
      </c>
      <c r="I14" s="496">
        <v>5</v>
      </c>
    </row>
    <row r="15" spans="1:9" x14ac:dyDescent="0.2">
      <c r="A15" s="295">
        <v>18</v>
      </c>
      <c r="B15" s="303" t="s">
        <v>304</v>
      </c>
      <c r="C15" s="297">
        <v>1</v>
      </c>
      <c r="D15" s="297">
        <v>2</v>
      </c>
      <c r="E15" s="298" t="s">
        <v>60</v>
      </c>
      <c r="F15" s="299">
        <v>23.1</v>
      </c>
      <c r="G15" s="300">
        <v>4.2</v>
      </c>
      <c r="H15" s="497">
        <v>5</v>
      </c>
      <c r="I15" s="496">
        <v>5</v>
      </c>
    </row>
    <row r="16" spans="1:9" ht="14.25" x14ac:dyDescent="0.2">
      <c r="A16" s="295">
        <v>19</v>
      </c>
      <c r="B16" s="303" t="s">
        <v>305</v>
      </c>
      <c r="C16" s="297">
        <v>1</v>
      </c>
      <c r="D16" s="297">
        <v>1</v>
      </c>
      <c r="E16" s="298" t="s">
        <v>298</v>
      </c>
      <c r="F16" s="304">
        <v>1.8</v>
      </c>
      <c r="G16" s="300">
        <v>3.2</v>
      </c>
      <c r="H16" s="497">
        <v>5</v>
      </c>
      <c r="I16" s="496">
        <v>5</v>
      </c>
    </row>
    <row r="17" spans="1:9" x14ac:dyDescent="0.2">
      <c r="A17" s="305" t="s">
        <v>306</v>
      </c>
      <c r="B17" s="306"/>
      <c r="C17" s="307"/>
      <c r="D17" s="307"/>
      <c r="E17" s="308"/>
      <c r="F17" s="309"/>
      <c r="G17" s="310"/>
      <c r="H17" s="497"/>
      <c r="I17" s="496"/>
    </row>
    <row r="18" spans="1:9" ht="25.5" x14ac:dyDescent="0.2">
      <c r="A18" s="295">
        <v>21</v>
      </c>
      <c r="B18" s="311" t="s">
        <v>307</v>
      </c>
      <c r="C18" s="312">
        <v>2</v>
      </c>
      <c r="D18" s="312">
        <v>1</v>
      </c>
      <c r="E18" s="298" t="s">
        <v>298</v>
      </c>
      <c r="F18" s="299">
        <v>5</v>
      </c>
      <c r="G18" s="300">
        <v>4.2</v>
      </c>
      <c r="H18" s="497">
        <v>5</v>
      </c>
      <c r="I18" s="496">
        <v>5</v>
      </c>
    </row>
    <row r="19" spans="1:9" ht="25.5" x14ac:dyDescent="0.2">
      <c r="A19" s="295">
        <v>22</v>
      </c>
      <c r="B19" s="311" t="s">
        <v>308</v>
      </c>
      <c r="C19" s="312">
        <v>2</v>
      </c>
      <c r="D19" s="312">
        <v>1</v>
      </c>
      <c r="E19" s="298" t="s">
        <v>298</v>
      </c>
      <c r="F19" s="299">
        <v>5</v>
      </c>
      <c r="G19" s="300">
        <v>4</v>
      </c>
      <c r="H19" s="497">
        <v>5</v>
      </c>
      <c r="I19" s="496">
        <v>5</v>
      </c>
    </row>
    <row r="20" spans="1:9" ht="25.5" x14ac:dyDescent="0.2">
      <c r="A20" s="295">
        <v>24</v>
      </c>
      <c r="B20" s="311" t="s">
        <v>309</v>
      </c>
      <c r="C20" s="312">
        <v>2</v>
      </c>
      <c r="D20" s="312">
        <v>1</v>
      </c>
      <c r="E20" s="298" t="s">
        <v>298</v>
      </c>
      <c r="F20" s="299">
        <v>5</v>
      </c>
      <c r="G20" s="300">
        <v>4</v>
      </c>
      <c r="H20" s="497">
        <v>5</v>
      </c>
      <c r="I20" s="496">
        <v>5</v>
      </c>
    </row>
    <row r="21" spans="1:9" ht="25.5" x14ac:dyDescent="0.2">
      <c r="A21" s="295">
        <v>25</v>
      </c>
      <c r="B21" s="311" t="s">
        <v>310</v>
      </c>
      <c r="C21" s="312">
        <v>2</v>
      </c>
      <c r="D21" s="312">
        <v>1</v>
      </c>
      <c r="E21" s="298" t="s">
        <v>298</v>
      </c>
      <c r="F21" s="299">
        <v>5</v>
      </c>
      <c r="G21" s="300">
        <v>3.9</v>
      </c>
      <c r="H21" s="497">
        <v>5</v>
      </c>
      <c r="I21" s="496">
        <v>5</v>
      </c>
    </row>
    <row r="22" spans="1:9" x14ac:dyDescent="0.2">
      <c r="A22" s="295">
        <v>27</v>
      </c>
      <c r="B22" s="303" t="s">
        <v>311</v>
      </c>
      <c r="C22" s="297">
        <v>2</v>
      </c>
      <c r="D22" s="297">
        <v>2</v>
      </c>
      <c r="E22" s="298" t="s">
        <v>60</v>
      </c>
      <c r="F22" s="299">
        <v>21.1</v>
      </c>
      <c r="G22" s="300">
        <v>6.4</v>
      </c>
      <c r="H22" s="497">
        <v>5</v>
      </c>
      <c r="I22" s="496">
        <v>5</v>
      </c>
    </row>
    <row r="23" spans="1:9" ht="14.25" x14ac:dyDescent="0.2">
      <c r="A23" s="295">
        <v>28</v>
      </c>
      <c r="B23" s="303" t="s">
        <v>312</v>
      </c>
      <c r="C23" s="297">
        <v>2</v>
      </c>
      <c r="D23" s="297">
        <v>1</v>
      </c>
      <c r="E23" s="298" t="s">
        <v>298</v>
      </c>
      <c r="F23" s="304">
        <v>1.8</v>
      </c>
      <c r="G23" s="300">
        <v>3.3</v>
      </c>
      <c r="H23" s="497">
        <v>5</v>
      </c>
      <c r="I23" s="496">
        <v>5</v>
      </c>
    </row>
    <row r="24" spans="1:9" x14ac:dyDescent="0.2">
      <c r="A24" s="313" t="s">
        <v>155</v>
      </c>
      <c r="B24" s="314"/>
      <c r="C24" s="315"/>
      <c r="D24" s="315"/>
      <c r="E24" s="308"/>
      <c r="F24" s="309"/>
      <c r="G24" s="310"/>
      <c r="H24" s="497"/>
      <c r="I24" s="496"/>
    </row>
    <row r="25" spans="1:9" x14ac:dyDescent="0.2">
      <c r="A25" s="295">
        <v>31</v>
      </c>
      <c r="B25" s="301" t="s">
        <v>313</v>
      </c>
      <c r="C25" s="297">
        <v>3</v>
      </c>
      <c r="D25" s="297">
        <v>2</v>
      </c>
      <c r="E25" s="298" t="s">
        <v>60</v>
      </c>
      <c r="F25" s="299">
        <v>50</v>
      </c>
      <c r="G25" s="300">
        <v>21.1</v>
      </c>
      <c r="H25" s="497">
        <v>5</v>
      </c>
      <c r="I25" s="496">
        <v>5</v>
      </c>
    </row>
    <row r="26" spans="1:9" x14ac:dyDescent="0.2">
      <c r="A26" s="295">
        <v>32</v>
      </c>
      <c r="B26" s="301" t="s">
        <v>314</v>
      </c>
      <c r="C26" s="297">
        <v>3</v>
      </c>
      <c r="D26" s="297">
        <v>2</v>
      </c>
      <c r="E26" s="298" t="s">
        <v>60</v>
      </c>
      <c r="F26" s="299">
        <v>50</v>
      </c>
      <c r="G26" s="300">
        <v>22</v>
      </c>
      <c r="H26" s="497">
        <v>5</v>
      </c>
      <c r="I26" s="496">
        <v>5</v>
      </c>
    </row>
    <row r="27" spans="1:9" x14ac:dyDescent="0.2">
      <c r="A27" s="295">
        <v>33</v>
      </c>
      <c r="B27" s="301" t="s">
        <v>315</v>
      </c>
      <c r="C27" s="297">
        <v>3</v>
      </c>
      <c r="D27" s="297">
        <v>2</v>
      </c>
      <c r="E27" s="298" t="s">
        <v>60</v>
      </c>
      <c r="F27" s="299">
        <v>50</v>
      </c>
      <c r="G27" s="300">
        <v>22.1</v>
      </c>
      <c r="H27" s="497">
        <v>5</v>
      </c>
      <c r="I27" s="496">
        <v>5</v>
      </c>
    </row>
    <row r="28" spans="1:9" x14ac:dyDescent="0.2">
      <c r="A28" s="295">
        <v>34</v>
      </c>
      <c r="B28" s="301" t="s">
        <v>316</v>
      </c>
      <c r="C28" s="312">
        <v>3</v>
      </c>
      <c r="D28" s="312">
        <v>2</v>
      </c>
      <c r="E28" s="298" t="s">
        <v>60</v>
      </c>
      <c r="F28" s="299">
        <v>60</v>
      </c>
      <c r="G28" s="300">
        <v>21.3</v>
      </c>
      <c r="H28" s="497">
        <v>5</v>
      </c>
      <c r="I28" s="496">
        <v>5</v>
      </c>
    </row>
    <row r="29" spans="1:9" x14ac:dyDescent="0.2">
      <c r="A29" s="295">
        <v>35</v>
      </c>
      <c r="B29" s="303" t="s">
        <v>317</v>
      </c>
      <c r="C29" s="312">
        <v>3</v>
      </c>
      <c r="D29" s="312">
        <v>2</v>
      </c>
      <c r="E29" s="298" t="s">
        <v>60</v>
      </c>
      <c r="F29" s="299">
        <v>30</v>
      </c>
      <c r="G29" s="300">
        <v>6.5</v>
      </c>
      <c r="H29" s="497">
        <v>5</v>
      </c>
      <c r="I29" s="496">
        <v>5</v>
      </c>
    </row>
    <row r="30" spans="1:9" x14ac:dyDescent="0.2">
      <c r="A30" s="295">
        <v>36</v>
      </c>
      <c r="B30" s="303" t="s">
        <v>318</v>
      </c>
      <c r="C30" s="312">
        <v>3</v>
      </c>
      <c r="D30" s="312">
        <v>2</v>
      </c>
      <c r="E30" s="298" t="s">
        <v>60</v>
      </c>
      <c r="F30" s="299">
        <v>30</v>
      </c>
      <c r="G30" s="300">
        <v>7.8</v>
      </c>
      <c r="H30" s="497">
        <v>5</v>
      </c>
      <c r="I30" s="496">
        <v>5</v>
      </c>
    </row>
    <row r="31" spans="1:9" x14ac:dyDescent="0.2">
      <c r="A31" s="305" t="s">
        <v>319</v>
      </c>
      <c r="B31" s="306"/>
      <c r="C31" s="307"/>
      <c r="D31" s="307"/>
      <c r="E31" s="308"/>
      <c r="F31" s="309"/>
      <c r="G31" s="310"/>
      <c r="H31" s="497"/>
      <c r="I31" s="496"/>
    </row>
    <row r="32" spans="1:9" x14ac:dyDescent="0.2">
      <c r="A32" s="295">
        <v>41</v>
      </c>
      <c r="B32" s="301" t="s">
        <v>320</v>
      </c>
      <c r="C32" s="297">
        <v>4</v>
      </c>
      <c r="D32" s="297">
        <v>2</v>
      </c>
      <c r="E32" s="298" t="s">
        <v>60</v>
      </c>
      <c r="F32" s="299">
        <v>30</v>
      </c>
      <c r="G32" s="300">
        <v>3.6</v>
      </c>
      <c r="H32" s="497">
        <v>5</v>
      </c>
      <c r="I32" s="496">
        <v>5</v>
      </c>
    </row>
    <row r="33" spans="1:9" x14ac:dyDescent="0.2">
      <c r="A33" s="295">
        <v>42</v>
      </c>
      <c r="B33" s="301" t="s">
        <v>321</v>
      </c>
      <c r="C33" s="297">
        <v>4</v>
      </c>
      <c r="D33" s="297">
        <v>2</v>
      </c>
      <c r="E33" s="298" t="s">
        <v>60</v>
      </c>
      <c r="F33" s="299">
        <v>30</v>
      </c>
      <c r="G33" s="300">
        <v>5.5</v>
      </c>
      <c r="H33" s="497">
        <v>5</v>
      </c>
      <c r="I33" s="496">
        <v>5</v>
      </c>
    </row>
    <row r="34" spans="1:9" x14ac:dyDescent="0.2">
      <c r="A34" s="295">
        <v>43</v>
      </c>
      <c r="B34" s="301" t="s">
        <v>322</v>
      </c>
      <c r="C34" s="297">
        <v>4</v>
      </c>
      <c r="D34" s="297">
        <v>2</v>
      </c>
      <c r="E34" s="297" t="s">
        <v>60</v>
      </c>
      <c r="F34" s="302">
        <v>30</v>
      </c>
      <c r="G34" s="300">
        <v>7.4</v>
      </c>
      <c r="H34" s="497">
        <v>5</v>
      </c>
      <c r="I34" s="496">
        <v>5</v>
      </c>
    </row>
    <row r="35" spans="1:9" x14ac:dyDescent="0.2">
      <c r="H35" s="316"/>
    </row>
    <row r="36" spans="1:9" x14ac:dyDescent="0.2">
      <c r="H36" s="316"/>
    </row>
    <row r="37" spans="1:9" x14ac:dyDescent="0.2">
      <c r="H37" s="316"/>
    </row>
    <row r="38" spans="1:9" x14ac:dyDescent="0.2">
      <c r="H38" s="316"/>
    </row>
    <row r="39" spans="1:9" x14ac:dyDescent="0.2">
      <c r="H39" s="316"/>
    </row>
    <row r="40" spans="1:9" x14ac:dyDescent="0.2">
      <c r="H40" s="316"/>
    </row>
    <row r="41" spans="1:9" x14ac:dyDescent="0.2">
      <c r="H41" s="316"/>
    </row>
    <row r="42" spans="1:9" x14ac:dyDescent="0.2">
      <c r="H42" s="316"/>
    </row>
    <row r="43" spans="1:9" x14ac:dyDescent="0.2">
      <c r="H43" s="316"/>
    </row>
    <row r="44" spans="1:9" x14ac:dyDescent="0.2">
      <c r="H44" s="316"/>
    </row>
    <row r="45" spans="1:9" x14ac:dyDescent="0.2">
      <c r="H45" s="316"/>
    </row>
    <row r="46" spans="1:9" x14ac:dyDescent="0.2">
      <c r="H46" s="316"/>
    </row>
    <row r="47" spans="1:9" x14ac:dyDescent="0.2">
      <c r="H47" s="316"/>
    </row>
    <row r="48" spans="1:9" x14ac:dyDescent="0.2">
      <c r="H48" s="316"/>
    </row>
    <row r="49" spans="8:8" x14ac:dyDescent="0.2">
      <c r="H49" s="316"/>
    </row>
    <row r="50" spans="8:8" x14ac:dyDescent="0.2">
      <c r="H50" s="316"/>
    </row>
    <row r="51" spans="8:8" x14ac:dyDescent="0.2">
      <c r="H51" s="316"/>
    </row>
    <row r="52" spans="8:8" x14ac:dyDescent="0.2">
      <c r="H52" s="316"/>
    </row>
    <row r="53" spans="8:8" x14ac:dyDescent="0.2">
      <c r="H53" s="316"/>
    </row>
    <row r="54" spans="8:8" x14ac:dyDescent="0.2">
      <c r="H54" s="316"/>
    </row>
    <row r="55" spans="8:8" x14ac:dyDescent="0.2">
      <c r="H55" s="316"/>
    </row>
    <row r="56" spans="8:8" x14ac:dyDescent="0.2">
      <c r="H56" s="316"/>
    </row>
    <row r="57" spans="8:8" x14ac:dyDescent="0.2">
      <c r="H57" s="316"/>
    </row>
    <row r="58" spans="8:8" x14ac:dyDescent="0.2">
      <c r="H58" s="316"/>
    </row>
    <row r="59" spans="8:8" x14ac:dyDescent="0.2">
      <c r="H59" s="316"/>
    </row>
    <row r="60" spans="8:8" x14ac:dyDescent="0.2">
      <c r="H60" s="316"/>
    </row>
    <row r="61" spans="8:8" x14ac:dyDescent="0.2">
      <c r="H61" s="316"/>
    </row>
    <row r="62" spans="8:8" x14ac:dyDescent="0.2">
      <c r="H62" s="316"/>
    </row>
    <row r="63" spans="8:8" x14ac:dyDescent="0.2">
      <c r="H63" s="316"/>
    </row>
    <row r="64" spans="8:8" x14ac:dyDescent="0.2">
      <c r="H64" s="316"/>
    </row>
    <row r="65" spans="8:8" x14ac:dyDescent="0.2">
      <c r="H65" s="316"/>
    </row>
    <row r="66" spans="8:8" x14ac:dyDescent="0.2">
      <c r="H66" s="316"/>
    </row>
    <row r="67" spans="8:8" x14ac:dyDescent="0.2">
      <c r="H67" s="316"/>
    </row>
    <row r="68" spans="8:8" x14ac:dyDescent="0.2">
      <c r="H68" s="316"/>
    </row>
    <row r="69" spans="8:8" x14ac:dyDescent="0.2">
      <c r="H69" s="316"/>
    </row>
    <row r="70" spans="8:8" x14ac:dyDescent="0.2">
      <c r="H70" s="316"/>
    </row>
    <row r="71" spans="8:8" x14ac:dyDescent="0.2">
      <c r="H71" s="268"/>
    </row>
    <row r="72" spans="8:8" x14ac:dyDescent="0.2">
      <c r="H72" s="316"/>
    </row>
    <row r="73" spans="8:8" x14ac:dyDescent="0.2">
      <c r="H73" s="316"/>
    </row>
    <row r="74" spans="8:8" x14ac:dyDescent="0.2">
      <c r="H74" s="316"/>
    </row>
    <row r="75" spans="8:8" x14ac:dyDescent="0.2">
      <c r="H75" s="316"/>
    </row>
    <row r="76" spans="8:8" x14ac:dyDescent="0.2">
      <c r="H76" s="316"/>
    </row>
    <row r="77" spans="8:8" x14ac:dyDescent="0.2">
      <c r="H77" s="316"/>
    </row>
    <row r="78" spans="8:8" x14ac:dyDescent="0.2">
      <c r="H78" s="316"/>
    </row>
    <row r="79" spans="8:8" x14ac:dyDescent="0.2">
      <c r="H79" s="316"/>
    </row>
    <row r="80" spans="8:8" x14ac:dyDescent="0.2">
      <c r="H80" s="316"/>
    </row>
    <row r="81" spans="8:8" x14ac:dyDescent="0.2">
      <c r="H81" s="268"/>
    </row>
    <row r="82" spans="8:8" x14ac:dyDescent="0.2">
      <c r="H82" s="316"/>
    </row>
    <row r="83" spans="8:8" x14ac:dyDescent="0.2">
      <c r="H83" s="316"/>
    </row>
    <row r="84" spans="8:8" x14ac:dyDescent="0.2">
      <c r="H84" s="316"/>
    </row>
    <row r="85" spans="8:8" x14ac:dyDescent="0.2">
      <c r="H85" s="316"/>
    </row>
    <row r="86" spans="8:8" x14ac:dyDescent="0.2">
      <c r="H86" s="316"/>
    </row>
    <row r="87" spans="8:8" x14ac:dyDescent="0.2">
      <c r="H87" s="316"/>
    </row>
    <row r="88" spans="8:8" x14ac:dyDescent="0.2">
      <c r="H88" s="316"/>
    </row>
    <row r="89" spans="8:8" x14ac:dyDescent="0.2">
      <c r="H89" s="316"/>
    </row>
    <row r="90" spans="8:8" x14ac:dyDescent="0.2">
      <c r="H90" s="316"/>
    </row>
    <row r="91" spans="8:8" x14ac:dyDescent="0.2">
      <c r="H91" s="316"/>
    </row>
    <row r="92" spans="8:8" x14ac:dyDescent="0.2">
      <c r="H92" s="316"/>
    </row>
    <row r="93" spans="8:8" x14ac:dyDescent="0.2">
      <c r="H93" s="316"/>
    </row>
    <row r="94" spans="8:8" x14ac:dyDescent="0.2">
      <c r="H94" s="316"/>
    </row>
    <row r="95" spans="8:8" x14ac:dyDescent="0.2">
      <c r="H95" s="316"/>
    </row>
    <row r="96" spans="8:8" x14ac:dyDescent="0.2">
      <c r="H96" s="316"/>
    </row>
    <row r="97" spans="8:8" x14ac:dyDescent="0.2">
      <c r="H97" s="316"/>
    </row>
    <row r="98" spans="8:8" x14ac:dyDescent="0.2">
      <c r="H98" s="316"/>
    </row>
    <row r="99" spans="8:8" x14ac:dyDescent="0.2">
      <c r="H99" s="316"/>
    </row>
    <row r="100" spans="8:8" x14ac:dyDescent="0.2">
      <c r="H100" s="316"/>
    </row>
    <row r="101" spans="8:8" x14ac:dyDescent="0.2">
      <c r="H101" s="316"/>
    </row>
    <row r="102" spans="8:8" x14ac:dyDescent="0.2">
      <c r="H102" s="316"/>
    </row>
    <row r="103" spans="8:8" x14ac:dyDescent="0.2">
      <c r="H103" s="316"/>
    </row>
    <row r="104" spans="8:8" x14ac:dyDescent="0.2">
      <c r="H104" s="316"/>
    </row>
    <row r="105" spans="8:8" x14ac:dyDescent="0.2">
      <c r="H105" s="316"/>
    </row>
    <row r="106" spans="8:8" x14ac:dyDescent="0.2">
      <c r="H106" s="316"/>
    </row>
    <row r="107" spans="8:8" x14ac:dyDescent="0.2">
      <c r="H107" s="316"/>
    </row>
    <row r="108" spans="8:8" x14ac:dyDescent="0.2">
      <c r="H108" s="316"/>
    </row>
    <row r="109" spans="8:8" x14ac:dyDescent="0.2">
      <c r="H109" s="316"/>
    </row>
    <row r="110" spans="8:8" x14ac:dyDescent="0.2">
      <c r="H110" s="316"/>
    </row>
    <row r="111" spans="8:8" x14ac:dyDescent="0.2">
      <c r="H111" s="316"/>
    </row>
  </sheetData>
  <customSheetViews>
    <customSheetView guid="{DDA6E6AA-9473-49A0-A3A2-76E4959B79AF}" state="hidden">
      <selection activeCell="P14" sqref="P14"/>
      <pageMargins left="0.7" right="0.7" top="0.78740157499999996" bottom="0.78740157499999996" header="0.3" footer="0.3"/>
    </customSheetView>
  </customSheetViews>
  <mergeCells count="2">
    <mergeCell ref="E5:E7"/>
    <mergeCell ref="A6:B6"/>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B4"/>
  <sheetViews>
    <sheetView workbookViewId="0">
      <selection activeCell="I36" sqref="I36"/>
    </sheetView>
  </sheetViews>
  <sheetFormatPr baseColWidth="10" defaultRowHeight="12.75" x14ac:dyDescent="0.2"/>
  <sheetData>
    <row r="2" spans="1:2" x14ac:dyDescent="0.2">
      <c r="A2">
        <v>1</v>
      </c>
      <c r="B2" s="59" t="s">
        <v>57</v>
      </c>
    </row>
    <row r="3" spans="1:2" x14ac:dyDescent="0.2">
      <c r="A3">
        <v>2</v>
      </c>
      <c r="B3" s="59" t="s">
        <v>58</v>
      </c>
    </row>
    <row r="4" spans="1:2" x14ac:dyDescent="0.2">
      <c r="A4">
        <v>3</v>
      </c>
      <c r="B4" s="59" t="s">
        <v>59</v>
      </c>
    </row>
  </sheetData>
  <customSheetViews>
    <customSheetView guid="{DDA6E6AA-9473-49A0-A3A2-76E4959B79AF}" state="hidden">
      <selection activeCell="I36" sqref="I36"/>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vt:i4>
      </vt:variant>
    </vt:vector>
  </HeadingPairs>
  <TitlesOfParts>
    <vt:vector size="20" baseType="lpstr">
      <vt:lpstr>Berech. Lagerraum flüssig+fest</vt:lpstr>
      <vt:lpstr>Betriebe mit Separation</vt:lpstr>
      <vt:lpstr>Abweichende Werte</vt:lpstr>
      <vt:lpstr>Zu- und Abgang</vt:lpstr>
      <vt:lpstr>Separierung</vt:lpstr>
      <vt:lpstr>Tiere</vt:lpstr>
      <vt:lpstr>Tiere orginal</vt:lpstr>
      <vt:lpstr>org Dünger</vt:lpstr>
      <vt:lpstr>Stroh</vt:lpstr>
      <vt:lpstr>Erläuterungen</vt:lpstr>
      <vt:lpstr>alt Tiere</vt:lpstr>
      <vt:lpstr>Tabelle1</vt:lpstr>
      <vt:lpstr>Tabelle2</vt:lpstr>
      <vt:lpstr>Hinweise zum Programm</vt:lpstr>
      <vt:lpstr>Tiere2</vt:lpstr>
      <vt:lpstr>Lagerr. GL. rote Gebiete</vt:lpstr>
      <vt:lpstr>Tabelle3</vt:lpstr>
      <vt:lpstr>'Berech. Lagerraum flüssig+fest'!Druckbereich</vt:lpstr>
      <vt:lpstr>'Betriebe mit Separation'!Druckbereich</vt:lpstr>
      <vt:lpstr>Separierung!Druckbereich</vt:lpstr>
    </vt:vector>
  </TitlesOfParts>
  <Company>LfL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lagerraum_ 2019_20201105_mit_separierung</dc:title>
  <dc:creator>msbo</dc:creator>
  <cp:lastModifiedBy>Brandl, Maria (LfL)</cp:lastModifiedBy>
  <cp:lastPrinted>2018-10-31T14:11:15Z</cp:lastPrinted>
  <dcterms:created xsi:type="dcterms:W3CDTF">2006-11-22T08:57:22Z</dcterms:created>
  <dcterms:modified xsi:type="dcterms:W3CDTF">2020-11-05T10:10:21Z</dcterms:modified>
</cp:coreProperties>
</file>