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DieseArbeitsmappe"/>
  <mc:AlternateContent xmlns:mc="http://schemas.openxmlformats.org/markup-compatibility/2006">
    <mc:Choice Requires="x15">
      <x15ac:absPath xmlns:x15ac="http://schemas.microsoft.com/office/spreadsheetml/2010/11/ac" url="S:\IAB\IAB2\a7311_EDV_Prog\10_Lagerraum_DüV_Tier\2024\02_ProgPlan\"/>
    </mc:Choice>
  </mc:AlternateContent>
  <xr:revisionPtr revIDLastSave="0" documentId="8_{3CDB9C4F-8C1B-434D-8CCC-D9CD686583DF}" xr6:coauthVersionLast="47" xr6:coauthVersionMax="47" xr10:uidLastSave="{00000000-0000-0000-0000-000000000000}"/>
  <workbookProtection workbookAlgorithmName="SHA-512" workbookHashValue="0OAo158onkmPoyAxxIh/Y339vVquw/YH6rZHgsZxbef5RIAQ5qAVnJuVKbmdbJlT2eRfWp+Unx6OOEwW/YiTKg==" workbookSaltValue="EjNDv2gmbwntYzTKvtvl8A==" workbookSpinCount="100000" lockStructure="1"/>
  <bookViews>
    <workbookView xWindow="-28920" yWindow="-120" windowWidth="29040" windowHeight="17640" xr2:uid="{F2DB43B1-2C7D-41CD-A200-C49C53F3FF62}"/>
  </bookViews>
  <sheets>
    <sheet name="Nährstoffe und Lagerraum" sheetId="7" r:id="rId1"/>
    <sheet name="intern_Formel_Geflügel_Kot" sheetId="42" state="hidden" r:id="rId2"/>
    <sheet name="Abweichende Werte" sheetId="14" r:id="rId3"/>
    <sheet name="Schweine_Werte" sheetId="38" state="hidden" r:id="rId4"/>
    <sheet name="abweichende Schweine" sheetId="37" state="hidden" r:id="rId5"/>
    <sheet name="Tiere" sheetId="12" state="hidden" r:id="rId6"/>
    <sheet name="org Dünger" sheetId="11" state="hidden" r:id="rId7"/>
    <sheet name="Stroh" sheetId="8" state="hidden" r:id="rId8"/>
    <sheet name="Erläuterungen" sheetId="10" r:id="rId9"/>
    <sheet name="Notizen" sheetId="33" r:id="rId10"/>
    <sheet name="Niederschläge" sheetId="31" state="hidden" r:id="rId11"/>
    <sheet name="Abgabebeleg" sheetId="39" r:id="rId12"/>
    <sheet name="Gemarkungsniederschläge" sheetId="34" r:id="rId13"/>
    <sheet name="Abgabe-;Aufnahmeliste" sheetId="41" r:id="rId14"/>
  </sheets>
  <definedNames>
    <definedName name="_xlnm._FilterDatabase" localSheetId="12" hidden="1">Gemarkungsniederschläge!$B$5:$D$7877</definedName>
    <definedName name="_xlnm.Print_Area" localSheetId="11">Abgabebeleg!$A$1:$K$45</definedName>
    <definedName name="_xlnm.Print_Area" localSheetId="2">'Abweichende Werte'!$A$1:$T$63</definedName>
    <definedName name="_xlnm.Print_Area" localSheetId="0">'Nährstoffe und Lagerraum'!$A$1:$K$219</definedName>
    <definedName name="Z_DDA6E6AA_9473_49A0_A3A2_76E4959B79AF_.wvu.Cols" localSheetId="2" hidden="1">'Abweichende Werte'!$U:$Y</definedName>
    <definedName name="Z_DDA6E6AA_9473_49A0_A3A2_76E4959B79AF_.wvu.Cols" localSheetId="0" hidden="1">'Nährstoffe und Lagerraum'!$M:$CO</definedName>
    <definedName name="Z_DDA6E6AA_9473_49A0_A3A2_76E4959B79AF_.wvu.PrintArea" localSheetId="0" hidden="1">'Nährstoffe und Lagerraum'!$A$1:$K$154</definedName>
  </definedNames>
  <calcPr calcId="191029"/>
  <customWorkbookViews>
    <customWorkbookView name="Hierlmeier, Michael (LfL) - Persönliche Ansicht" guid="{DDA6E6AA-9473-49A0-A3A2-76E4959B79AF}" mergeInterval="0" personalView="1" maximized="1" windowWidth="1680" windowHeight="825" activeSheetId="7"/>
    <customWorkbookView name="msbo - Persönliche Ansicht" guid="{BBF2F1EA-E8F4-4EE9-83EA-DB847D7BDAAF}" mergeInterval="0" personalView="1" xWindow="5" yWindow="30" windowWidth="1266" windowHeight="7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38" i="7" l="1"/>
  <c r="AZ37" i="7"/>
  <c r="AZ36" i="7"/>
  <c r="AZ35" i="7"/>
  <c r="AZ34" i="7"/>
  <c r="AZ33" i="7"/>
  <c r="AZ32" i="7"/>
  <c r="AZ31" i="7"/>
  <c r="AZ30" i="7"/>
  <c r="AZ29" i="7"/>
  <c r="AZ28" i="7"/>
  <c r="AZ27" i="7"/>
  <c r="AZ26" i="7"/>
  <c r="AZ25" i="7"/>
  <c r="AZ24" i="7"/>
  <c r="AZ23" i="7"/>
  <c r="AW38" i="7"/>
  <c r="AW37" i="7"/>
  <c r="AW36" i="7"/>
  <c r="AW35" i="7"/>
  <c r="AW34" i="7"/>
  <c r="AW33" i="7"/>
  <c r="AW32" i="7"/>
  <c r="AW31" i="7"/>
  <c r="AW30" i="7"/>
  <c r="AW29" i="7"/>
  <c r="AW28" i="7"/>
  <c r="AW27" i="7"/>
  <c r="AW26" i="7"/>
  <c r="AW25" i="7"/>
  <c r="AW24" i="7"/>
  <c r="AW23" i="7"/>
  <c r="AP144" i="7"/>
  <c r="DQ38" i="7"/>
  <c r="DQ37" i="7"/>
  <c r="DQ36" i="7"/>
  <c r="DQ35" i="7"/>
  <c r="DQ34" i="7"/>
  <c r="DQ33" i="7"/>
  <c r="DQ32" i="7"/>
  <c r="DQ31" i="7"/>
  <c r="DQ30" i="7"/>
  <c r="DQ29" i="7"/>
  <c r="DQ28" i="7"/>
  <c r="DP38" i="7"/>
  <c r="DP37" i="7"/>
  <c r="DP36" i="7"/>
  <c r="DP35" i="7"/>
  <c r="DP34" i="7"/>
  <c r="DP33" i="7"/>
  <c r="DP32" i="7"/>
  <c r="DP31" i="7"/>
  <c r="DP30" i="7"/>
  <c r="DP29" i="7"/>
  <c r="DP28" i="7"/>
  <c r="S38" i="7"/>
  <c r="T38" i="7" s="1"/>
  <c r="CM38" i="7" s="1"/>
  <c r="S37" i="7"/>
  <c r="T37" i="7" s="1"/>
  <c r="CM37" i="7" s="1"/>
  <c r="S36" i="7"/>
  <c r="T36" i="7" s="1"/>
  <c r="CM36" i="7" s="1"/>
  <c r="S35" i="7"/>
  <c r="T35" i="7" s="1"/>
  <c r="CM35" i="7" s="1"/>
  <c r="S34" i="7"/>
  <c r="T34" i="7" s="1"/>
  <c r="CM34" i="7" s="1"/>
  <c r="S33" i="7"/>
  <c r="T33" i="7" s="1"/>
  <c r="CM33" i="7" s="1"/>
  <c r="S32" i="7"/>
  <c r="T32" i="7" s="1"/>
  <c r="CM32" i="7" s="1"/>
  <c r="S31" i="7"/>
  <c r="T31" i="7" s="1"/>
  <c r="CM31" i="7" s="1"/>
  <c r="S30" i="7"/>
  <c r="T30" i="7" s="1"/>
  <c r="CM30" i="7" s="1"/>
  <c r="S29" i="7"/>
  <c r="T29" i="7" s="1"/>
  <c r="CM29" i="7" s="1"/>
  <c r="S28" i="7"/>
  <c r="T28" i="7" s="1"/>
  <c r="CM28" i="7" s="1"/>
  <c r="Q38" i="7"/>
  <c r="Q37" i="7"/>
  <c r="Q36" i="7"/>
  <c r="Q35" i="7"/>
  <c r="Q34" i="7"/>
  <c r="Q33" i="7"/>
  <c r="Q32" i="7"/>
  <c r="Q31" i="7"/>
  <c r="Q30" i="7"/>
  <c r="Q29" i="7"/>
  <c r="Q28" i="7"/>
  <c r="L89" i="12"/>
  <c r="K89" i="12"/>
  <c r="J89" i="12"/>
  <c r="L88" i="12"/>
  <c r="K88" i="12"/>
  <c r="J88" i="12"/>
  <c r="L87" i="12"/>
  <c r="K87" i="12"/>
  <c r="J87" i="12"/>
  <c r="L86" i="12"/>
  <c r="K86" i="12"/>
  <c r="J86" i="12"/>
  <c r="L85" i="12"/>
  <c r="K85" i="12"/>
  <c r="J85" i="12"/>
  <c r="L84" i="12"/>
  <c r="K84" i="12"/>
  <c r="J84" i="12"/>
  <c r="L83" i="12"/>
  <c r="K83" i="12"/>
  <c r="J83" i="12"/>
  <c r="L82" i="12"/>
  <c r="K82" i="12"/>
  <c r="J82" i="12"/>
  <c r="L81" i="12"/>
  <c r="K81" i="12"/>
  <c r="J81" i="12"/>
  <c r="L80" i="12"/>
  <c r="K80" i="12"/>
  <c r="J80" i="12"/>
  <c r="L79" i="12"/>
  <c r="K79" i="12"/>
  <c r="J79" i="12"/>
  <c r="L78" i="12"/>
  <c r="K78" i="12"/>
  <c r="J78" i="12"/>
  <c r="L77" i="12"/>
  <c r="K77" i="12"/>
  <c r="J77" i="12"/>
  <c r="F32" i="42" l="1"/>
  <c r="F26" i="42"/>
  <c r="F27" i="42" s="1"/>
  <c r="F29" i="42" s="1"/>
  <c r="DS32" i="7"/>
  <c r="DS31" i="7"/>
  <c r="DR38" i="7"/>
  <c r="DS38" i="7" s="1"/>
  <c r="DR38" i="7" a="1"/>
  <c r="DR37" i="7" a="1"/>
  <c r="DR37" i="7" s="1"/>
  <c r="DS37" i="7" s="1"/>
  <c r="DR36" i="7" a="1"/>
  <c r="DR36" i="7" s="1"/>
  <c r="DS36" i="7" s="1"/>
  <c r="DR35" i="7" a="1"/>
  <c r="DR35" i="7" s="1"/>
  <c r="DS35" i="7" s="1"/>
  <c r="DR34" i="7" a="1"/>
  <c r="DR34" i="7" s="1"/>
  <c r="DS34" i="7" s="1"/>
  <c r="DR33" i="7"/>
  <c r="DS33" i="7" s="1"/>
  <c r="DR33" i="7" a="1"/>
  <c r="DR32" i="7" a="1"/>
  <c r="DR32" i="7" s="1"/>
  <c r="DR31" i="7" a="1"/>
  <c r="DR31" i="7" s="1"/>
  <c r="DR30" i="7" a="1"/>
  <c r="DR30" i="7" s="1"/>
  <c r="DS30" i="7" s="1"/>
  <c r="DR29" i="7" a="1"/>
  <c r="DR29" i="7" s="1"/>
  <c r="DS29" i="7" s="1"/>
  <c r="DR28" i="7" a="1"/>
  <c r="DR28" i="7" s="1"/>
  <c r="DS28" i="7" s="1"/>
  <c r="DR27" i="7" a="1"/>
  <c r="DR27" i="7" s="1"/>
  <c r="DS27" i="7" s="1"/>
  <c r="DR26" i="7" a="1"/>
  <c r="DR26" i="7" s="1"/>
  <c r="DS26" i="7" s="1"/>
  <c r="DR25" i="7" a="1"/>
  <c r="DR25" i="7" s="1"/>
  <c r="DS25" i="7" s="1"/>
  <c r="DR24" i="7" a="1"/>
  <c r="DR24" i="7" s="1"/>
  <c r="DS24" i="7" s="1"/>
  <c r="DR23" i="7" a="1"/>
  <c r="DR23" i="7" s="1"/>
  <c r="DS23" i="7" s="1"/>
  <c r="A142" i="7" l="1"/>
  <c r="B3" i="39"/>
  <c r="H65" i="41"/>
  <c r="E65" i="41"/>
  <c r="J65" i="41" s="1"/>
  <c r="A62" i="41"/>
  <c r="B1" i="41"/>
  <c r="F65" i="41" l="1"/>
  <c r="I65" i="41"/>
  <c r="B37" i="39"/>
  <c r="B42" i="39" a="1"/>
  <c r="B42" i="39" s="1"/>
  <c r="G10" i="39"/>
  <c r="I10" i="39"/>
  <c r="E6" i="41" l="1"/>
  <c r="F6" i="41" s="1"/>
  <c r="H6" i="41" l="1"/>
  <c r="I6" i="41"/>
  <c r="J6" i="41"/>
  <c r="V28" i="14" l="1"/>
  <c r="V29" i="14"/>
  <c r="V27" i="14"/>
  <c r="B11" i="39" l="1"/>
  <c r="B10" i="39"/>
  <c r="B9" i="39"/>
  <c r="I9" i="39"/>
  <c r="I211" i="7" l="1"/>
  <c r="Y8" i="14" l="1"/>
  <c r="Y9" i="14"/>
  <c r="Y10" i="14"/>
  <c r="Y11" i="14"/>
  <c r="Y7" i="14"/>
  <c r="AB109" i="12" l="1"/>
  <c r="AB108" i="12"/>
  <c r="AB107" i="12"/>
  <c r="L111" i="12"/>
  <c r="L112" i="12"/>
  <c r="D110" i="12"/>
  <c r="D111" i="12"/>
  <c r="D112" i="12"/>
  <c r="R110" i="12"/>
  <c r="U110" i="12"/>
  <c r="V110" i="12"/>
  <c r="W110" i="12"/>
  <c r="R111" i="12"/>
  <c r="U111" i="12"/>
  <c r="V111" i="12"/>
  <c r="W111" i="12"/>
  <c r="R112" i="12"/>
  <c r="U112" i="12"/>
  <c r="V112" i="12"/>
  <c r="W112" i="12"/>
  <c r="E110" i="12"/>
  <c r="F110" i="12"/>
  <c r="G110" i="12"/>
  <c r="H110" i="12"/>
  <c r="I110" i="12"/>
  <c r="E111" i="12"/>
  <c r="F111" i="12"/>
  <c r="G111" i="12"/>
  <c r="H111" i="12"/>
  <c r="I111" i="12"/>
  <c r="E112" i="12"/>
  <c r="F112" i="12"/>
  <c r="G112" i="12"/>
  <c r="H112" i="12"/>
  <c r="I112" i="12"/>
  <c r="AB105" i="12"/>
  <c r="AD105" i="12"/>
  <c r="AE105" i="12"/>
  <c r="AF105" i="12"/>
  <c r="AG105" i="12"/>
  <c r="AH105" i="12"/>
  <c r="AI105" i="12" a="1"/>
  <c r="AI105" i="12" s="1"/>
  <c r="AJ105" i="12" a="1"/>
  <c r="AJ105" i="12" s="1"/>
  <c r="AK105" i="12" a="1"/>
  <c r="AK105" i="12" s="1"/>
  <c r="AB104" i="12"/>
  <c r="X103" i="12"/>
  <c r="Y103" i="12"/>
  <c r="Z103" i="12"/>
  <c r="X104" i="12"/>
  <c r="Y104" i="12"/>
  <c r="Z104" i="12"/>
  <c r="X105" i="12"/>
  <c r="Y105" i="12"/>
  <c r="Z105" i="12"/>
  <c r="X106" i="12"/>
  <c r="Y106" i="12"/>
  <c r="Z106" i="12"/>
  <c r="X107" i="12"/>
  <c r="Y107" i="12"/>
  <c r="Z107" i="12"/>
  <c r="X108" i="12"/>
  <c r="Y108" i="12"/>
  <c r="Z108" i="12"/>
  <c r="X109" i="12"/>
  <c r="Y109" i="12"/>
  <c r="Z109" i="12"/>
  <c r="L110" i="12" l="1"/>
  <c r="W12" i="14" l="1"/>
  <c r="W11" i="14"/>
  <c r="AB11" i="14" s="1"/>
  <c r="W6" i="14"/>
  <c r="W7" i="14"/>
  <c r="W8" i="14"/>
  <c r="W9" i="14"/>
  <c r="AB9" i="14" s="1"/>
  <c r="X6" i="14"/>
  <c r="X7" i="14"/>
  <c r="X8" i="14"/>
  <c r="X9" i="14"/>
  <c r="X5" i="14"/>
  <c r="W5" i="14"/>
  <c r="AB8" i="14" l="1"/>
  <c r="B106" i="12" s="1"/>
  <c r="B92" i="37"/>
  <c r="E92" i="37"/>
  <c r="D92" i="37"/>
  <c r="C92" i="37"/>
  <c r="G43" i="14"/>
  <c r="B60" i="37"/>
  <c r="C60" i="37"/>
  <c r="H43" i="14"/>
  <c r="D60" i="37"/>
  <c r="E43" i="14"/>
  <c r="E60" i="37"/>
  <c r="B107" i="12"/>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AB12" i="14"/>
  <c r="B109" i="12" s="1"/>
  <c r="B83" i="37"/>
  <c r="C83" i="37"/>
  <c r="E83" i="37"/>
  <c r="D83" i="37"/>
  <c r="B24" i="37"/>
  <c r="C24" i="37"/>
  <c r="D24" i="37"/>
  <c r="E24" i="37"/>
  <c r="E12" i="37"/>
  <c r="B12" i="37"/>
  <c r="C12" i="37"/>
  <c r="D12" i="37"/>
  <c r="E74" i="37"/>
  <c r="B74" i="37"/>
  <c r="C74" i="37"/>
  <c r="D74" i="37"/>
  <c r="V42" i="14"/>
  <c r="R43" i="14"/>
  <c r="V43" i="14"/>
  <c r="S43" i="14"/>
  <c r="I43" i="14"/>
  <c r="K43" i="14"/>
  <c r="G24" i="14"/>
  <c r="Q43" i="14"/>
  <c r="L43" i="14"/>
  <c r="O43" i="14"/>
  <c r="M43" i="14"/>
  <c r="P43" i="14"/>
  <c r="J43" i="14"/>
  <c r="C43" i="14"/>
  <c r="N43" i="14"/>
  <c r="A43" i="14"/>
  <c r="B43" i="14"/>
  <c r="B42" i="14"/>
  <c r="A42" i="14"/>
  <c r="B41" i="14"/>
  <c r="A41" i="14"/>
  <c r="B40" i="14"/>
  <c r="A40" i="14"/>
  <c r="A39" i="14"/>
  <c r="B39" i="14"/>
  <c r="B20" i="14"/>
  <c r="AB5" i="14" s="1"/>
  <c r="M26" i="14"/>
  <c r="W109" i="12" s="1"/>
  <c r="B26" i="14"/>
  <c r="L26" i="14"/>
  <c r="I109" i="12" s="1"/>
  <c r="B25" i="14"/>
  <c r="B108" i="12" s="1"/>
  <c r="L24" i="14"/>
  <c r="I107" i="12" s="1"/>
  <c r="A21" i="14"/>
  <c r="M22" i="14"/>
  <c r="W105" i="12" s="1"/>
  <c r="L25" i="14"/>
  <c r="I108" i="12" s="1"/>
  <c r="M25" i="14"/>
  <c r="W108" i="12" s="1"/>
  <c r="A24" i="14"/>
  <c r="B21" i="14"/>
  <c r="AB6" i="14" s="1"/>
  <c r="B104" i="12" s="1"/>
  <c r="M21" i="14"/>
  <c r="W104" i="12" s="1"/>
  <c r="A23" i="14"/>
  <c r="M20" i="14"/>
  <c r="W103" i="12" s="1"/>
  <c r="L21" i="14"/>
  <c r="I104" i="12" s="1"/>
  <c r="A20" i="14"/>
  <c r="B22" i="14"/>
  <c r="AB7" i="14" s="1"/>
  <c r="B105" i="12" s="1"/>
  <c r="L22" i="14"/>
  <c r="I105" i="12" s="1"/>
  <c r="A22" i="14"/>
  <c r="L20" i="14"/>
  <c r="I103" i="12" s="1"/>
  <c r="M24" i="14"/>
  <c r="W107" i="12" s="1"/>
  <c r="M23" i="14"/>
  <c r="W106" i="12" s="1"/>
  <c r="B24" i="14"/>
  <c r="L23" i="14"/>
  <c r="I106" i="12" s="1"/>
  <c r="B23" i="14"/>
  <c r="AF110" i="37" l="1"/>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O56"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O53" i="37"/>
  <c r="BL56" i="37"/>
  <c r="BG11" i="37"/>
  <c r="BL21" i="37"/>
  <c r="BB18" i="37"/>
  <c r="AW19" i="37"/>
  <c r="AW25" i="37"/>
  <c r="BB30" i="37"/>
  <c r="BB41" i="37"/>
  <c r="BG40" i="37"/>
  <c r="BL49" i="37"/>
  <c r="BB60" i="37"/>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O54"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O55"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O98"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O97"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O88"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O89"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P55"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O71" i="37"/>
  <c r="BY81" i="37"/>
  <c r="BR76" i="37"/>
  <c r="BY103" i="37"/>
  <c r="O70"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B103" i="12"/>
  <c r="V40" i="14"/>
  <c r="V41" i="14"/>
  <c r="V39" i="14"/>
  <c r="Z106" i="37" l="1"/>
  <c r="H53" i="37"/>
  <c r="H56" i="37"/>
  <c r="I106" i="37"/>
  <c r="P54" i="37"/>
  <c r="U54" i="37" s="1"/>
  <c r="P41" i="37"/>
  <c r="Z97" i="37"/>
  <c r="I88" i="37"/>
  <c r="E31" i="37"/>
  <c r="I30" i="37"/>
  <c r="I29" i="37"/>
  <c r="G98" i="37"/>
  <c r="G44" i="37"/>
  <c r="P44" i="37"/>
  <c r="V44" i="37" s="1"/>
  <c r="I89" i="37"/>
  <c r="P89" i="37"/>
  <c r="G137" i="37"/>
  <c r="G145" i="37" s="1"/>
  <c r="P97" i="37"/>
  <c r="V97" i="37" s="1"/>
  <c r="P98" i="37"/>
  <c r="T98" i="37" s="1"/>
  <c r="G97" i="37"/>
  <c r="AJ41" i="37"/>
  <c r="AJ42" i="37"/>
  <c r="E43" i="37"/>
  <c r="P42" i="37"/>
  <c r="U42" i="37" s="1"/>
  <c r="AJ107" i="37"/>
  <c r="AJ106" i="37"/>
  <c r="I97" i="37"/>
  <c r="P43" i="37"/>
  <c r="V43" i="37" s="1"/>
  <c r="G42" i="37"/>
  <c r="E41" i="37"/>
  <c r="E42" i="37"/>
  <c r="AJ89" i="37"/>
  <c r="E88" i="37"/>
  <c r="AJ92" i="37" s="1"/>
  <c r="AK92" i="37" s="1"/>
  <c r="P106" i="37"/>
  <c r="V106" i="37" s="1"/>
  <c r="H43" i="37"/>
  <c r="P119" i="37"/>
  <c r="P137" i="37"/>
  <c r="P107" i="37"/>
  <c r="T107" i="37" s="1"/>
  <c r="P29" i="37"/>
  <c r="T29" i="37" s="1"/>
  <c r="P32" i="37"/>
  <c r="P31" i="37"/>
  <c r="H31" i="37"/>
  <c r="G29" i="37"/>
  <c r="P30" i="37"/>
  <c r="V30" i="37" s="1"/>
  <c r="I54" i="37"/>
  <c r="P53" i="37"/>
  <c r="U53" i="37" s="1"/>
  <c r="AJ56" i="37"/>
  <c r="G55" i="37"/>
  <c r="P56" i="37"/>
  <c r="U56" i="37" s="1"/>
  <c r="Z53" i="37"/>
  <c r="I137" i="37"/>
  <c r="I145" i="37" s="1"/>
  <c r="I119" i="37"/>
  <c r="I127" i="37" s="1"/>
  <c r="P88" i="37"/>
  <c r="T88" i="37" s="1"/>
  <c r="H89" i="37"/>
  <c r="E107" i="37"/>
  <c r="G92" i="37"/>
  <c r="M92" i="37"/>
  <c r="U30" i="37"/>
  <c r="T30"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U32" i="37"/>
  <c r="T32" i="37"/>
  <c r="V32" i="37"/>
  <c r="AG54" i="37"/>
  <c r="F54" i="37"/>
  <c r="J54" i="37"/>
  <c r="K54" i="37"/>
  <c r="T56" i="37"/>
  <c r="V56" i="37"/>
  <c r="G88" i="37"/>
  <c r="G89" i="37"/>
  <c r="E56" i="37"/>
  <c r="F119" i="37"/>
  <c r="F127" i="37" s="1"/>
  <c r="I98" i="37"/>
  <c r="H137" i="37"/>
  <c r="H145" i="37" s="1"/>
  <c r="G107" i="37"/>
  <c r="AG41" i="37"/>
  <c r="F41" i="37"/>
  <c r="K41" i="37"/>
  <c r="J41" i="37"/>
  <c r="I55" i="37"/>
  <c r="G56" i="37"/>
  <c r="Z56" i="37"/>
  <c r="I44" i="37"/>
  <c r="I32" i="37"/>
  <c r="Z30" i="37"/>
  <c r="AJ30" i="37"/>
  <c r="U106" i="37"/>
  <c r="T106" i="37"/>
  <c r="AG31" i="37"/>
  <c r="F31" i="37"/>
  <c r="J31" i="37"/>
  <c r="K31" i="37"/>
  <c r="AG53" i="37"/>
  <c r="J53" i="37"/>
  <c r="F53" i="37"/>
  <c r="K53" i="37"/>
  <c r="T55" i="37"/>
  <c r="V55" i="37"/>
  <c r="U55" i="37"/>
  <c r="Z88" i="37"/>
  <c r="E44" i="37"/>
  <c r="E32" i="37"/>
  <c r="E89" i="37"/>
  <c r="AG88" i="37"/>
  <c r="K88" i="37"/>
  <c r="F88" i="37"/>
  <c r="J88" i="37"/>
  <c r="H97" i="37"/>
  <c r="G106" i="37"/>
  <c r="AG43" i="37"/>
  <c r="J43" i="37"/>
  <c r="K43" i="37"/>
  <c r="F43" i="37"/>
  <c r="AJ54" i="37"/>
  <c r="AJ53" i="37"/>
  <c r="I53" i="37"/>
  <c r="H44" i="37"/>
  <c r="I42" i="37"/>
  <c r="H29" i="37"/>
  <c r="G30" i="37"/>
  <c r="G31" i="37"/>
  <c r="U29" i="37"/>
  <c r="V29"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U98" i="37"/>
  <c r="V98" i="37"/>
  <c r="AG97" i="37"/>
  <c r="K97" i="37"/>
  <c r="F97" i="37"/>
  <c r="J97" i="37"/>
  <c r="Z54" i="37"/>
  <c r="I43" i="37"/>
  <c r="I41" i="37"/>
  <c r="Z43" i="37"/>
  <c r="Z32" i="37"/>
  <c r="U107" i="37"/>
  <c r="AG107" i="37"/>
  <c r="F107" i="37"/>
  <c r="J107" i="37"/>
  <c r="K107" i="37"/>
  <c r="E98" i="37"/>
  <c r="AG56" i="37"/>
  <c r="J56" i="37"/>
  <c r="K56" i="37"/>
  <c r="F56" i="37"/>
  <c r="R56" i="37" s="1"/>
  <c r="R54" i="37"/>
  <c r="E29" i="37"/>
  <c r="T89" i="37"/>
  <c r="U89" i="37"/>
  <c r="V89" i="37"/>
  <c r="AG44" i="37"/>
  <c r="K44" i="37"/>
  <c r="F44" i="37"/>
  <c r="J44" i="37"/>
  <c r="T42" i="37"/>
  <c r="V42" i="37"/>
  <c r="AJ44" i="37"/>
  <c r="Z44" i="37"/>
  <c r="AJ32" i="37"/>
  <c r="E97" i="37"/>
  <c r="T31" i="37"/>
  <c r="U31" i="37"/>
  <c r="V31" i="37"/>
  <c r="T54" i="37"/>
  <c r="V54"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U7" i="37"/>
  <c r="T7" i="37"/>
  <c r="H7" i="37"/>
  <c r="G7" i="37"/>
  <c r="E6" i="37"/>
  <c r="K7" i="37"/>
  <c r="F7" i="37"/>
  <c r="J7" i="37"/>
  <c r="U70" i="37"/>
  <c r="V70" i="37"/>
  <c r="E70" i="37"/>
  <c r="E7" i="37"/>
  <c r="K5" i="37"/>
  <c r="F5" i="37"/>
  <c r="J5" i="37"/>
  <c r="F8" i="37"/>
  <c r="K8" i="37"/>
  <c r="J8" i="37"/>
  <c r="I70" i="37"/>
  <c r="G5" i="37"/>
  <c r="F71" i="37"/>
  <c r="K71" i="37"/>
  <c r="J71" i="37"/>
  <c r="Z8" i="37"/>
  <c r="AJ5" i="37"/>
  <c r="H5" i="37"/>
  <c r="I7" i="37"/>
  <c r="E8" i="37"/>
  <c r="Z70" i="37"/>
  <c r="S24" i="14"/>
  <c r="F24" i="14"/>
  <c r="G107" i="12" s="1"/>
  <c r="R24" i="14"/>
  <c r="V6" i="14"/>
  <c r="V7" i="14"/>
  <c r="V8" i="14"/>
  <c r="V9" i="14"/>
  <c r="V5" i="14"/>
  <c r="U6" i="14"/>
  <c r="U7" i="14"/>
  <c r="U8" i="14"/>
  <c r="U9" i="14"/>
  <c r="U5" i="14"/>
  <c r="AN92" i="37" l="1"/>
  <c r="AO92" i="37" s="1"/>
  <c r="M54" i="37"/>
  <c r="X54" i="37" s="1"/>
  <c r="V71" i="37"/>
  <c r="N71" i="37" s="1"/>
  <c r="Y71" i="37" s="1"/>
  <c r="V107" i="37"/>
  <c r="V53" i="37"/>
  <c r="V80" i="37"/>
  <c r="T53" i="37"/>
  <c r="N106" i="37"/>
  <c r="Y106" i="37" s="1"/>
  <c r="W92" i="37"/>
  <c r="T43" i="37"/>
  <c r="Q43" i="37" s="1"/>
  <c r="U43" i="37"/>
  <c r="T97" i="37"/>
  <c r="U97" i="37"/>
  <c r="H48" i="37"/>
  <c r="R48" i="37"/>
  <c r="R23" i="14" s="1"/>
  <c r="R92" i="37"/>
  <c r="U92" i="37"/>
  <c r="Z92" i="37"/>
  <c r="AA92" i="37" s="1"/>
  <c r="J92" i="37"/>
  <c r="S92" i="37"/>
  <c r="Y92" i="37"/>
  <c r="H92" i="37"/>
  <c r="X92" i="37"/>
  <c r="M53" i="37"/>
  <c r="L107" i="37"/>
  <c r="W107" i="37" s="1"/>
  <c r="AL48" i="37"/>
  <c r="J48" i="37"/>
  <c r="G23" i="14" s="1"/>
  <c r="AJ48" i="37"/>
  <c r="G48" i="37"/>
  <c r="AN48" i="37"/>
  <c r="K48" i="37"/>
  <c r="V48" i="37"/>
  <c r="AG92" i="37"/>
  <c r="AH92" i="37" s="1"/>
  <c r="AI92" i="37" s="1"/>
  <c r="V79" i="37"/>
  <c r="N79" i="37" s="1"/>
  <c r="Y79" i="37" s="1"/>
  <c r="Y83" i="37" s="1"/>
  <c r="V88" i="37"/>
  <c r="S88" i="37" s="1"/>
  <c r="V17" i="37"/>
  <c r="U88" i="37"/>
  <c r="M88" i="37" s="1"/>
  <c r="X88" i="37" s="1"/>
  <c r="AD92" i="37"/>
  <c r="AE92" i="37" s="1"/>
  <c r="AB92" i="37"/>
  <c r="AC92" i="37" s="1"/>
  <c r="K92" i="37"/>
  <c r="AD48" i="37"/>
  <c r="Z48" i="37"/>
  <c r="T17" i="37"/>
  <c r="I92" i="37"/>
  <c r="F92" i="37"/>
  <c r="V92" i="37"/>
  <c r="AB48" i="37"/>
  <c r="T48" i="37"/>
  <c r="AG48" i="37"/>
  <c r="L98" i="37"/>
  <c r="W98" i="37" s="1"/>
  <c r="Q92" i="37"/>
  <c r="AL92" i="37"/>
  <c r="AM92" i="37" s="1"/>
  <c r="L92" i="37"/>
  <c r="U48" i="37"/>
  <c r="I48" i="37"/>
  <c r="T92" i="37"/>
  <c r="N92" i="37"/>
  <c r="F48" i="37"/>
  <c r="N89" i="37"/>
  <c r="Y89" i="37" s="1"/>
  <c r="S89" i="37"/>
  <c r="S107" i="37"/>
  <c r="N107" i="37"/>
  <c r="Y107" i="37" s="1"/>
  <c r="M44" i="37"/>
  <c r="X44" i="37" s="1"/>
  <c r="R44" i="37"/>
  <c r="N43" i="37"/>
  <c r="Y43" i="37" s="1"/>
  <c r="S43" i="37"/>
  <c r="L32" i="37"/>
  <c r="W32" i="37" s="1"/>
  <c r="Q32" i="37"/>
  <c r="M30" i="37"/>
  <c r="X30" i="37" s="1"/>
  <c r="R30" i="37"/>
  <c r="Q98" i="37"/>
  <c r="S54" i="37"/>
  <c r="N54" i="37"/>
  <c r="R89" i="37"/>
  <c r="M89" i="37"/>
  <c r="X89" i="37" s="1"/>
  <c r="R41" i="37"/>
  <c r="M41" i="37"/>
  <c r="X41" i="37" s="1"/>
  <c r="N53" i="37"/>
  <c r="Y53" i="37" s="1"/>
  <c r="S53" i="37"/>
  <c r="N56" i="37"/>
  <c r="Y56" i="37" s="1"/>
  <c r="S56" i="37"/>
  <c r="M32" i="37"/>
  <c r="X32" i="37" s="1"/>
  <c r="R32" i="37"/>
  <c r="N30" i="37"/>
  <c r="Y30" i="37" s="1"/>
  <c r="S30" i="37"/>
  <c r="V8" i="37"/>
  <c r="S8" i="37" s="1"/>
  <c r="T8" i="37"/>
  <c r="L8" i="37" s="1"/>
  <c r="W8" i="37" s="1"/>
  <c r="L54" i="37"/>
  <c r="W54" i="37" s="1"/>
  <c r="Q54" i="37"/>
  <c r="S42" i="37"/>
  <c r="N42" i="37"/>
  <c r="Y42" i="37" s="1"/>
  <c r="Q89" i="37"/>
  <c r="L89" i="37"/>
  <c r="W89" i="37" s="1"/>
  <c r="S98" i="37"/>
  <c r="N98" i="37"/>
  <c r="Y98" i="37" s="1"/>
  <c r="N41" i="37"/>
  <c r="Y41" i="37" s="1"/>
  <c r="Y48" i="37" s="1"/>
  <c r="S41" i="37"/>
  <c r="S48" i="37" s="1"/>
  <c r="S23" i="14" s="1"/>
  <c r="V110" i="37"/>
  <c r="N110" i="37"/>
  <c r="Z110" i="37"/>
  <c r="AA110" i="37" s="1"/>
  <c r="I110" i="37"/>
  <c r="AB110" i="37"/>
  <c r="AC110" i="37" s="1"/>
  <c r="R110" i="37"/>
  <c r="AJ110" i="37"/>
  <c r="AK110" i="37" s="1"/>
  <c r="Y110" i="37"/>
  <c r="AN110" i="37"/>
  <c r="AO110" i="37" s="1"/>
  <c r="F110" i="37"/>
  <c r="G110" i="37"/>
  <c r="X110" i="37"/>
  <c r="M110" i="37"/>
  <c r="AG110" i="37"/>
  <c r="AH110" i="37" s="1"/>
  <c r="AI110" i="37" s="1"/>
  <c r="S110" i="37"/>
  <c r="AD110" i="37"/>
  <c r="AE110" i="37" s="1"/>
  <c r="L110" i="37"/>
  <c r="K110" i="37"/>
  <c r="H110" i="37"/>
  <c r="AL110" i="37"/>
  <c r="AM110" i="37" s="1"/>
  <c r="W110" i="37"/>
  <c r="U110" i="37"/>
  <c r="T110" i="37"/>
  <c r="J110" i="37"/>
  <c r="Q110" i="37"/>
  <c r="AG60" i="37"/>
  <c r="AH60" i="37" s="1"/>
  <c r="AI60" i="37" s="1"/>
  <c r="K60" i="37"/>
  <c r="X60" i="37"/>
  <c r="AL60" i="37"/>
  <c r="AM60" i="37" s="1"/>
  <c r="F60" i="37"/>
  <c r="T60" i="37"/>
  <c r="Y60" i="37"/>
  <c r="R60" i="37"/>
  <c r="AD60" i="37"/>
  <c r="AE60" i="37" s="1"/>
  <c r="M60" i="37"/>
  <c r="U60" i="37"/>
  <c r="L60" i="37"/>
  <c r="AJ60" i="37"/>
  <c r="AK60" i="37" s="1"/>
  <c r="Q60" i="37"/>
  <c r="N60" i="37"/>
  <c r="G60" i="37"/>
  <c r="S60" i="37"/>
  <c r="Z60" i="37"/>
  <c r="AA60" i="37" s="1"/>
  <c r="AB60" i="37"/>
  <c r="AC60" i="37" s="1"/>
  <c r="W60" i="37"/>
  <c r="AN60" i="37"/>
  <c r="AO60" i="37" s="1"/>
  <c r="J60" i="37"/>
  <c r="V60" i="37"/>
  <c r="H60" i="37"/>
  <c r="I60" i="37"/>
  <c r="L53" i="37"/>
  <c r="W53" i="37" s="1"/>
  <c r="Q53" i="37"/>
  <c r="M55" i="37"/>
  <c r="X55" i="37" s="1"/>
  <c r="R55" i="37"/>
  <c r="Q56" i="37"/>
  <c r="L56" i="37"/>
  <c r="W56" i="37" s="1"/>
  <c r="M56" i="37"/>
  <c r="X56" i="37" s="1"/>
  <c r="S106" i="37"/>
  <c r="N31" i="37"/>
  <c r="Y31" i="37" s="1"/>
  <c r="S31" i="37"/>
  <c r="Q42" i="37"/>
  <c r="L42" i="37"/>
  <c r="W42" i="37" s="1"/>
  <c r="F36" i="37"/>
  <c r="S36" i="37"/>
  <c r="S22" i="14" s="1"/>
  <c r="G36" i="37"/>
  <c r="M36" i="37"/>
  <c r="AG36" i="37"/>
  <c r="H36" i="37"/>
  <c r="V36" i="37"/>
  <c r="T36" i="37"/>
  <c r="Z36" i="37"/>
  <c r="U36" i="37"/>
  <c r="AL36" i="37"/>
  <c r="AM36" i="37" s="1"/>
  <c r="Q41" i="14" s="1"/>
  <c r="K36" i="37"/>
  <c r="R36" i="37"/>
  <c r="R22" i="14" s="1"/>
  <c r="AD36" i="37"/>
  <c r="AE36" i="37" s="1"/>
  <c r="I36" i="37"/>
  <c r="F22" i="14" s="1"/>
  <c r="G105" i="12" s="1"/>
  <c r="AN36" i="37"/>
  <c r="AO36" i="37" s="1"/>
  <c r="S41" i="14" s="1"/>
  <c r="AJ36" i="37"/>
  <c r="AK36" i="37" s="1"/>
  <c r="J36" i="37"/>
  <c r="G22" i="14" s="1"/>
  <c r="H105" i="12" s="1"/>
  <c r="AB36" i="37"/>
  <c r="AC36" i="37" s="1"/>
  <c r="R98" i="37"/>
  <c r="M98" i="37"/>
  <c r="X98" i="37" s="1"/>
  <c r="Q41" i="37"/>
  <c r="Q48" i="37" s="1"/>
  <c r="Q23" i="14" s="1"/>
  <c r="L41" i="37"/>
  <c r="W41" i="37" s="1"/>
  <c r="W48" i="37" s="1"/>
  <c r="Q29" i="37"/>
  <c r="Q36" i="37" s="1"/>
  <c r="L29" i="37"/>
  <c r="W29" i="37" s="1"/>
  <c r="W36" i="37" s="1"/>
  <c r="N55" i="37"/>
  <c r="Y55" i="37" s="1"/>
  <c r="S55" i="37"/>
  <c r="M31" i="37"/>
  <c r="X31" i="37" s="1"/>
  <c r="R31" i="37"/>
  <c r="S29" i="37"/>
  <c r="N29" i="37"/>
  <c r="Y29" i="37" s="1"/>
  <c r="Y36" i="37" s="1"/>
  <c r="Q55" i="37"/>
  <c r="L55" i="37"/>
  <c r="W55" i="37" s="1"/>
  <c r="Y54" i="37"/>
  <c r="Q97" i="37"/>
  <c r="L97" i="37"/>
  <c r="W97" i="37" s="1"/>
  <c r="R53" i="37"/>
  <c r="Q31" i="37"/>
  <c r="L31" i="37"/>
  <c r="W31" i="37" s="1"/>
  <c r="R29" i="37"/>
  <c r="M29" i="37"/>
  <c r="X29" i="37" s="1"/>
  <c r="X36" i="37" s="1"/>
  <c r="L106" i="37"/>
  <c r="W106" i="37" s="1"/>
  <c r="Q106" i="37"/>
  <c r="V119" i="37"/>
  <c r="S119" i="37" s="1"/>
  <c r="S127" i="37" s="1"/>
  <c r="T119" i="37"/>
  <c r="Q119" i="37" s="1"/>
  <c r="Q127" i="37" s="1"/>
  <c r="U119" i="37"/>
  <c r="R119" i="37" s="1"/>
  <c r="R127" i="37" s="1"/>
  <c r="M97" i="37"/>
  <c r="X97" i="37" s="1"/>
  <c r="R97" i="37"/>
  <c r="M42" i="37"/>
  <c r="X42" i="37" s="1"/>
  <c r="X48" i="37" s="1"/>
  <c r="G101" i="37"/>
  <c r="M101" i="37"/>
  <c r="H101" i="37"/>
  <c r="R101" i="37"/>
  <c r="K101" i="37"/>
  <c r="I101" i="37"/>
  <c r="N101" i="37"/>
  <c r="AN101" i="37"/>
  <c r="AO101" i="37" s="1"/>
  <c r="Q101" i="37"/>
  <c r="Y101" i="37"/>
  <c r="U101" i="37"/>
  <c r="F101" i="37"/>
  <c r="T101" i="37"/>
  <c r="L101" i="37"/>
  <c r="AD101" i="37"/>
  <c r="AE101" i="37" s="1"/>
  <c r="X101" i="37"/>
  <c r="AL101" i="37"/>
  <c r="AM101" i="37" s="1"/>
  <c r="W101" i="37"/>
  <c r="AJ101" i="37"/>
  <c r="AK101" i="37" s="1"/>
  <c r="AB101" i="37"/>
  <c r="AC101" i="37" s="1"/>
  <c r="V101" i="37"/>
  <c r="Z101" i="37"/>
  <c r="AA101" i="37" s="1"/>
  <c r="J101" i="37"/>
  <c r="S101" i="37"/>
  <c r="AG101" i="37"/>
  <c r="AH101" i="37" s="1"/>
  <c r="AI101" i="37" s="1"/>
  <c r="Q44" i="37"/>
  <c r="L44" i="37"/>
  <c r="W44" i="37" s="1"/>
  <c r="U137" i="37"/>
  <c r="R137" i="37" s="1"/>
  <c r="R145" i="37" s="1"/>
  <c r="V137" i="37"/>
  <c r="S137" i="37" s="1"/>
  <c r="S145" i="37" s="1"/>
  <c r="T137" i="37"/>
  <c r="Q137" i="37" s="1"/>
  <c r="Q145" i="37" s="1"/>
  <c r="M106" i="37"/>
  <c r="X106" i="37" s="1"/>
  <c r="R106" i="37"/>
  <c r="S97" i="37"/>
  <c r="N97" i="37"/>
  <c r="Y97" i="37" s="1"/>
  <c r="Q107" i="37"/>
  <c r="R107" i="37"/>
  <c r="M107" i="37"/>
  <c r="X107" i="37" s="1"/>
  <c r="S44" i="37"/>
  <c r="N44" i="37"/>
  <c r="Y44" i="37" s="1"/>
  <c r="M43" i="37"/>
  <c r="X43" i="37" s="1"/>
  <c r="R43" i="37"/>
  <c r="L88" i="37"/>
  <c r="W88" i="37" s="1"/>
  <c r="Q88" i="37"/>
  <c r="X53" i="37"/>
  <c r="S32" i="37"/>
  <c r="N32" i="37"/>
  <c r="Y32" i="37" s="1"/>
  <c r="L30" i="37"/>
  <c r="W30" i="37" s="1"/>
  <c r="Q30" i="37"/>
  <c r="T20" i="37"/>
  <c r="Q20" i="37" s="1"/>
  <c r="T19" i="37"/>
  <c r="Q19" i="37" s="1"/>
  <c r="U71" i="37"/>
  <c r="R71"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N80" i="37"/>
  <c r="Y80" i="37" s="1"/>
  <c r="S80" i="37"/>
  <c r="R18" i="37"/>
  <c r="R24" i="37" s="1"/>
  <c r="M18" i="37"/>
  <c r="X18" i="37" s="1"/>
  <c r="L17" i="37"/>
  <c r="W17" i="37" s="1"/>
  <c r="Q17" i="37"/>
  <c r="R17" i="37"/>
  <c r="M17" i="37"/>
  <c r="X17" i="37" s="1"/>
  <c r="S17" i="37"/>
  <c r="N17" i="37"/>
  <c r="Y17" i="37" s="1"/>
  <c r="AG24" i="37"/>
  <c r="AH24" i="37" s="1"/>
  <c r="AI24" i="37" s="1"/>
  <c r="AN24" i="37"/>
  <c r="AO24" i="37" s="1"/>
  <c r="S40" i="14" s="1"/>
  <c r="AL24" i="37"/>
  <c r="AM24" i="37" s="1"/>
  <c r="F24" i="37"/>
  <c r="H24" i="37"/>
  <c r="K24" i="37"/>
  <c r="Q24" i="37"/>
  <c r="X24" i="37"/>
  <c r="J24" i="37"/>
  <c r="AJ24" i="37"/>
  <c r="AK24" i="37" s="1"/>
  <c r="AB24" i="37"/>
  <c r="AC24" i="37" s="1"/>
  <c r="Z24" i="37"/>
  <c r="N24" i="37"/>
  <c r="AD24" i="37"/>
  <c r="AE24" i="37" s="1"/>
  <c r="V24" i="37"/>
  <c r="G24" i="37"/>
  <c r="Y24" i="37"/>
  <c r="I24" i="37"/>
  <c r="U24" i="37"/>
  <c r="S19" i="37"/>
  <c r="G83" i="37"/>
  <c r="AB83" i="37"/>
  <c r="AC83" i="37" s="1"/>
  <c r="AG83" i="37"/>
  <c r="Z83" i="37"/>
  <c r="AA83" i="37" s="1"/>
  <c r="T83" i="37"/>
  <c r="V83" i="37"/>
  <c r="K83" i="37"/>
  <c r="AN83" i="37"/>
  <c r="AO83" i="37" s="1"/>
  <c r="I83" i="37"/>
  <c r="H83" i="37"/>
  <c r="J83" i="37"/>
  <c r="AD83" i="37"/>
  <c r="AE83" i="37" s="1"/>
  <c r="M40" i="14" s="1"/>
  <c r="F83" i="37"/>
  <c r="AJ83" i="37"/>
  <c r="AK83" i="37" s="1"/>
  <c r="O40" i="14" s="1"/>
  <c r="AL83" i="37"/>
  <c r="AM83" i="37" s="1"/>
  <c r="Q83" i="37"/>
  <c r="M19" i="37"/>
  <c r="X19" i="37" s="1"/>
  <c r="R19" i="37"/>
  <c r="N20" i="37"/>
  <c r="Y20" i="37" s="1"/>
  <c r="U6" i="37"/>
  <c r="R6" i="37" s="1"/>
  <c r="T6" i="37"/>
  <c r="L6" i="37" s="1"/>
  <c r="W6" i="37" s="1"/>
  <c r="N70" i="37"/>
  <c r="Y70" i="37" s="1"/>
  <c r="S70" i="37"/>
  <c r="R70" i="37"/>
  <c r="M70" i="37"/>
  <c r="X70" i="37" s="1"/>
  <c r="N7" i="37"/>
  <c r="Y7" i="37" s="1"/>
  <c r="S7" i="37"/>
  <c r="Q71" i="37"/>
  <c r="L71" i="37"/>
  <c r="W71" i="37" s="1"/>
  <c r="S71" i="37"/>
  <c r="M5" i="37"/>
  <c r="X5" i="37" s="1"/>
  <c r="R5" i="37"/>
  <c r="Q70" i="37"/>
  <c r="L70" i="37"/>
  <c r="W70" i="37" s="1"/>
  <c r="Q7" i="37"/>
  <c r="L7" i="37"/>
  <c r="W7" i="37" s="1"/>
  <c r="M7" i="37"/>
  <c r="X7" i="37" s="1"/>
  <c r="R7" i="37"/>
  <c r="AB74" i="37"/>
  <c r="AC74" i="37" s="1"/>
  <c r="AL74" i="37"/>
  <c r="AM74" i="37" s="1"/>
  <c r="Q74" i="37"/>
  <c r="U74" i="37"/>
  <c r="I74" i="37"/>
  <c r="T74" i="37"/>
  <c r="S74" i="37"/>
  <c r="Z74" i="37"/>
  <c r="AA74" i="37" s="1"/>
  <c r="J74" i="37"/>
  <c r="F74" i="37"/>
  <c r="G74" i="37"/>
  <c r="AN74" i="37"/>
  <c r="AO74" i="37" s="1"/>
  <c r="V74" i="37"/>
  <c r="Y74" i="37"/>
  <c r="AJ74" i="37"/>
  <c r="AK74" i="37" s="1"/>
  <c r="M74" i="37"/>
  <c r="AD74" i="37"/>
  <c r="AE74" i="37" s="1"/>
  <c r="K74" i="37"/>
  <c r="AG74" i="37"/>
  <c r="AH74" i="37" s="1"/>
  <c r="AI74" i="37" s="1"/>
  <c r="R74" i="37"/>
  <c r="W74" i="37"/>
  <c r="X74" i="37"/>
  <c r="L74" i="37"/>
  <c r="H74" i="37"/>
  <c r="N74" i="37"/>
  <c r="R8" i="37"/>
  <c r="M8" i="37"/>
  <c r="X8" i="37" s="1"/>
  <c r="N6" i="37"/>
  <c r="Y6" i="37" s="1"/>
  <c r="Y12" i="37" s="1"/>
  <c r="S6" i="37"/>
  <c r="AG12" i="37"/>
  <c r="K12" i="37"/>
  <c r="AN12" i="37"/>
  <c r="AO12" i="37" s="1"/>
  <c r="S39" i="14" s="1"/>
  <c r="H12" i="37"/>
  <c r="I12" i="37"/>
  <c r="J12" i="37"/>
  <c r="AL12" i="37"/>
  <c r="AM12" i="37" s="1"/>
  <c r="Q39" i="14" s="1"/>
  <c r="G12" i="37"/>
  <c r="V12" i="37"/>
  <c r="N12" i="37"/>
  <c r="AD12" i="37"/>
  <c r="AE12" i="37" s="1"/>
  <c r="M39" i="14" s="1"/>
  <c r="F12" i="37"/>
  <c r="AJ12" i="37"/>
  <c r="AK12" i="37" s="1"/>
  <c r="O39" i="14" s="1"/>
  <c r="Z12" i="37"/>
  <c r="AB12" i="37"/>
  <c r="AC12" i="37" s="1"/>
  <c r="K39" i="14" s="1"/>
  <c r="R39" i="14"/>
  <c r="R41" i="14"/>
  <c r="M41" i="14"/>
  <c r="L41" i="14"/>
  <c r="K41" i="14"/>
  <c r="J41" i="14"/>
  <c r="O41" i="14"/>
  <c r="N41" i="14"/>
  <c r="Q40" i="14"/>
  <c r="P40" i="14"/>
  <c r="Q24" i="14"/>
  <c r="H22" i="14"/>
  <c r="V105" i="12" s="1"/>
  <c r="F23" i="14"/>
  <c r="G106" i="12" s="1"/>
  <c r="J24" i="14"/>
  <c r="Q107" i="12" s="1"/>
  <c r="H106" i="12"/>
  <c r="D23" i="14"/>
  <c r="E106" i="12" s="1"/>
  <c r="H107" i="12"/>
  <c r="H23" i="14"/>
  <c r="V106" i="12" s="1"/>
  <c r="D24" i="14"/>
  <c r="E107" i="12" s="1"/>
  <c r="E22" i="14"/>
  <c r="F105" i="12" s="1"/>
  <c r="D22" i="14"/>
  <c r="E105" i="12" s="1"/>
  <c r="H24" i="14"/>
  <c r="V107" i="12" s="1"/>
  <c r="C23" i="14"/>
  <c r="D106" i="12" s="1"/>
  <c r="E24" i="14"/>
  <c r="F107" i="12" s="1"/>
  <c r="E23" i="14"/>
  <c r="F106" i="12" s="1"/>
  <c r="O24" i="14"/>
  <c r="T107" i="12" s="1"/>
  <c r="P24" i="14"/>
  <c r="U107" i="12" s="1"/>
  <c r="N24" i="14"/>
  <c r="S107" i="12" s="1"/>
  <c r="L43" i="37" l="1"/>
  <c r="W43" i="37" s="1"/>
  <c r="AH48" i="37"/>
  <c r="AI48" i="37" s="1"/>
  <c r="C42" i="14"/>
  <c r="AA48" i="37"/>
  <c r="I42" i="14" s="1"/>
  <c r="H42" i="14"/>
  <c r="AO48" i="37"/>
  <c r="S42" i="14" s="1"/>
  <c r="R42" i="14"/>
  <c r="M48" i="37"/>
  <c r="J23" i="14" s="1"/>
  <c r="Q106" i="12" s="1"/>
  <c r="N48" i="37"/>
  <c r="K23" i="14" s="1"/>
  <c r="R106" i="12" s="1"/>
  <c r="AE48" i="37"/>
  <c r="M42" i="14" s="1"/>
  <c r="L42" i="14"/>
  <c r="AK48" i="37"/>
  <c r="O42" i="14" s="1"/>
  <c r="N42" i="14"/>
  <c r="AC48" i="37"/>
  <c r="K42" i="14" s="1"/>
  <c r="J42" i="14"/>
  <c r="AM48" i="37"/>
  <c r="Q42" i="14" s="1"/>
  <c r="P42" i="14"/>
  <c r="L48" i="37"/>
  <c r="I23" i="14" s="1"/>
  <c r="P106" i="12" s="1"/>
  <c r="AH36" i="37"/>
  <c r="AI36" i="37" s="1"/>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S20" i="14" s="1"/>
  <c r="N88" i="37"/>
  <c r="Y88" i="37" s="1"/>
  <c r="R88" i="37"/>
  <c r="R80" i="37"/>
  <c r="Q8" i="37"/>
  <c r="S79" i="37"/>
  <c r="S83" i="37" s="1"/>
  <c r="L79" i="37"/>
  <c r="W79" i="37" s="1"/>
  <c r="W83" i="37" s="1"/>
  <c r="L20" i="37"/>
  <c r="W20" i="37" s="1"/>
  <c r="L18" i="37"/>
  <c r="Q80" i="37"/>
  <c r="M71" i="37"/>
  <c r="X71" i="37" s="1"/>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N83" i="37"/>
  <c r="Q12" i="37"/>
  <c r="Q20" i="14" s="1"/>
  <c r="R79" i="37"/>
  <c r="R83" i="37" s="1"/>
  <c r="L40" i="14"/>
  <c r="N40" i="14"/>
  <c r="M83" i="37"/>
  <c r="L83" i="37"/>
  <c r="AH83" i="37"/>
  <c r="AI83" i="37" s="1"/>
  <c r="C40" i="14"/>
  <c r="N39" i="14"/>
  <c r="P39" i="14"/>
  <c r="AH12" i="37"/>
  <c r="AI12" i="37" s="1"/>
  <c r="C39" i="14"/>
  <c r="W12" i="37"/>
  <c r="M12" i="37"/>
  <c r="J39" i="14"/>
  <c r="L39" i="14"/>
  <c r="R20" i="14"/>
  <c r="Q22" i="14"/>
  <c r="K22" i="14"/>
  <c r="R105" i="12" s="1"/>
  <c r="C22" i="14"/>
  <c r="D105" i="12" s="1"/>
  <c r="C24" i="14"/>
  <c r="D107" i="12" s="1"/>
  <c r="L106" i="12"/>
  <c r="N23" i="14"/>
  <c r="S106" i="12" s="1"/>
  <c r="O23" i="14"/>
  <c r="T106" i="12" s="1"/>
  <c r="P23" i="14"/>
  <c r="U106" i="12" s="1"/>
  <c r="J106" i="12"/>
  <c r="K106" i="12"/>
  <c r="I24" i="14"/>
  <c r="P107" i="12" s="1"/>
  <c r="J22" i="14"/>
  <c r="Q105" i="12" s="1"/>
  <c r="K24" i="14"/>
  <c r="R107" i="12" s="1"/>
  <c r="G42" i="14" l="1"/>
  <c r="E42" i="14"/>
  <c r="G41" i="14"/>
  <c r="E41" i="14"/>
  <c r="W18" i="37"/>
  <c r="W24" i="37" s="1"/>
  <c r="L24" i="37"/>
  <c r="G39" i="14"/>
  <c r="E39" i="14"/>
  <c r="G40" i="14"/>
  <c r="E40" i="14"/>
  <c r="J105" i="12"/>
  <c r="K105" i="12"/>
  <c r="L105" i="12"/>
  <c r="L107" i="12"/>
  <c r="K107" i="12"/>
  <c r="J107" i="12"/>
  <c r="I22" i="14"/>
  <c r="P105" i="12" s="1"/>
  <c r="P22" i="14"/>
  <c r="U105" i="12" s="1"/>
  <c r="O22" i="14"/>
  <c r="T105" i="12" s="1"/>
  <c r="N22" i="14"/>
  <c r="S105"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F181" i="7" s="1"/>
  <c r="M180" i="7" a="1"/>
  <c r="M180" i="7" s="1"/>
  <c r="BG24" i="7" a="1"/>
  <c r="BG24" i="7" s="1"/>
  <c r="BF24" i="7" s="1"/>
  <c r="CQ24" i="7"/>
  <c r="AF25" i="7"/>
  <c r="BG25" i="7" a="1"/>
  <c r="BG25" i="7" s="1"/>
  <c r="BF25" i="7" s="1"/>
  <c r="BJ25" i="7"/>
  <c r="BK25" i="7" s="1"/>
  <c r="BP25" i="7"/>
  <c r="U25" i="7" s="1"/>
  <c r="BQ25" i="7"/>
  <c r="BA25" i="7" s="1"/>
  <c r="BR25" i="7"/>
  <c r="BB25" i="7" s="1"/>
  <c r="BS25" i="7"/>
  <c r="BT25" i="7"/>
  <c r="BW25" i="7"/>
  <c r="BX25" i="7"/>
  <c r="BY25" i="7"/>
  <c r="BZ25" i="7"/>
  <c r="CJ25" i="7"/>
  <c r="CK25" i="7"/>
  <c r="CQ25" i="7"/>
  <c r="CS25" i="7"/>
  <c r="CT25" i="7"/>
  <c r="CU25" i="7"/>
  <c r="AF26" i="7"/>
  <c r="BG26" i="7" a="1"/>
  <c r="BG26" i="7" s="1"/>
  <c r="BF26" i="7" s="1"/>
  <c r="BJ26" i="7"/>
  <c r="BK26" i="7" s="1"/>
  <c r="BW26" i="7"/>
  <c r="CQ26" i="7"/>
  <c r="AE27" i="7"/>
  <c r="AF27" i="7"/>
  <c r="BG27" i="7" a="1"/>
  <c r="BG27" i="7" s="1"/>
  <c r="BF27" i="7" s="1"/>
  <c r="BU27" i="7"/>
  <c r="BV27" i="7"/>
  <c r="BW27" i="7"/>
  <c r="CQ27" i="7"/>
  <c r="AE28" i="7"/>
  <c r="AF28" i="7"/>
  <c r="BG28" i="7" a="1"/>
  <c r="BG28" i="7" s="1"/>
  <c r="BF28" i="7" s="1"/>
  <c r="BU28" i="7"/>
  <c r="BV28" i="7"/>
  <c r="BW28" i="7"/>
  <c r="CQ28" i="7"/>
  <c r="AE29" i="7"/>
  <c r="AF29" i="7"/>
  <c r="BG29" i="7" a="1"/>
  <c r="BG29" i="7" s="1"/>
  <c r="BF29" i="7" s="1"/>
  <c r="AB29" i="7" s="1"/>
  <c r="BU29" i="7"/>
  <c r="BV29" i="7"/>
  <c r="BW29" i="7"/>
  <c r="CQ29" i="7"/>
  <c r="AE30" i="7"/>
  <c r="AF30" i="7"/>
  <c r="BJ30" i="7"/>
  <c r="BK30" i="7" s="1"/>
  <c r="BM30" i="7"/>
  <c r="BN30" i="7"/>
  <c r="CZ30" i="7" s="1"/>
  <c r="BO30" i="7"/>
  <c r="DA30" i="7" s="1"/>
  <c r="BP30" i="7"/>
  <c r="U30" i="7" s="1"/>
  <c r="BQ30" i="7"/>
  <c r="BA30" i="7" s="1"/>
  <c r="BT30" i="7"/>
  <c r="BZ30" i="7"/>
  <c r="CQ30" i="7"/>
  <c r="AE31" i="7"/>
  <c r="AF31" i="7"/>
  <c r="BJ31" i="7"/>
  <c r="BK31" i="7" s="1"/>
  <c r="BM31" i="7"/>
  <c r="BN31" i="7"/>
  <c r="CZ31" i="7" s="1"/>
  <c r="BO31" i="7"/>
  <c r="DA31" i="7" s="1"/>
  <c r="BP31" i="7"/>
  <c r="U31" i="7" s="1"/>
  <c r="BQ31" i="7"/>
  <c r="BA31" i="7" s="1"/>
  <c r="BT31" i="7"/>
  <c r="BZ31" i="7"/>
  <c r="CQ31" i="7"/>
  <c r="AE32" i="7"/>
  <c r="AF32" i="7"/>
  <c r="AM32" i="7" a="1"/>
  <c r="AM32" i="7" s="1"/>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CS32" i="7"/>
  <c r="CT32" i="7"/>
  <c r="CU32" i="7"/>
  <c r="AE33" i="7"/>
  <c r="AF33" i="7"/>
  <c r="BJ33" i="7"/>
  <c r="BK33" i="7" s="1"/>
  <c r="BM33" i="7"/>
  <c r="BN33" i="7"/>
  <c r="CZ33" i="7" s="1"/>
  <c r="BO33" i="7"/>
  <c r="DA33" i="7" s="1"/>
  <c r="BP33" i="7"/>
  <c r="V33" i="7" s="1"/>
  <c r="AV33" i="7" s="1"/>
  <c r="BQ33" i="7"/>
  <c r="BA33" i="7" s="1"/>
  <c r="BT33" i="7"/>
  <c r="BZ33" i="7"/>
  <c r="CQ33" i="7"/>
  <c r="AE34" i="7"/>
  <c r="AF34" i="7"/>
  <c r="AM34" i="7" a="1"/>
  <c r="AM34" i="7" s="1"/>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AE35" i="7"/>
  <c r="AF35" i="7"/>
  <c r="AM35" i="7" a="1"/>
  <c r="AM35" i="7" s="1"/>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AE36" i="7"/>
  <c r="AF36" i="7"/>
  <c r="AM36" i="7" a="1"/>
  <c r="AM36" i="7" s="1"/>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AE37" i="7"/>
  <c r="AF37" i="7"/>
  <c r="AM37" i="7" a="1"/>
  <c r="AM37" i="7" s="1"/>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AE38" i="7"/>
  <c r="AF38" i="7"/>
  <c r="AM38" i="7" a="1"/>
  <c r="AM38" i="7" s="1"/>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BG23" i="7" a="1"/>
  <c r="BG23" i="7" s="1"/>
  <c r="AI107" i="12" a="1"/>
  <c r="AI107" i="12" s="1"/>
  <c r="AI103" i="12" a="1"/>
  <c r="AI103" i="12" s="1"/>
  <c r="AH107" i="12"/>
  <c r="CU27" i="7" s="1"/>
  <c r="AG106" i="12"/>
  <c r="CT26" i="7" s="1"/>
  <c r="AH109" i="12"/>
  <c r="CU29" i="7" s="1"/>
  <c r="AG109" i="12"/>
  <c r="CT29" i="7" s="1"/>
  <c r="AH108" i="12"/>
  <c r="AG108" i="12"/>
  <c r="CT28" i="7" s="1"/>
  <c r="AG107" i="12"/>
  <c r="AH106" i="12"/>
  <c r="CU26" i="7" s="1"/>
  <c r="AH104" i="12"/>
  <c r="CU24" i="7" s="1"/>
  <c r="AG104" i="12"/>
  <c r="CT24" i="7" s="1"/>
  <c r="AH103" i="12"/>
  <c r="CU23" i="7" s="1"/>
  <c r="AG103" i="12"/>
  <c r="CT23" i="7" s="1"/>
  <c r="AF109" i="12"/>
  <c r="CS29" i="7" s="1"/>
  <c r="AF108" i="12"/>
  <c r="AF107" i="12"/>
  <c r="CS27" i="7" s="1"/>
  <c r="AF106" i="12"/>
  <c r="CS26" i="7" s="1"/>
  <c r="AF104" i="12"/>
  <c r="CS24" i="7" s="1"/>
  <c r="AF103" i="12"/>
  <c r="CS23" i="7" s="1"/>
  <c r="AE103" i="12"/>
  <c r="CK23" i="7" s="1"/>
  <c r="AD109" i="12"/>
  <c r="CJ29" i="7" s="1"/>
  <c r="AD108" i="12"/>
  <c r="AD107" i="12"/>
  <c r="AD106" i="12"/>
  <c r="CJ26" i="7" s="1"/>
  <c r="AD104" i="12"/>
  <c r="CJ24" i="7" s="1"/>
  <c r="AD103" i="12"/>
  <c r="CJ23" i="7" s="1"/>
  <c r="AE109" i="12"/>
  <c r="CK29" i="7" s="1"/>
  <c r="AE108" i="12"/>
  <c r="AE107" i="12"/>
  <c r="CK27" i="7" s="1"/>
  <c r="AE106" i="12"/>
  <c r="CK26" i="7" s="1"/>
  <c r="AE104" i="12"/>
  <c r="CK24" i="7" s="1"/>
  <c r="AB106" i="12"/>
  <c r="AB103" i="12"/>
  <c r="BW23" i="7"/>
  <c r="BW24" i="7"/>
  <c r="BV23" i="7"/>
  <c r="BU23" i="7"/>
  <c r="C111" i="12"/>
  <c r="BG30" i="7" s="1" a="1"/>
  <c r="BG30" i="7" s="1"/>
  <c r="BF30" i="7" s="1"/>
  <c r="C112" i="12"/>
  <c r="BG33" i="7" s="1" a="1"/>
  <c r="BG33" i="7" s="1"/>
  <c r="BF33" i="7" s="1"/>
  <c r="C110" i="12"/>
  <c r="BG31" i="7" s="1" a="1"/>
  <c r="BG31" i="7" s="1"/>
  <c r="BF31" i="7" s="1"/>
  <c r="AI109" i="12" a="1"/>
  <c r="AI109" i="12" s="1"/>
  <c r="AJ109" i="12" a="1"/>
  <c r="AJ109" i="12" s="1"/>
  <c r="AK109" i="12" a="1"/>
  <c r="AK109" i="12" s="1"/>
  <c r="AI108" i="12" a="1"/>
  <c r="AI108" i="12" s="1"/>
  <c r="AJ108" i="12" a="1"/>
  <c r="AJ108" i="12" s="1"/>
  <c r="AK108" i="12" a="1"/>
  <c r="AK108" i="12" s="1"/>
  <c r="AJ107" i="12" a="1"/>
  <c r="AJ107" i="12" s="1"/>
  <c r="AK107" i="12" a="1"/>
  <c r="AK107" i="12" s="1"/>
  <c r="AI106" i="12" a="1"/>
  <c r="AI106" i="12" s="1"/>
  <c r="AJ106" i="12" a="1"/>
  <c r="AJ106" i="12" s="1"/>
  <c r="AK106" i="12" a="1"/>
  <c r="AK106" i="12" s="1"/>
  <c r="AI104" i="12" a="1"/>
  <c r="AI104" i="12" s="1"/>
  <c r="AJ104" i="12" a="1"/>
  <c r="AJ104" i="12" s="1"/>
  <c r="AK104" i="12" a="1"/>
  <c r="AK104" i="12" s="1"/>
  <c r="AJ103" i="12" a="1"/>
  <c r="AJ103" i="12" s="1"/>
  <c r="AK103" i="12" a="1"/>
  <c r="AK103" i="12" s="1"/>
  <c r="I180" i="7" l="1"/>
  <c r="F180" i="7"/>
  <c r="CK28" i="7"/>
  <c r="CT27" i="7"/>
  <c r="CJ27" i="7"/>
  <c r="CS28" i="7"/>
  <c r="CJ28" i="7"/>
  <c r="CU28" i="7"/>
  <c r="T110" i="12"/>
  <c r="J110" i="12"/>
  <c r="BX31" i="7" s="1"/>
  <c r="DM31" i="7" s="1"/>
  <c r="P110" i="12"/>
  <c r="BR31" i="7" s="1"/>
  <c r="BB31" i="7" s="1"/>
  <c r="Q110" i="12"/>
  <c r="BS31" i="7" s="1"/>
  <c r="S110" i="12"/>
  <c r="AM31" i="7" s="1" a="1"/>
  <c r="AM31" i="7" s="1"/>
  <c r="K110" i="12"/>
  <c r="BY31" i="7" s="1"/>
  <c r="AI112" i="12" a="1"/>
  <c r="AI112" i="12" s="1"/>
  <c r="BC33" i="7" s="1"/>
  <c r="J112" i="12"/>
  <c r="BX33" i="7" s="1"/>
  <c r="DL33" i="7" s="1"/>
  <c r="P112" i="12"/>
  <c r="BR33" i="7" s="1"/>
  <c r="BB33" i="7" s="1"/>
  <c r="Q112" i="12"/>
  <c r="BS33" i="7" s="1"/>
  <c r="K112" i="12"/>
  <c r="BY33" i="7" s="1"/>
  <c r="S112" i="12"/>
  <c r="AM33" i="7" s="1" a="1"/>
  <c r="AM33" i="7" s="1"/>
  <c r="T112" i="12"/>
  <c r="AF111" i="12"/>
  <c r="CS30" i="7" s="1"/>
  <c r="J111" i="12"/>
  <c r="BX30" i="7" s="1"/>
  <c r="DL30" i="7" s="1"/>
  <c r="P111" i="12"/>
  <c r="BR30" i="7" s="1"/>
  <c r="BB30" i="7" s="1"/>
  <c r="Q111" i="12"/>
  <c r="BS30" i="7" s="1"/>
  <c r="T111" i="12"/>
  <c r="K111" i="12"/>
  <c r="BY30" i="7" s="1"/>
  <c r="S111" i="12"/>
  <c r="AM30" i="7" s="1" a="1"/>
  <c r="AM30" i="7" s="1"/>
  <c r="C25" i="14"/>
  <c r="AE112" i="12"/>
  <c r="CK33" i="7" s="1"/>
  <c r="AK112" i="12" a="1"/>
  <c r="AK112" i="12" s="1"/>
  <c r="BE33" i="7" s="1"/>
  <c r="AI33" i="7" s="1"/>
  <c r="Z111" i="12"/>
  <c r="BW30" i="7" s="1"/>
  <c r="AI111" i="12" a="1"/>
  <c r="AI111" i="12" s="1"/>
  <c r="AE111" i="12"/>
  <c r="CK30" i="7" s="1"/>
  <c r="AD111" i="12"/>
  <c r="CJ30" i="7" s="1"/>
  <c r="AK111" i="12" a="1"/>
  <c r="AK111" i="12" s="1"/>
  <c r="DL25" i="7"/>
  <c r="CY34" i="7"/>
  <c r="U35" i="7"/>
  <c r="AX35" i="7" s="1"/>
  <c r="CY36" i="7"/>
  <c r="V32" i="7"/>
  <c r="DG32" i="7" s="1"/>
  <c r="CY38" i="7"/>
  <c r="CY32" i="7"/>
  <c r="DM34" i="7"/>
  <c r="DM35" i="7"/>
  <c r="X27" i="7"/>
  <c r="AB27" i="7"/>
  <c r="AV35" i="7"/>
  <c r="AH35" i="7" s="1"/>
  <c r="X31" i="7"/>
  <c r="AB31" i="7"/>
  <c r="DL38" i="7"/>
  <c r="DL37" i="7"/>
  <c r="DL34" i="7"/>
  <c r="AU32" i="7"/>
  <c r="DL36" i="7"/>
  <c r="U37" i="7"/>
  <c r="AU37" i="7" s="1"/>
  <c r="CY37" i="7"/>
  <c r="AV37" i="7"/>
  <c r="AY37" i="7"/>
  <c r="AB36" i="7"/>
  <c r="X36" i="7"/>
  <c r="AB34" i="7"/>
  <c r="X34" i="7"/>
  <c r="P37" i="7"/>
  <c r="AX38" i="7"/>
  <c r="AU38" i="7"/>
  <c r="AX34" i="7"/>
  <c r="AU34" i="7"/>
  <c r="X37" i="7"/>
  <c r="AB37" i="7"/>
  <c r="AU36" i="7"/>
  <c r="AX36" i="7"/>
  <c r="DM32" i="7"/>
  <c r="DL32" i="7"/>
  <c r="X38" i="7"/>
  <c r="AB38" i="7"/>
  <c r="AB35" i="7"/>
  <c r="X35" i="7"/>
  <c r="AB30" i="7"/>
  <c r="X30" i="7"/>
  <c r="DM38" i="7"/>
  <c r="V38" i="7"/>
  <c r="DG38" i="7" s="1"/>
  <c r="CY35" i="7"/>
  <c r="P35" i="7"/>
  <c r="I35" i="7" s="1"/>
  <c r="AX25" i="7"/>
  <c r="AU25" i="7"/>
  <c r="AU31" i="7"/>
  <c r="AX31" i="7"/>
  <c r="AU30" i="7"/>
  <c r="R37" i="7"/>
  <c r="DL35" i="7"/>
  <c r="X32" i="7"/>
  <c r="AB32" i="7"/>
  <c r="R38" i="7"/>
  <c r="DM36" i="7"/>
  <c r="V36" i="7"/>
  <c r="P36" i="7" s="1"/>
  <c r="U33" i="7"/>
  <c r="DG33" i="7" s="1"/>
  <c r="X28" i="7"/>
  <c r="AB28" i="7"/>
  <c r="AY35" i="7"/>
  <c r="V34" i="7"/>
  <c r="R34" i="7" s="1"/>
  <c r="AX30" i="7"/>
  <c r="X29" i="7"/>
  <c r="DM37" i="7"/>
  <c r="AY33" i="7"/>
  <c r="DM25" i="7"/>
  <c r="V25" i="7"/>
  <c r="R32" i="7"/>
  <c r="V30" i="7"/>
  <c r="BL30" i="7" s="1"/>
  <c r="V31" i="7"/>
  <c r="DD31" i="7" s="1"/>
  <c r="AI110" i="12" a="1"/>
  <c r="AI110" i="12" s="1"/>
  <c r="Z110" i="12"/>
  <c r="BW31" i="7" s="1"/>
  <c r="AG110" i="12"/>
  <c r="CT31" i="7" s="1"/>
  <c r="AJ110" i="12" a="1"/>
  <c r="AJ110" i="12" s="1"/>
  <c r="AD110" i="12"/>
  <c r="CJ31" i="7" s="1"/>
  <c r="AK110" i="12" a="1"/>
  <c r="AK110" i="12" s="1"/>
  <c r="AF110" i="12"/>
  <c r="CS31" i="7" s="1"/>
  <c r="AH110" i="12"/>
  <c r="CU31" i="7" s="1"/>
  <c r="AE110" i="12"/>
  <c r="CK31" i="7" s="1"/>
  <c r="AJ111" i="12" a="1"/>
  <c r="AJ111" i="12" s="1"/>
  <c r="AD112" i="12"/>
  <c r="CJ33" i="7" s="1"/>
  <c r="AG111" i="12"/>
  <c r="CT30" i="7" s="1"/>
  <c r="Z112" i="12"/>
  <c r="BW33" i="7" s="1"/>
  <c r="AH111" i="12"/>
  <c r="CU30" i="7" s="1"/>
  <c r="AJ112" i="12" a="1"/>
  <c r="AJ112" i="12" s="1"/>
  <c r="BD33" i="7" s="1"/>
  <c r="AH33" i="7" s="1"/>
  <c r="AG112" i="12"/>
  <c r="CT33" i="7" s="1"/>
  <c r="AF112" i="12"/>
  <c r="CS33" i="7" s="1"/>
  <c r="AH112" i="12"/>
  <c r="CU33" i="7" s="1"/>
  <c r="C26" i="14"/>
  <c r="D109" i="12" s="1"/>
  <c r="BJ29" i="7" s="1"/>
  <c r="BK29" i="7" s="1"/>
  <c r="AF24" i="7"/>
  <c r="AE23" i="7"/>
  <c r="DQ25" i="7" l="1"/>
  <c r="DP25" i="7"/>
  <c r="S25" i="7"/>
  <c r="T25" i="7" s="1"/>
  <c r="CM25" i="7" s="1"/>
  <c r="Q25" i="7"/>
  <c r="DM33" i="7"/>
  <c r="P32" i="7"/>
  <c r="DS42" i="7"/>
  <c r="DL31" i="7"/>
  <c r="DM30" i="7"/>
  <c r="D26" i="14"/>
  <c r="E109" i="12" s="1"/>
  <c r="BM29" i="7" s="1"/>
  <c r="CY29" i="7" s="1"/>
  <c r="F26" i="14"/>
  <c r="G109" i="12" s="1"/>
  <c r="BO29" i="7" s="1"/>
  <c r="DA29" i="7" s="1"/>
  <c r="E26" i="14"/>
  <c r="F109" i="12" s="1"/>
  <c r="BN29" i="7" s="1"/>
  <c r="CZ29" i="7" s="1"/>
  <c r="H26" i="14"/>
  <c r="V109" i="12" s="1"/>
  <c r="BQ29" i="7" s="1"/>
  <c r="BA29" i="7" s="1"/>
  <c r="D108" i="12"/>
  <c r="G26" i="14"/>
  <c r="H109" i="12" s="1"/>
  <c r="BP29" i="7" s="1"/>
  <c r="H25" i="14"/>
  <c r="V108" i="12" s="1"/>
  <c r="F25" i="14"/>
  <c r="G108" i="12" s="1"/>
  <c r="E25" i="14"/>
  <c r="F108" i="12" s="1"/>
  <c r="D25" i="14"/>
  <c r="E108" i="12" s="1"/>
  <c r="E21" i="14"/>
  <c r="F104" i="12" s="1"/>
  <c r="D21" i="14"/>
  <c r="E104" i="12" s="1"/>
  <c r="C21" i="14"/>
  <c r="D104" i="12" s="1"/>
  <c r="G21" i="14"/>
  <c r="H104" i="12" s="1"/>
  <c r="H21" i="14"/>
  <c r="V104" i="12" s="1"/>
  <c r="F21" i="14"/>
  <c r="G104" i="12" s="1"/>
  <c r="AF23" i="7"/>
  <c r="BL32" i="7"/>
  <c r="DD32" i="7"/>
  <c r="DG34" i="7"/>
  <c r="AV32" i="7"/>
  <c r="AU35" i="7"/>
  <c r="CV35" i="7" s="1"/>
  <c r="DF34" i="7"/>
  <c r="DG31" i="7"/>
  <c r="AY32" i="7"/>
  <c r="AA32" i="7" s="1"/>
  <c r="DF33" i="7"/>
  <c r="DF38" i="7"/>
  <c r="DG35" i="7"/>
  <c r="DF37" i="7"/>
  <c r="DG30" i="7"/>
  <c r="DG36" i="7"/>
  <c r="DF32" i="7"/>
  <c r="DF31" i="7"/>
  <c r="DF36" i="7"/>
  <c r="DF35" i="7"/>
  <c r="DG37" i="7"/>
  <c r="DF30" i="7"/>
  <c r="AD35" i="7"/>
  <c r="BL35" i="7"/>
  <c r="DD35" i="7"/>
  <c r="I37" i="7"/>
  <c r="DD37" i="7"/>
  <c r="CN32" i="7"/>
  <c r="BL37" i="7"/>
  <c r="J37" i="7"/>
  <c r="AI35" i="7"/>
  <c r="J35" i="7"/>
  <c r="L35" i="7" s="1"/>
  <c r="AG35" i="7"/>
  <c r="Z37" i="7"/>
  <c r="BL31" i="7"/>
  <c r="AX37" i="7"/>
  <c r="CV37" i="7" s="1"/>
  <c r="AL33" i="7"/>
  <c r="AK33" i="7"/>
  <c r="CO33" i="7"/>
  <c r="CN31" i="7"/>
  <c r="AC35" i="7"/>
  <c r="AL37" i="7"/>
  <c r="AK37" i="7"/>
  <c r="AJ37" i="7"/>
  <c r="AY30" i="7"/>
  <c r="AV30" i="7"/>
  <c r="CN30" i="7"/>
  <c r="R36" i="7"/>
  <c r="I36" i="7" s="1"/>
  <c r="BL36" i="7"/>
  <c r="AA35" i="7"/>
  <c r="AY25" i="7"/>
  <c r="AV25" i="7"/>
  <c r="DD30" i="7"/>
  <c r="BL25" i="7"/>
  <c r="CN36" i="7"/>
  <c r="AV36" i="7"/>
  <c r="Y36" i="7" s="1"/>
  <c r="AY36" i="7"/>
  <c r="AD36" i="7" s="1"/>
  <c r="AV34" i="7"/>
  <c r="Y34" i="7" s="1"/>
  <c r="AY34" i="7"/>
  <c r="AD34" i="7" s="1"/>
  <c r="CN25" i="7"/>
  <c r="AV38" i="7"/>
  <c r="Z38" i="7" s="1"/>
  <c r="AY38" i="7"/>
  <c r="AC38" i="7" s="1"/>
  <c r="DD36" i="7"/>
  <c r="CN34" i="7"/>
  <c r="CN38" i="7"/>
  <c r="AG37" i="7"/>
  <c r="CO37" i="7"/>
  <c r="AH37" i="7"/>
  <c r="AI37" i="7"/>
  <c r="P34" i="7"/>
  <c r="I34" i="7" s="1"/>
  <c r="BL38" i="7"/>
  <c r="Y37" i="7"/>
  <c r="DD34" i="7"/>
  <c r="DD38" i="7"/>
  <c r="AJ35" i="7"/>
  <c r="AK35" i="7"/>
  <c r="CO35" i="7"/>
  <c r="AL35" i="7"/>
  <c r="AV31" i="7"/>
  <c r="AY31" i="7"/>
  <c r="AX33" i="7"/>
  <c r="R33" i="7" s="1"/>
  <c r="BL33" i="7"/>
  <c r="DD33" i="7"/>
  <c r="AU33" i="7"/>
  <c r="P33" i="7"/>
  <c r="P31" i="7"/>
  <c r="BL34" i="7"/>
  <c r="W37" i="7"/>
  <c r="P38" i="7"/>
  <c r="I38" i="7" s="1"/>
  <c r="L37" i="7" l="1"/>
  <c r="N35" i="7"/>
  <c r="CL35" i="7" s="1"/>
  <c r="R30" i="7"/>
  <c r="R21" i="14"/>
  <c r="K104" i="12" s="1"/>
  <c r="S21" i="14"/>
  <c r="L104" i="12" s="1"/>
  <c r="Q21" i="14"/>
  <c r="J104" i="12" s="1"/>
  <c r="R31" i="7"/>
  <c r="P30" i="7"/>
  <c r="R26" i="14"/>
  <c r="K109" i="12" s="1"/>
  <c r="BY29" i="7" s="1"/>
  <c r="S26" i="14"/>
  <c r="L109" i="12" s="1"/>
  <c r="BZ29" i="7" s="1"/>
  <c r="Q26" i="14"/>
  <c r="J109" i="12" s="1"/>
  <c r="BX29" i="7" s="1"/>
  <c r="DL29" i="7" s="1"/>
  <c r="S25" i="14"/>
  <c r="L108" i="12" s="1"/>
  <c r="Q25" i="14"/>
  <c r="J108" i="12" s="1"/>
  <c r="R25" i="14"/>
  <c r="K108" i="12" s="1"/>
  <c r="N26" i="14"/>
  <c r="S109" i="12" s="1"/>
  <c r="AM29" i="7" s="1" a="1"/>
  <c r="AM29" i="7" s="1"/>
  <c r="G25" i="14"/>
  <c r="H108" i="12" s="1"/>
  <c r="O26" i="14"/>
  <c r="T109" i="12" s="1"/>
  <c r="P26" i="14"/>
  <c r="U109" i="12" s="1"/>
  <c r="BJ24" i="7"/>
  <c r="BK24" i="7" s="1"/>
  <c r="U29" i="7"/>
  <c r="V29" i="7"/>
  <c r="AL32" i="7"/>
  <c r="AK32" i="7"/>
  <c r="AJ32" i="7"/>
  <c r="W38" i="7"/>
  <c r="CN35" i="7"/>
  <c r="Y35" i="7"/>
  <c r="Z35" i="7"/>
  <c r="W35" i="7"/>
  <c r="DE35" i="7" s="1"/>
  <c r="AC32" i="7"/>
  <c r="AD32" i="7"/>
  <c r="CV32" i="7"/>
  <c r="P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CN33" i="7"/>
  <c r="Y33" i="7"/>
  <c r="AG36" i="7"/>
  <c r="CO36" i="7"/>
  <c r="AH36" i="7"/>
  <c r="AI36" i="7"/>
  <c r="AG38" i="7"/>
  <c r="CO38" i="7"/>
  <c r="AH38" i="7"/>
  <c r="AI38" i="7"/>
  <c r="W36" i="7"/>
  <c r="CO30" i="7"/>
  <c r="AA36" i="7"/>
  <c r="CV38" i="7"/>
  <c r="CO34" i="7"/>
  <c r="AG34" i="7"/>
  <c r="AH34" i="7"/>
  <c r="AI34" i="7"/>
  <c r="CV36" i="7"/>
  <c r="CO25" i="7"/>
  <c r="AD33" i="7"/>
  <c r="AC33" i="7"/>
  <c r="AD38" i="7"/>
  <c r="AA34" i="7"/>
  <c r="AJ36" i="7"/>
  <c r="AK36" i="7"/>
  <c r="AL36" i="7"/>
  <c r="AC36" i="7"/>
  <c r="O21" i="14" l="1"/>
  <c r="T104" i="12" s="1"/>
  <c r="P21" i="14"/>
  <c r="U104" i="12" s="1"/>
  <c r="J21" i="14"/>
  <c r="Q104" i="12" s="1"/>
  <c r="J26" i="14"/>
  <c r="Q109" i="12" s="1"/>
  <c r="BS29" i="7" s="1"/>
  <c r="I26" i="14"/>
  <c r="P109" i="12" s="1"/>
  <c r="BR29" i="7" s="1"/>
  <c r="BB29" i="7" s="1"/>
  <c r="K26" i="14"/>
  <c r="R109" i="12" s="1"/>
  <c r="BT29" i="7" s="1"/>
  <c r="K21" i="14"/>
  <c r="R104" i="12" s="1"/>
  <c r="DM29" i="7"/>
  <c r="P25" i="14"/>
  <c r="U108" i="12" s="1"/>
  <c r="K25" i="14"/>
  <c r="R108" i="12" s="1"/>
  <c r="N25" i="14"/>
  <c r="S108" i="12" s="1"/>
  <c r="I25" i="14"/>
  <c r="P108" i="12" s="1"/>
  <c r="O25" i="14"/>
  <c r="T108" i="12" s="1"/>
  <c r="J25" i="14"/>
  <c r="Q108" i="12" s="1"/>
  <c r="DD29" i="7"/>
  <c r="AV29" i="7"/>
  <c r="AY29" i="7"/>
  <c r="AX29" i="7"/>
  <c r="AU29" i="7"/>
  <c r="DG29" i="7"/>
  <c r="BL29" i="7"/>
  <c r="DF29" i="7"/>
  <c r="N21" i="14"/>
  <c r="S104" i="12" s="1"/>
  <c r="I21" i="14"/>
  <c r="P104" i="12" s="1"/>
  <c r="DE32" i="7"/>
  <c r="DE38" i="7"/>
  <c r="DE36" i="7"/>
  <c r="DE34" i="7"/>
  <c r="R29" i="7" l="1"/>
  <c r="P29" i="7"/>
  <c r="CO29" i="7"/>
  <c r="CN29" i="7"/>
  <c r="F20" i="14"/>
  <c r="G103" i="12" s="1"/>
  <c r="BO27" i="7" l="1"/>
  <c r="DA27" i="7" s="1"/>
  <c r="BO28" i="7"/>
  <c r="C20" i="14"/>
  <c r="D103" i="12" s="1"/>
  <c r="BJ28" i="7" s="1"/>
  <c r="BK28" i="7" s="1"/>
  <c r="G20" i="14"/>
  <c r="H103" i="12" s="1"/>
  <c r="BP28" i="7" s="1"/>
  <c r="H20" i="14"/>
  <c r="V103" i="12" s="1"/>
  <c r="BQ28" i="7" s="1"/>
  <c r="BA28" i="7" s="1"/>
  <c r="E20" i="14"/>
  <c r="F103" i="12" s="1"/>
  <c r="BN28" i="7" s="1"/>
  <c r="D20" i="14"/>
  <c r="E103" i="12" s="1"/>
  <c r="BM28" i="7" s="1"/>
  <c r="CY28" i="7" s="1"/>
  <c r="BO23" i="7"/>
  <c r="DA28" i="7" l="1"/>
  <c r="CZ28" i="7"/>
  <c r="V28" i="7"/>
  <c r="U28" i="7"/>
  <c r="BJ23" i="7"/>
  <c r="BJ27" i="7"/>
  <c r="BK27" i="7" s="1"/>
  <c r="BQ23" i="7"/>
  <c r="BQ27" i="7"/>
  <c r="BA27" i="7" s="1"/>
  <c r="BN23" i="7"/>
  <c r="BN27" i="7"/>
  <c r="BM23" i="7"/>
  <c r="BM27" i="7"/>
  <c r="BP23" i="7"/>
  <c r="BP27" i="7"/>
  <c r="L103" i="12"/>
  <c r="BZ28" i="7" s="1"/>
  <c r="K103" i="12"/>
  <c r="BY28" i="7" s="1"/>
  <c r="I20" i="14"/>
  <c r="P103" i="12" s="1"/>
  <c r="BR28" i="7" s="1"/>
  <c r="BB28" i="7" s="1"/>
  <c r="J20" i="14"/>
  <c r="Q103" i="12" s="1"/>
  <c r="BS28" i="7" s="1"/>
  <c r="J103" i="12"/>
  <c r="BX28" i="7" s="1"/>
  <c r="P20" i="14"/>
  <c r="U103" i="12" s="1"/>
  <c r="K20" i="14"/>
  <c r="R103" i="12" s="1"/>
  <c r="BT28" i="7" s="1"/>
  <c r="O20" i="14"/>
  <c r="T103" i="12" s="1"/>
  <c r="DL28" i="7" l="1"/>
  <c r="DM28" i="7"/>
  <c r="DD28" i="7"/>
  <c r="BL28" i="7"/>
  <c r="AX28" i="7"/>
  <c r="R28" i="7" s="1"/>
  <c r="AU28" i="7"/>
  <c r="DF28" i="7"/>
  <c r="AV28" i="7"/>
  <c r="AY28" i="7"/>
  <c r="DG28" i="7"/>
  <c r="BS23" i="7"/>
  <c r="BS27" i="7"/>
  <c r="CZ27" i="7"/>
  <c r="CY27" i="7"/>
  <c r="BR23" i="7"/>
  <c r="BR27" i="7"/>
  <c r="BB27" i="7" s="1"/>
  <c r="BY23" i="7"/>
  <c r="BY27" i="7"/>
  <c r="BX23" i="7"/>
  <c r="BX27" i="7"/>
  <c r="BZ23" i="7"/>
  <c r="BZ27" i="7"/>
  <c r="BT23" i="7"/>
  <c r="BT27" i="7"/>
  <c r="U27" i="7"/>
  <c r="V27" i="7"/>
  <c r="N20" i="14"/>
  <c r="S103" i="12" s="1"/>
  <c r="AM28" i="7" s="1" a="1"/>
  <c r="AM28" i="7" s="1"/>
  <c r="DP27" i="7" l="1"/>
  <c r="S27" i="7"/>
  <c r="T27" i="7" s="1"/>
  <c r="CM27" i="7" s="1"/>
  <c r="Q27" i="7"/>
  <c r="DQ27" i="7"/>
  <c r="DD27" i="7"/>
  <c r="P28" i="7"/>
  <c r="CN28" i="7"/>
  <c r="DF27" i="7"/>
  <c r="CO28" i="7"/>
  <c r="DL27" i="7"/>
  <c r="DM27" i="7"/>
  <c r="AM23" i="7" a="1"/>
  <c r="AM23" i="7" s="1"/>
  <c r="AM27" i="7" a="1"/>
  <c r="AM27" i="7" s="1"/>
  <c r="AV27" i="7"/>
  <c r="AY27" i="7"/>
  <c r="AX27" i="7"/>
  <c r="AU27" i="7"/>
  <c r="BL27" i="7"/>
  <c r="DG27" i="7"/>
  <c r="A21" i="7"/>
  <c r="R27" i="7" l="1"/>
  <c r="P27" i="7"/>
  <c r="CO27" i="7"/>
  <c r="CN27" i="7"/>
  <c r="Y61" i="14"/>
  <c r="X57" i="14"/>
  <c r="X58" i="14"/>
  <c r="X59" i="14"/>
  <c r="X60" i="14"/>
  <c r="X56" i="14"/>
  <c r="P75" i="7" l="1"/>
  <c r="P76" i="7"/>
  <c r="P77" i="7"/>
  <c r="P74" i="7"/>
  <c r="BC28" i="7" l="1"/>
  <c r="BD28" i="7"/>
  <c r="BE28" i="7"/>
  <c r="BC31" i="7"/>
  <c r="BD31" i="7"/>
  <c r="BE31" i="7"/>
  <c r="BE27" i="7"/>
  <c r="BC29" i="7"/>
  <c r="BD29" i="7"/>
  <c r="BE29" i="7"/>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AA28" i="7"/>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Z30" i="7"/>
  <c r="AL30" i="7"/>
  <c r="AI30" i="7"/>
  <c r="AD30" i="7"/>
  <c r="DE28" i="7"/>
  <c r="DE29" i="7"/>
  <c r="M5" i="7"/>
  <c r="N211" i="7" s="1"/>
  <c r="I151" i="7"/>
  <c r="C147" i="7"/>
  <c r="DE27" i="7" l="1"/>
  <c r="M9" i="7"/>
  <c r="BD12" i="7" s="1"/>
  <c r="Q151" i="7"/>
  <c r="V57" i="14"/>
  <c r="U57" i="14"/>
  <c r="W57" i="14"/>
  <c r="Q147" i="7" l="1"/>
  <c r="R144" i="7" s="1"/>
  <c r="Z144" i="7" s="1"/>
  <c r="F15" i="7"/>
  <c r="I187" i="7" l="1"/>
  <c r="I188" i="7"/>
  <c r="I189" i="7"/>
  <c r="I190" i="7"/>
  <c r="I191" i="7"/>
  <c r="I192" i="7"/>
  <c r="I193" i="7"/>
  <c r="I194" i="7"/>
  <c r="I195" i="7"/>
  <c r="I196" i="7"/>
  <c r="I183" i="7"/>
  <c r="I184" i="7"/>
  <c r="F183" i="7"/>
  <c r="F184" i="7"/>
  <c r="U58" i="14"/>
  <c r="V58" i="14"/>
  <c r="W58" i="14"/>
  <c r="U59" i="14"/>
  <c r="V59" i="14"/>
  <c r="W59" i="14"/>
  <c r="U60" i="14"/>
  <c r="V60" i="14"/>
  <c r="W60" i="14"/>
  <c r="U56" i="14"/>
  <c r="W56" i="14"/>
  <c r="V56" i="14"/>
  <c r="U61" i="14" l="1"/>
  <c r="V61" i="14"/>
  <c r="W61" i="14"/>
  <c r="G56" i="7" l="1"/>
  <c r="I206" i="7"/>
  <c r="AI144" i="7"/>
  <c r="G206" i="7" l="1"/>
  <c r="BF23" i="7"/>
  <c r="D201" i="7" l="1"/>
  <c r="I185" i="7"/>
  <c r="I198" i="7" l="1"/>
  <c r="I197" i="7"/>
  <c r="I186" i="7"/>
  <c r="I182" i="7"/>
  <c r="F182" i="7"/>
  <c r="M64" i="7" l="1"/>
  <c r="M60" i="7"/>
  <c r="M61" i="7"/>
  <c r="M62" i="7"/>
  <c r="M63" i="7"/>
  <c r="M65" i="7" l="1"/>
  <c r="M110" i="7"/>
  <c r="I110" i="7" s="1"/>
  <c r="P5" i="7"/>
  <c r="G44" i="31" s="1"/>
  <c r="H44" i="31" s="1"/>
  <c r="I44" i="31" s="1"/>
  <c r="J44" i="31" s="1"/>
  <c r="K44" i="31" s="1"/>
  <c r="I45" i="7"/>
  <c r="N45" i="7" s="1"/>
  <c r="I44" i="7"/>
  <c r="N44" i="7" s="1"/>
  <c r="X127" i="7"/>
  <c r="Z127" i="7"/>
  <c r="Z128" i="7"/>
  <c r="Z129" i="7"/>
  <c r="Z130" i="7"/>
  <c r="Y127" i="7"/>
  <c r="Y130" i="7"/>
  <c r="Y129" i="7"/>
  <c r="Y128" i="7"/>
  <c r="I152" i="7"/>
  <c r="D27" i="12"/>
  <c r="B11" i="7"/>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10" i="12" s="1"/>
  <c r="N133" i="7"/>
  <c r="J133" i="7" s="1"/>
  <c r="I42" i="7"/>
  <c r="N27" i="12" l="1"/>
  <c r="O27" i="12"/>
  <c r="B112" i="12"/>
  <c r="B111"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N28" i="12"/>
  <c r="N29" i="12"/>
  <c r="T26" i="12"/>
  <c r="U26" i="12"/>
  <c r="T28" i="12"/>
  <c r="T29" i="12"/>
  <c r="U29" i="12"/>
  <c r="U28" i="12"/>
  <c r="I32" i="7"/>
  <c r="Q26" i="12"/>
  <c r="S26" i="12"/>
  <c r="H26" i="12"/>
  <c r="R26" i="12"/>
  <c r="J26" i="12"/>
  <c r="F26" i="12"/>
  <c r="K26" i="12"/>
  <c r="V26" i="12"/>
  <c r="G26" i="12"/>
  <c r="L26" i="12"/>
  <c r="W26" i="12"/>
  <c r="M26" i="12"/>
  <c r="X26" i="12"/>
  <c r="P26" i="12"/>
  <c r="Y26" i="12"/>
  <c r="E26" i="12"/>
  <c r="E32" i="12" s="1"/>
  <c r="I26" i="12"/>
  <c r="I31" i="7"/>
  <c r="N34" i="7"/>
  <c r="AA131" i="7"/>
  <c r="G28" i="12"/>
  <c r="E29" i="12"/>
  <c r="I33" i="7"/>
  <c r="N132" i="7"/>
  <c r="N131" i="7" s="1"/>
  <c r="J131" i="7" s="1"/>
  <c r="N139" i="7" s="1"/>
  <c r="M131" i="7"/>
  <c r="I131" i="7" s="1"/>
  <c r="M139" i="7" s="1"/>
  <c r="I139" i="7" s="1"/>
  <c r="I145" i="7" s="1"/>
  <c r="J32" i="7"/>
  <c r="K98" i="31"/>
  <c r="L98" i="31" s="1"/>
  <c r="C13" i="7" s="1"/>
  <c r="A15" i="7" s="1"/>
  <c r="BK23" i="7"/>
  <c r="L32" i="7" l="1"/>
  <c r="N32" i="7"/>
  <c r="CL32" i="7" s="1"/>
  <c r="N32" i="12"/>
  <c r="O32" i="12"/>
  <c r="CL34" i="7"/>
  <c r="T32" i="12"/>
  <c r="U32" i="12"/>
  <c r="U36" i="12"/>
  <c r="U34" i="12"/>
  <c r="U35" i="12"/>
  <c r="T36" i="12"/>
  <c r="T34" i="12"/>
  <c r="T35" i="12"/>
  <c r="M145" i="7"/>
  <c r="J132" i="7"/>
  <c r="F29" i="12"/>
  <c r="G29" i="12"/>
  <c r="F28" i="12"/>
  <c r="I30" i="7"/>
  <c r="I28" i="7"/>
  <c r="I29" i="7"/>
  <c r="I27" i="7"/>
  <c r="I25" i="7"/>
  <c r="L42" i="7"/>
  <c r="N42" i="7" s="1"/>
  <c r="L41" i="7"/>
  <c r="I41" i="7" s="1"/>
  <c r="N145" i="7"/>
  <c r="J139" i="7"/>
  <c r="J145" i="7" s="1"/>
  <c r="L40" i="7"/>
  <c r="N40" i="7" s="1"/>
  <c r="N38" i="7"/>
  <c r="E36" i="12"/>
  <c r="E35" i="12"/>
  <c r="BM25" i="7" s="1"/>
  <c r="E34" i="12"/>
  <c r="DD25" i="7" l="1"/>
  <c r="BM24" i="7"/>
  <c r="BM26" i="7"/>
  <c r="CL38" i="7"/>
  <c r="N41" i="7"/>
  <c r="M42" i="7"/>
  <c r="I40" i="7"/>
  <c r="M41" i="7"/>
  <c r="F36" i="12"/>
  <c r="F34" i="12"/>
  <c r="F32" i="12"/>
  <c r="F35" i="12"/>
  <c r="BN25" i="7" s="1"/>
  <c r="CZ25" i="7" l="1"/>
  <c r="DF25" i="7"/>
  <c r="Y25" i="7"/>
  <c r="AC25" i="7"/>
  <c r="AK25" i="7"/>
  <c r="AH25" i="7"/>
  <c r="CZ23" i="7"/>
  <c r="BN24" i="7"/>
  <c r="CZ24" i="7" s="1"/>
  <c r="BN26" i="7"/>
  <c r="M40" i="7"/>
  <c r="G32" i="12"/>
  <c r="G35" i="12"/>
  <c r="BO25" i="7" s="1"/>
  <c r="G34" i="12"/>
  <c r="G36" i="12"/>
  <c r="DA25" i="7" l="1"/>
  <c r="DG25" i="7"/>
  <c r="AL25" i="7"/>
  <c r="AD25" i="7"/>
  <c r="AI25" i="7"/>
  <c r="Z25" i="7"/>
  <c r="CZ26" i="7"/>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H29" i="12"/>
  <c r="I29" i="12"/>
  <c r="P28" i="12"/>
  <c r="P29" i="12"/>
  <c r="R62" i="7" l="1"/>
  <c r="J62" i="7" s="1"/>
  <c r="R60" i="7"/>
  <c r="J60" i="7" s="1"/>
  <c r="R63" i="7"/>
  <c r="J63" i="7" s="1"/>
  <c r="R64" i="7"/>
  <c r="J64" i="7" s="1"/>
  <c r="I28" i="12"/>
  <c r="Q28" i="12"/>
  <c r="Q29" i="12"/>
  <c r="P32" i="12" l="1"/>
  <c r="H32" i="12"/>
  <c r="R28" i="12"/>
  <c r="R29" i="12"/>
  <c r="BR24" i="7" l="1"/>
  <c r="BR26" i="7"/>
  <c r="BB26" i="7" s="1"/>
  <c r="V23" i="7"/>
  <c r="BP24" i="7"/>
  <c r="BP26" i="7"/>
  <c r="U23" i="7"/>
  <c r="M32" i="12"/>
  <c r="S29" i="12"/>
  <c r="S28" i="12"/>
  <c r="I35" i="12"/>
  <c r="AE25" i="7" s="1"/>
  <c r="I36" i="12"/>
  <c r="I34" i="12"/>
  <c r="I32" i="12"/>
  <c r="DG23" i="7" l="1"/>
  <c r="DF23" i="7"/>
  <c r="DD23" i="7"/>
  <c r="AE24" i="7"/>
  <c r="AE26" i="7"/>
  <c r="U24" i="7"/>
  <c r="V24" i="7"/>
  <c r="U26" i="7"/>
  <c r="V26" i="7"/>
  <c r="AU23" i="7"/>
  <c r="AX23" i="7"/>
  <c r="BL23" i="7"/>
  <c r="AV23" i="7"/>
  <c r="AY23" i="7"/>
  <c r="V28" i="12"/>
  <c r="V29" i="12"/>
  <c r="S26" i="7" l="1"/>
  <c r="T26" i="7" s="1"/>
  <c r="CM26" i="7" s="1"/>
  <c r="Q26" i="7"/>
  <c r="DQ26" i="7"/>
  <c r="DP26" i="7"/>
  <c r="DF26" i="7"/>
  <c r="DG26" i="7"/>
  <c r="DG24" i="7"/>
  <c r="DF24" i="7"/>
  <c r="AY26" i="7"/>
  <c r="AV26" i="7"/>
  <c r="BL24" i="7"/>
  <c r="AV24" i="7"/>
  <c r="AY24" i="7"/>
  <c r="AX26" i="7"/>
  <c r="AU26" i="7"/>
  <c r="BL26" i="7"/>
  <c r="DD26" i="7"/>
  <c r="AU24" i="7"/>
  <c r="AX24" i="7"/>
  <c r="DD24" i="7"/>
  <c r="CN23" i="7"/>
  <c r="W29" i="12"/>
  <c r="W28" i="12"/>
  <c r="X29" i="12"/>
  <c r="X28" i="12"/>
  <c r="X32" i="12" s="1"/>
  <c r="Q32" i="12"/>
  <c r="X111" i="12" l="1"/>
  <c r="BU30" i="7" s="1"/>
  <c r="X112" i="12"/>
  <c r="BU33" i="7" s="1"/>
  <c r="DG39" i="7"/>
  <c r="DF39" i="7"/>
  <c r="DD39" i="7"/>
  <c r="I169" i="7" s="1"/>
  <c r="BL46" i="7"/>
  <c r="S144" i="7" s="1"/>
  <c r="AH144" i="7" s="1"/>
  <c r="CN26" i="7"/>
  <c r="CN24" i="7"/>
  <c r="BS24" i="7"/>
  <c r="BS26" i="7"/>
  <c r="J29" i="12"/>
  <c r="J28" i="12"/>
  <c r="R32" i="12"/>
  <c r="K28" i="12"/>
  <c r="K29" i="12"/>
  <c r="Y28" i="12"/>
  <c r="Y29" i="12"/>
  <c r="CV33" i="7" l="1"/>
  <c r="AA33" i="7"/>
  <c r="AB33" i="7" s="1"/>
  <c r="W33" i="7"/>
  <c r="X33" i="7" s="1"/>
  <c r="W30" i="7"/>
  <c r="CV30" i="7"/>
  <c r="AA30" i="7"/>
  <c r="F147" i="7"/>
  <c r="CN40" i="7"/>
  <c r="CN41" i="7" s="1"/>
  <c r="AE52" i="7" s="1"/>
  <c r="BB23" i="7"/>
  <c r="BT26" i="7"/>
  <c r="BT24" i="7"/>
  <c r="BB24" i="7" s="1"/>
  <c r="S36" i="12"/>
  <c r="S34" i="12"/>
  <c r="S32" i="12"/>
  <c r="S35" i="12"/>
  <c r="AM25" i="7" s="1" a="1"/>
  <c r="AM25" i="7" s="1"/>
  <c r="L29" i="12"/>
  <c r="L28" i="12"/>
  <c r="DP24" i="7" l="1"/>
  <c r="DQ24" i="7"/>
  <c r="DP23" i="7"/>
  <c r="DQ23" i="7"/>
  <c r="AA54" i="7"/>
  <c r="AM24" i="7" a="1"/>
  <c r="AM24" i="7" s="1"/>
  <c r="AM26" i="7" a="1"/>
  <c r="AM26" i="7" s="1"/>
  <c r="V32" i="12"/>
  <c r="BA23" i="7" l="1"/>
  <c r="P23" i="7" s="1"/>
  <c r="BQ24" i="7"/>
  <c r="BA24" i="7" s="1"/>
  <c r="BQ26" i="7"/>
  <c r="BA26" i="7" s="1"/>
  <c r="X34" i="12"/>
  <c r="X36" i="12"/>
  <c r="X35" i="12"/>
  <c r="BU25" i="7" s="1"/>
  <c r="W25" i="7" l="1"/>
  <c r="X25" i="7" s="1"/>
  <c r="AA25" i="7"/>
  <c r="AB25" i="7" s="1"/>
  <c r="CV25" i="7"/>
  <c r="R23" i="7"/>
  <c r="I23" i="7" s="1"/>
  <c r="AC23" i="7"/>
  <c r="AI23" i="7"/>
  <c r="AK23" i="7"/>
  <c r="Z23" i="7"/>
  <c r="P26" i="7"/>
  <c r="R26" i="7"/>
  <c r="AH23" i="7"/>
  <c r="AL23" i="7"/>
  <c r="AD23" i="7"/>
  <c r="Y23" i="7"/>
  <c r="CO23" i="7"/>
  <c r="P24" i="7"/>
  <c r="R24" i="7"/>
  <c r="BU24" i="7"/>
  <c r="BU26" i="7"/>
  <c r="X110" i="12"/>
  <c r="BU31" i="7" s="1"/>
  <c r="AK26" i="7"/>
  <c r="Y26" i="7"/>
  <c r="AI26" i="7"/>
  <c r="CO26" i="7"/>
  <c r="AC26" i="7"/>
  <c r="Z26" i="7"/>
  <c r="AD26" i="7"/>
  <c r="AL26" i="7"/>
  <c r="AH26" i="7"/>
  <c r="Z24" i="7"/>
  <c r="AD24" i="7"/>
  <c r="AI24" i="7"/>
  <c r="AK24" i="7"/>
  <c r="CO24" i="7"/>
  <c r="AH24" i="7"/>
  <c r="AL24" i="7"/>
  <c r="AC24" i="7"/>
  <c r="Y24" i="7"/>
  <c r="W23" i="7"/>
  <c r="CV23" i="7"/>
  <c r="AA23" i="7"/>
  <c r="K32" i="12"/>
  <c r="J32" i="12"/>
  <c r="Y36" i="12"/>
  <c r="Y35" i="12"/>
  <c r="BV25" i="7" s="1"/>
  <c r="Y34" i="12"/>
  <c r="Y32" i="12"/>
  <c r="CY25" i="7" l="1"/>
  <c r="AG25" i="7"/>
  <c r="AJ25" i="7"/>
  <c r="Y112" i="12"/>
  <c r="BV33" i="7" s="1"/>
  <c r="Y111" i="12"/>
  <c r="BV30" i="7" s="1"/>
  <c r="Y46" i="7"/>
  <c r="CV31" i="7"/>
  <c r="AA31" i="7"/>
  <c r="W31" i="7"/>
  <c r="I26" i="7"/>
  <c r="R47" i="7"/>
  <c r="AL46" i="7"/>
  <c r="Z46" i="7"/>
  <c r="AD46" i="7"/>
  <c r="I24" i="7"/>
  <c r="P47" i="7"/>
  <c r="AI46" i="7"/>
  <c r="AH46" i="7"/>
  <c r="AC46" i="7"/>
  <c r="CO40" i="7"/>
  <c r="CO41" i="7" s="1"/>
  <c r="AF52" i="7" s="1"/>
  <c r="AK46" i="7"/>
  <c r="BV24" i="7"/>
  <c r="BV26" i="7"/>
  <c r="Y110" i="12"/>
  <c r="BV31" i="7" s="1"/>
  <c r="BX24" i="7"/>
  <c r="BX26" i="7"/>
  <c r="DL26" i="7" s="1"/>
  <c r="BY24" i="7"/>
  <c r="BY26" i="7"/>
  <c r="W26" i="7"/>
  <c r="X26" i="7" s="1"/>
  <c r="AA26" i="7"/>
  <c r="AB26" i="7" s="1"/>
  <c r="CV26" i="7"/>
  <c r="CV24" i="7"/>
  <c r="W24" i="7"/>
  <c r="X24" i="7" s="1"/>
  <c r="AA24" i="7"/>
  <c r="AB24" i="7" s="1"/>
  <c r="AG23" i="7"/>
  <c r="CY23" i="7"/>
  <c r="AB23" i="7"/>
  <c r="X23" i="7"/>
  <c r="AJ23" i="7"/>
  <c r="L32" i="12"/>
  <c r="CY33" i="7" l="1"/>
  <c r="AG33" i="7"/>
  <c r="AJ33" i="7"/>
  <c r="DE25" i="7"/>
  <c r="CY30" i="7"/>
  <c r="AJ30" i="7"/>
  <c r="AG30" i="7"/>
  <c r="CY31" i="7"/>
  <c r="AG31" i="7"/>
  <c r="AJ31" i="7"/>
  <c r="M46" i="7"/>
  <c r="Y52" i="7" s="1"/>
  <c r="X57" i="7"/>
  <c r="W57" i="7"/>
  <c r="W58" i="7"/>
  <c r="X59" i="7"/>
  <c r="X58" i="7"/>
  <c r="W59" i="7"/>
  <c r="W56" i="7"/>
  <c r="CV40" i="7"/>
  <c r="DE23" i="7"/>
  <c r="W46" i="7"/>
  <c r="X46" i="7"/>
  <c r="DM23" i="7"/>
  <c r="BZ24" i="7"/>
  <c r="DM24" i="7" s="1"/>
  <c r="BZ26" i="7"/>
  <c r="DM26" i="7"/>
  <c r="X56" i="7"/>
  <c r="AA46" i="7"/>
  <c r="CY26" i="7"/>
  <c r="AJ26" i="7"/>
  <c r="AG26" i="7"/>
  <c r="AB46" i="7"/>
  <c r="CY24" i="7"/>
  <c r="AG24" i="7"/>
  <c r="AJ24" i="7"/>
  <c r="DL23" i="7"/>
  <c r="DL24" i="7" l="1"/>
  <c r="DP42" i="7"/>
  <c r="DE33" i="7"/>
  <c r="DE30" i="7"/>
  <c r="B71" i="7"/>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DL42" i="7"/>
  <c r="CY39" i="7"/>
  <c r="G57" i="7" s="1"/>
  <c r="DM42" i="7"/>
  <c r="B27" i="39" l="1"/>
  <c r="M148" i="7"/>
  <c r="A148" i="7" s="1"/>
  <c r="C71" i="7"/>
  <c r="B90" i="7" s="1"/>
  <c r="F71" i="7"/>
  <c r="B93" i="7" s="1"/>
  <c r="G179" i="7" s="1"/>
  <c r="R179" i="7" s="1"/>
  <c r="E71" i="7"/>
  <c r="B92" i="7" s="1"/>
  <c r="N49" i="7"/>
  <c r="G50" i="7"/>
  <c r="D50" i="7"/>
  <c r="AA59" i="7"/>
  <c r="DE39" i="7"/>
  <c r="I170" i="7" s="1"/>
  <c r="AA58" i="7"/>
  <c r="AA56" i="7"/>
  <c r="AA57" i="7"/>
  <c r="D55" i="7"/>
  <c r="P60" i="7" s="1"/>
  <c r="G60" i="7" s="1"/>
  <c r="B52" i="14"/>
  <c r="AN144" i="7"/>
  <c r="W64" i="14" l="1"/>
  <c r="V64" i="14"/>
  <c r="U64" i="14"/>
  <c r="CG29" i="7" s="1"/>
  <c r="P88" i="7"/>
  <c r="J89" i="7" s="1"/>
  <c r="E27" i="39"/>
  <c r="Y64" i="14"/>
  <c r="CC26" i="7" s="1"/>
  <c r="CI32" i="7"/>
  <c r="D27" i="39"/>
  <c r="H27" i="39"/>
  <c r="G27" i="39"/>
  <c r="I27" i="39"/>
  <c r="J27" i="39"/>
  <c r="F27" i="39"/>
  <c r="G71" i="7"/>
  <c r="B94" i="7" s="1"/>
  <c r="H179" i="7" s="1"/>
  <c r="S179" i="7" s="1"/>
  <c r="D71" i="7"/>
  <c r="B91" i="7" s="1"/>
  <c r="F179" i="7" s="1"/>
  <c r="I179" i="7" s="1"/>
  <c r="Y54" i="7" a="1"/>
  <c r="Y54" i="7" s="1"/>
  <c r="C27" i="39" s="1"/>
  <c r="P63" i="7"/>
  <c r="G63" i="7" s="1"/>
  <c r="P61" i="7"/>
  <c r="G61" i="7" s="1"/>
  <c r="V52" i="14"/>
  <c r="P62" i="7"/>
  <c r="G62" i="7" s="1"/>
  <c r="P64" i="7"/>
  <c r="G64" i="7" s="1"/>
  <c r="W52" i="14"/>
  <c r="U52" i="14"/>
  <c r="X61" i="14"/>
  <c r="AQ144" i="7"/>
  <c r="M143" i="7" s="1"/>
  <c r="Q88" i="7" l="1"/>
  <c r="J101" i="7" s="1"/>
  <c r="I101" i="7"/>
  <c r="CA38" i="7"/>
  <c r="DO38" i="7" s="1"/>
  <c r="CB23" i="7"/>
  <c r="CB36" i="7"/>
  <c r="CC29" i="7"/>
  <c r="CB34" i="7"/>
  <c r="CA30" i="7"/>
  <c r="DN30" i="7" s="1"/>
  <c r="CA24" i="7"/>
  <c r="CB38" i="7"/>
  <c r="CA34" i="7"/>
  <c r="DN34" i="7" s="1"/>
  <c r="CC25" i="7"/>
  <c r="CC27" i="7"/>
  <c r="CB26" i="7"/>
  <c r="CB35" i="7"/>
  <c r="CA33" i="7"/>
  <c r="DO33" i="7" s="1"/>
  <c r="CA29" i="7"/>
  <c r="DO29" i="7" s="1"/>
  <c r="CC36" i="7"/>
  <c r="CB25" i="7"/>
  <c r="CC38" i="7"/>
  <c r="CC24" i="7"/>
  <c r="CC23" i="7"/>
  <c r="CA37" i="7"/>
  <c r="DO37" i="7" s="1"/>
  <c r="CB24" i="7"/>
  <c r="CA35" i="7"/>
  <c r="DN35" i="7" s="1"/>
  <c r="CC30" i="7"/>
  <c r="CA27" i="7"/>
  <c r="DN27" i="7" s="1"/>
  <c r="CA23" i="7"/>
  <c r="DO23" i="7" s="1"/>
  <c r="S23" i="7" s="1"/>
  <c r="CA36" i="7"/>
  <c r="DN36" i="7" s="1"/>
  <c r="CB30" i="7"/>
  <c r="CC28" i="7"/>
  <c r="CC33" i="7"/>
  <c r="CA32" i="7"/>
  <c r="DO32" i="7" s="1"/>
  <c r="CB28" i="7"/>
  <c r="CB32" i="7"/>
  <c r="CA26" i="7"/>
  <c r="DN26" i="7" s="1"/>
  <c r="CC32" i="7"/>
  <c r="CC31" i="7"/>
  <c r="CA31" i="7"/>
  <c r="DO31" i="7" s="1"/>
  <c r="CC35" i="7"/>
  <c r="CB29" i="7"/>
  <c r="CB27" i="7"/>
  <c r="CA28" i="7"/>
  <c r="DN28" i="7" s="1"/>
  <c r="CC37" i="7"/>
  <c r="CA25" i="7"/>
  <c r="DN25" i="7" s="1"/>
  <c r="CC34" i="7"/>
  <c r="CB33" i="7"/>
  <c r="CB31" i="7"/>
  <c r="CB37" i="7"/>
  <c r="W54" i="7"/>
  <c r="H50" i="7" s="1"/>
  <c r="H71" i="7" s="1"/>
  <c r="T75" i="7"/>
  <c r="U75" i="7"/>
  <c r="U76" i="7"/>
  <c r="T76" i="7"/>
  <c r="T77" i="7"/>
  <c r="U77" i="7"/>
  <c r="T74" i="7"/>
  <c r="U74" i="7"/>
  <c r="CG28" i="7"/>
  <c r="CG25" i="7"/>
  <c r="CG24" i="7"/>
  <c r="CG30" i="7"/>
  <c r="CG32" i="7"/>
  <c r="CG34" i="7"/>
  <c r="CG38" i="7"/>
  <c r="CG31" i="7"/>
  <c r="CG36" i="7"/>
  <c r="CG26" i="7"/>
  <c r="CG33" i="7"/>
  <c r="CG35" i="7"/>
  <c r="CG37" i="7"/>
  <c r="CG23" i="7"/>
  <c r="CH28" i="7"/>
  <c r="CH37" i="7"/>
  <c r="CH27" i="7"/>
  <c r="CH36" i="7"/>
  <c r="CH25" i="7"/>
  <c r="CH30" i="7"/>
  <c r="CH23" i="7"/>
  <c r="CH32" i="7"/>
  <c r="CH29" i="7"/>
  <c r="CH35" i="7"/>
  <c r="CH24" i="7"/>
  <c r="CH33" i="7"/>
  <c r="CH34" i="7"/>
  <c r="CH38" i="7"/>
  <c r="CH26" i="7"/>
  <c r="CH31" i="7"/>
  <c r="CI26" i="7"/>
  <c r="CI25" i="7"/>
  <c r="CI33" i="7"/>
  <c r="CI24" i="7"/>
  <c r="CI36" i="7"/>
  <c r="CI23" i="7"/>
  <c r="CI27" i="7"/>
  <c r="CI31" i="7"/>
  <c r="CI37" i="7"/>
  <c r="CI38" i="7"/>
  <c r="CI30" i="7"/>
  <c r="CI35" i="7"/>
  <c r="CI29" i="7"/>
  <c r="CI34" i="7"/>
  <c r="CI28" i="7"/>
  <c r="CG27" i="7"/>
  <c r="F89" i="7"/>
  <c r="G96" i="7" s="1"/>
  <c r="N88" i="7"/>
  <c r="S88" i="7"/>
  <c r="CM88" i="7"/>
  <c r="CL88" i="7"/>
  <c r="T88" i="7"/>
  <c r="DN38" i="7" l="1"/>
  <c r="AN38" i="7"/>
  <c r="DN24" i="7"/>
  <c r="Q24" i="7" s="1"/>
  <c r="DO30" i="7"/>
  <c r="T23" i="7"/>
  <c r="CM23" i="7" s="1"/>
  <c r="AQ30" i="7"/>
  <c r="AS24" i="7"/>
  <c r="DO34" i="7"/>
  <c r="AP34" i="7"/>
  <c r="AQ34" i="7"/>
  <c r="AO34" i="7"/>
  <c r="AQ24" i="7"/>
  <c r="AR24" i="7"/>
  <c r="DO24" i="7"/>
  <c r="DN33" i="7"/>
  <c r="J33" i="7" s="1"/>
  <c r="N33" i="7" s="1"/>
  <c r="AQ29" i="7"/>
  <c r="AR36" i="7"/>
  <c r="AN36" i="7"/>
  <c r="AN29" i="7"/>
  <c r="DN29" i="7"/>
  <c r="J29" i="7" s="1"/>
  <c r="L29" i="7" s="1"/>
  <c r="DO36" i="7"/>
  <c r="AS36" i="7"/>
  <c r="DN32" i="7"/>
  <c r="DO26" i="7"/>
  <c r="DN23" i="7"/>
  <c r="Q23" i="7" s="1"/>
  <c r="DO35" i="7"/>
  <c r="AP32" i="7"/>
  <c r="AN23" i="7"/>
  <c r="AN32" i="7"/>
  <c r="AO27" i="7"/>
  <c r="AS32" i="7"/>
  <c r="DN31" i="7"/>
  <c r="J31" i="7" s="1"/>
  <c r="L31" i="7" s="1"/>
  <c r="DO28" i="7"/>
  <c r="AR28" i="7"/>
  <c r="AN27" i="7"/>
  <c r="AS31" i="7"/>
  <c r="AR31" i="7"/>
  <c r="DN37" i="7"/>
  <c r="DO27" i="7"/>
  <c r="AN31" i="7"/>
  <c r="DO25" i="7"/>
  <c r="AQ25" i="7"/>
  <c r="AQ28" i="7"/>
  <c r="J30" i="7"/>
  <c r="L30" i="7" s="1"/>
  <c r="X75" i="7"/>
  <c r="J92" i="7" s="1"/>
  <c r="X77" i="7"/>
  <c r="J94" i="7" s="1"/>
  <c r="X76" i="7"/>
  <c r="J93" i="7" s="1"/>
  <c r="S75" i="7"/>
  <c r="R77" i="7"/>
  <c r="R75" i="7"/>
  <c r="X74" i="7"/>
  <c r="J91" i="7" s="1"/>
  <c r="B30" i="39" s="1"/>
  <c r="S76" i="7"/>
  <c r="S77" i="7"/>
  <c r="R74" i="7"/>
  <c r="R76" i="7"/>
  <c r="S74" i="7"/>
  <c r="AN28" i="7"/>
  <c r="AN24" i="7"/>
  <c r="AN30" i="7"/>
  <c r="AQ36" i="7"/>
  <c r="AQ32" i="7"/>
  <c r="AN25" i="7"/>
  <c r="AN34" i="7"/>
  <c r="AR34" i="7"/>
  <c r="AO36" i="7"/>
  <c r="AO24" i="7"/>
  <c r="AQ31" i="7"/>
  <c r="AR27" i="7"/>
  <c r="AQ38" i="7"/>
  <c r="CW38" i="7" s="1"/>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N36" i="7"/>
  <c r="N37" i="7"/>
  <c r="M95" i="7"/>
  <c r="M97" i="7" s="1"/>
  <c r="S24" i="7" l="1"/>
  <c r="T24" i="7" s="1"/>
  <c r="CM24" i="7" s="1"/>
  <c r="CW30" i="7"/>
  <c r="J23" i="7"/>
  <c r="CW24" i="7"/>
  <c r="CW34" i="7"/>
  <c r="CW29" i="7"/>
  <c r="CW36" i="7"/>
  <c r="L33" i="7"/>
  <c r="CW31" i="7"/>
  <c r="N29" i="7"/>
  <c r="CL29" i="7" s="1"/>
  <c r="CW28" i="7"/>
  <c r="J27" i="7"/>
  <c r="L27" i="7" s="1"/>
  <c r="CL33" i="7"/>
  <c r="CW32" i="7"/>
  <c r="CW27" i="7"/>
  <c r="J28" i="7"/>
  <c r="B33" i="39"/>
  <c r="H30" i="39"/>
  <c r="G30" i="39"/>
  <c r="F30" i="39"/>
  <c r="E30" i="39"/>
  <c r="C30" i="39"/>
  <c r="J30" i="39"/>
  <c r="D30" i="39"/>
  <c r="I30" i="39"/>
  <c r="N30" i="7"/>
  <c r="N31" i="7"/>
  <c r="W77" i="7"/>
  <c r="F94" i="7" s="1"/>
  <c r="W75" i="7"/>
  <c r="F92" i="7" s="1"/>
  <c r="W76" i="7"/>
  <c r="F93" i="7" s="1"/>
  <c r="W74" i="7"/>
  <c r="F91" i="7" s="1"/>
  <c r="J25" i="7"/>
  <c r="L25" i="7" s="1"/>
  <c r="J26" i="7"/>
  <c r="L26" i="7" s="1"/>
  <c r="AN46" i="7"/>
  <c r="CW25" i="7"/>
  <c r="AQ46" i="7"/>
  <c r="CW23" i="7"/>
  <c r="AP46" i="7"/>
  <c r="CW35" i="7"/>
  <c r="CW37" i="7"/>
  <c r="CW26" i="7"/>
  <c r="CW33" i="7"/>
  <c r="AR46" i="7"/>
  <c r="AO46" i="7"/>
  <c r="AS46" i="7"/>
  <c r="CL36" i="7"/>
  <c r="CL37" i="7"/>
  <c r="S95" i="7"/>
  <c r="T95" i="7"/>
  <c r="M138" i="7" s="1"/>
  <c r="I138" i="7" s="1"/>
  <c r="C97" i="7"/>
  <c r="M136" i="7" s="1"/>
  <c r="I137" i="7" s="1"/>
  <c r="C98" i="7"/>
  <c r="J24" i="7" l="1"/>
  <c r="L24" i="7" s="1"/>
  <c r="T47" i="7"/>
  <c r="L23" i="7"/>
  <c r="N23" i="7"/>
  <c r="N27" i="7"/>
  <c r="L28" i="7"/>
  <c r="N28" i="7"/>
  <c r="B29" i="39"/>
  <c r="B32" i="39" s="1"/>
  <c r="B31" i="39"/>
  <c r="M101" i="7"/>
  <c r="C102" i="7" s="1"/>
  <c r="CL31" i="7"/>
  <c r="N26" i="7"/>
  <c r="CL26" i="7" s="1"/>
  <c r="N25" i="7"/>
  <c r="CL30" i="7"/>
  <c r="M100" i="7"/>
  <c r="C101" i="7" s="1"/>
  <c r="M99" i="7"/>
  <c r="C100" i="7" s="1"/>
  <c r="M98" i="7"/>
  <c r="C99" i="7" s="1"/>
  <c r="CW40" i="7"/>
  <c r="M144" i="7"/>
  <c r="M142" i="7"/>
  <c r="I143" i="7" s="1"/>
  <c r="I140" i="7"/>
  <c r="N24" i="7" l="1"/>
  <c r="N46" i="7"/>
  <c r="AL54" i="7" s="1"/>
  <c r="E48" i="7"/>
  <c r="CL23" i="7"/>
  <c r="I144" i="7"/>
  <c r="I146" i="7"/>
  <c r="CL27" i="7"/>
  <c r="CL28" i="7"/>
  <c r="H29" i="39"/>
  <c r="I29" i="39"/>
  <c r="C29" i="39"/>
  <c r="J29" i="39"/>
  <c r="D29" i="39"/>
  <c r="E29" i="39"/>
  <c r="F29" i="39"/>
  <c r="G29" i="39"/>
  <c r="B34" i="39"/>
  <c r="D31" i="39"/>
  <c r="C31" i="39"/>
  <c r="J31" i="39"/>
  <c r="I31" i="39"/>
  <c r="H31" i="39"/>
  <c r="G31" i="39"/>
  <c r="F31" i="39"/>
  <c r="E31" i="39"/>
  <c r="N47" i="7"/>
  <c r="N96" i="7" s="1"/>
  <c r="CL24" i="7"/>
  <c r="CL25" i="7"/>
  <c r="AG52" i="7"/>
  <c r="AL52" i="7"/>
  <c r="AJ54" i="7"/>
  <c r="AG54" i="7"/>
  <c r="AI52" i="7"/>
  <c r="AI54" i="7"/>
  <c r="AH52" i="7"/>
  <c r="AH54" i="7" l="1"/>
  <c r="AK52" i="7"/>
  <c r="AK54" i="7"/>
  <c r="J46" i="7"/>
  <c r="B28" i="39" s="1"/>
  <c r="C25" i="39" s="1"/>
  <c r="AJ52" i="7"/>
  <c r="N95" i="7"/>
  <c r="I102" i="7" s="1"/>
  <c r="E51" i="7"/>
  <c r="F28" i="39" s="1"/>
  <c r="J102" i="7"/>
  <c r="CL97" i="7"/>
  <c r="CL98" i="7" s="1"/>
  <c r="N137" i="7" s="1"/>
  <c r="N136" i="7" s="1"/>
  <c r="J137" i="7" s="1"/>
  <c r="CM97" i="7"/>
  <c r="CM98" i="7" s="1"/>
  <c r="J47" i="7"/>
  <c r="J100" i="7" s="1"/>
  <c r="D51" i="7"/>
  <c r="M178" i="7"/>
  <c r="I178" i="7" s="1"/>
  <c r="F199" i="7" s="1"/>
  <c r="G51" i="7"/>
  <c r="H28" i="39" s="1"/>
  <c r="F51" i="7"/>
  <c r="G28" i="39" s="1"/>
  <c r="I100" i="7"/>
  <c r="AM52" i="7"/>
  <c r="AM54" i="7" s="1"/>
  <c r="C51" i="7" s="1"/>
  <c r="D28" i="39" s="1"/>
  <c r="N143" i="7" l="1"/>
  <c r="N138" i="7"/>
  <c r="J138" i="7" s="1"/>
  <c r="E28" i="39"/>
  <c r="F177" i="7"/>
  <c r="Q178" i="7" s="1"/>
  <c r="I199" i="7"/>
  <c r="Q205" i="7" s="1"/>
  <c r="I28" i="39"/>
  <c r="J28" i="39"/>
  <c r="G177" i="7"/>
  <c r="R178" i="7" s="1"/>
  <c r="R199" i="7" s="1"/>
  <c r="H177" i="7"/>
  <c r="S178" i="7" s="1"/>
  <c r="S199" i="7" s="1"/>
  <c r="N142" i="7" l="1"/>
  <c r="J143" i="7" s="1"/>
  <c r="N144" i="7"/>
  <c r="J144" i="7" s="1"/>
  <c r="J140" i="7"/>
  <c r="Q206" i="7"/>
  <c r="Q207" i="7" s="1"/>
  <c r="A212" i="7"/>
  <c r="Q199" i="7"/>
  <c r="J146" i="7" l="1"/>
  <c r="Q208" i="7"/>
  <c r="I205" i="7" s="1"/>
  <c r="G215" i="7" s="1"/>
  <c r="J215" i="7" l="1"/>
  <c r="I215" i="7"/>
  <c r="G208" i="7"/>
  <c r="G205" i="7"/>
  <c r="I207" i="7"/>
  <c r="G20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Sperger, Christian (LfL)</author>
    <author>msbo</author>
    <author>Braun, Joseph (LfL)</author>
    <author>Offenberger, Konrad (LfL)</author>
    <author>Schmücker, Rebekka (LfL)</author>
    <author>Brandl, Maria (LfL)</author>
    <author>Hierlmeier, Michael (LfL)</author>
  </authors>
  <commentList>
    <comment ref="A5" authorId="0" shapeId="0" xr:uid="{00000000-0006-0000-0000-000001000000}">
      <text>
        <r>
          <rPr>
            <sz val="9"/>
            <color indexed="81"/>
            <rFont val="Tahoma"/>
            <family val="2"/>
          </rPr>
          <t>Betriebsnummer ist</t>
        </r>
        <r>
          <rPr>
            <b/>
            <sz val="9"/>
            <color indexed="81"/>
            <rFont val="Tahoma"/>
            <family val="2"/>
          </rPr>
          <t xml:space="preserve"> immer</t>
        </r>
        <r>
          <rPr>
            <sz val="9"/>
            <color indexed="81"/>
            <rFont val="Tahoma"/>
            <family val="2"/>
          </rPr>
          <t xml:space="preserve"> 10stellig anzugeben
Bsp.: 1781001010
Wenn keine Betriebsnummer vorhanden ist, </t>
        </r>
        <r>
          <rPr>
            <b/>
            <sz val="9"/>
            <color indexed="81"/>
            <rFont val="Tahoma"/>
            <family val="2"/>
          </rPr>
          <t>muss</t>
        </r>
        <r>
          <rPr>
            <sz val="9"/>
            <color indexed="81"/>
            <rFont val="Tahoma"/>
            <family val="2"/>
          </rPr>
          <t xml:space="preserve"> das Geburtsdatum angegeben werden.</t>
        </r>
      </text>
    </comment>
    <comment ref="F5" authorId="1" shapeId="0" xr:uid="{BB9774FF-EB3D-4923-BD17-881471CF34E3}">
      <text>
        <r>
          <rPr>
            <sz val="10"/>
            <color indexed="81"/>
            <rFont val="Tahoma"/>
            <family val="2"/>
          </rPr>
          <t xml:space="preserve">Landwirtschaftlich genutzte Fläche.
</t>
        </r>
      </text>
    </comment>
    <comment ref="A7" authorId="2" shapeId="0" xr:uid="{0D879C86-262B-4228-BC32-5C29E75AA40A}">
      <text>
        <r>
          <rPr>
            <sz val="9"/>
            <color indexed="81"/>
            <rFont val="Segoe UI"/>
            <family val="2"/>
          </rPr>
          <t xml:space="preserve">Wenn keine Betriebsnummer angegeben wird, ist die Eingabe des Geburtsdatums zwingend notwendig.
</t>
        </r>
      </text>
    </comment>
    <comment ref="G7" authorId="3" shapeId="0" xr:uid="{73E3DDF9-BD44-4D68-BEC0-FBB854C969EC}">
      <text>
        <r>
          <rPr>
            <sz val="9"/>
            <color indexed="81"/>
            <rFont val="Tahoma"/>
            <family val="2"/>
          </rPr>
          <t>z.B. Wasserschutzgebiet Zone II, Kulap,Vertragsnaturschutzprogramm.
Stilllegungsflächen sind nicht hier, sondern in G8 anzugeben.</t>
        </r>
      </text>
    </comment>
    <comment ref="G8" authorId="1" shapeId="0" xr:uid="{00000000-0006-0000-0000-000003000000}">
      <text>
        <r>
          <rPr>
            <sz val="10"/>
            <color indexed="81"/>
            <rFont val="Tahoma"/>
            <family val="2"/>
          </rPr>
          <t xml:space="preserve">Hier sind nur Flächen anzugeben, die nicht gedüngt und auch nicht genutzt werden. </t>
        </r>
      </text>
    </comment>
    <comment ref="G10" authorId="3" shapeId="0" xr:uid="{A903D82E-20E1-4486-AB5C-6B94E6CCD920}">
      <text>
        <r>
          <rPr>
            <sz val="9"/>
            <color indexed="81"/>
            <rFont val="Tahoma"/>
            <family val="2"/>
          </rPr>
          <t>z.B. Wasserschutzgebiet Zone II, Kulap,Vertragsnaturschutzprogramm.
Ist eine Beweidung mit im Betrieb vorhandenen Tieren zulässig, brauchen diese hier nicht angegeben werden.
Stilllegungsflächen sind nicht hier, sondern in G11 anzugeben.</t>
        </r>
      </text>
    </comment>
    <comment ref="G11" authorId="1" shapeId="0" xr:uid="{00000000-0006-0000-0000-000005000000}">
      <text>
        <r>
          <rPr>
            <sz val="10"/>
            <color indexed="81"/>
            <rFont val="Tahoma"/>
            <family val="2"/>
          </rPr>
          <t>Hier sind nur Flächen anzugeben, die nicht gedüngt und auch nicht genutzt werden.</t>
        </r>
      </text>
    </comment>
    <comment ref="B12" authorId="1" shapeId="0" xr:uid="{00000000-0006-0000-0000-000007000000}">
      <text>
        <r>
          <rPr>
            <sz val="10"/>
            <color indexed="81"/>
            <rFont val="Tahoma"/>
            <family val="2"/>
          </rPr>
          <t>Milchleistung = Abgelieferte Milchmenge / Anzahl Kühe</t>
        </r>
      </text>
    </comment>
    <comment ref="F12" authorId="3" shapeId="0" xr:uid="{1A6648DB-4BA3-4506-800A-0A80B60764A7}">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3" shapeId="0" xr:uid="{00000000-0006-0000-0000-000009000000}">
      <text>
        <r>
          <rPr>
            <sz val="9"/>
            <color indexed="81"/>
            <rFont val="Tahoma"/>
            <family val="2"/>
          </rPr>
          <t>Niederschlagsmenge auf Landkreisebene ist ausreichend, optional können die Gemarkungsniederschläge verwendet werden.
Eine Liste der Gemarkungsniederschläge finden Sie im entsprechenden Tabellenblatt.</t>
        </r>
      </text>
    </comment>
    <comment ref="H13" authorId="3" shapeId="0" xr:uid="{A9F07B30-6491-4EAD-AE66-019C2FB7A497}">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3" shapeId="0" xr:uid="{00000000-0006-0000-0000-00000A000000}">
      <text>
        <r>
          <rPr>
            <sz val="9"/>
            <color indexed="81"/>
            <rFont val="Tahoma"/>
            <family val="2"/>
          </rPr>
          <t xml:space="preserve">Bei Damwild und Rotwild muss bei Weide 100 % angegeben werden. </t>
        </r>
      </text>
    </comment>
    <comment ref="D19" authorId="3" shapeId="0" xr:uid="{00000000-0006-0000-0000-00000B000000}">
      <text>
        <r>
          <rPr>
            <sz val="9"/>
            <color indexed="81"/>
            <rFont val="Tahoma"/>
            <family val="2"/>
          </rPr>
          <t>Ø Jahresbestand = Anzahl Tiere * Haltungsdauer in Tagen / 365 Tage</t>
        </r>
      </text>
    </comment>
    <comment ref="D20" authorId="3" shapeId="0" xr:uid="{00000000-0006-0000-0000-00000C00000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4" shapeId="0" xr:uid="{BA2BFA8E-16D6-42E2-95FD-DE9AE72C96B3}">
      <text>
        <r>
          <rPr>
            <b/>
            <sz val="9"/>
            <color indexed="81"/>
            <rFont val="Segoe UI"/>
            <family val="2"/>
          </rPr>
          <t>1=keine Auswahl
2=Rind
3=Schwein
4= Geflügel
5=</t>
        </r>
      </text>
    </comment>
    <comment ref="BG20" authorId="5" shapeId="0" xr:uid="{4A914417-F43B-4960-8D91-01FDBBE2DC86}">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3" shapeId="0" xr:uid="{00000000-0006-0000-0000-00000D000000}">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3" shapeId="0" xr:uid="{00000000-0006-0000-0000-00000E00000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3" shapeId="0" xr:uid="{00000000-0006-0000-0000-00000F000000}">
      <text>
        <r>
          <rPr>
            <sz val="9"/>
            <color indexed="81"/>
            <rFont val="Tahoma"/>
            <family val="2"/>
          </rPr>
          <t>Weide zwischen 01.10. und 31.03. in %.
Beipiel: 30 % bedeutet, dass in 30 % der Stunden die Tiere auf der Weide stehen und 70 % im Stall.
(Es ist das Kalenderjahr zu berücksichtigen 01.01.24 - 31.03.24 und 01.10.24 - 31.12.24)</t>
        </r>
      </text>
    </comment>
    <comment ref="A40" authorId="3" shapeId="0" xr:uid="{00000000-0006-0000-0000-000011000000}">
      <text>
        <r>
          <rPr>
            <sz val="9"/>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3" shapeId="0" xr:uid="{00000000-0006-0000-0000-00001200000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3" shapeId="0" xr:uid="{00000000-0006-0000-0000-000013000000}">
      <text>
        <r>
          <rPr>
            <sz val="9"/>
            <color indexed="81"/>
            <rFont val="Tahoma"/>
            <family val="2"/>
          </rPr>
          <t xml:space="preserve">Als sauberes Wasser sind folgende Einleitungen zu berücksichtigen:
- nass gereinigte Siloflächen
- mit Plane abgedeckte Siloflächen
- abgedeckte Gülle- und Jauchelager
- alle Stallmistlager 
Bei der Mengenberechnung wird eine  Verdunstungsrate von 15 % berücksichtigt. </t>
        </r>
      </text>
    </comment>
    <comment ref="A43" authorId="4" shapeId="0" xr:uid="{5D38DAB7-B955-46FB-B2E6-1FFEEEFD43CF}">
      <text>
        <r>
          <rPr>
            <sz val="9"/>
            <color indexed="81"/>
            <rFont val="Segoe UI"/>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45" authorId="4" shapeId="0" xr:uid="{CD136B90-FB80-4463-90AF-D26667E39DBE}">
      <text>
        <r>
          <rPr>
            <sz val="9"/>
            <color indexed="81"/>
            <rFont val="Segoe UI"/>
            <family val="2"/>
          </rPr>
          <t>Waschwasser aus z. B. Stall oder Milchkammer.</t>
        </r>
      </text>
    </comment>
    <comment ref="A49" authorId="3" shapeId="0" xr:uid="{00000000-0006-0000-0000-000014000000}">
      <text>
        <r>
          <rPr>
            <sz val="9"/>
            <color indexed="81"/>
            <rFont val="Tahoma"/>
            <family val="2"/>
          </rPr>
          <t>Nährstoffgehalte im Wirtschaftsdünger bereits abzüglich der Stall-/Lagerverluste.
Ändert sich der Tierbestand um höchstens 15 %, dürfen diese Werte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4" shapeId="0" xr:uid="{0D94BA2B-3945-4E42-81C4-37FCF8619A99}">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t>
        </r>
      </text>
    </comment>
    <comment ref="AM54" authorId="4" shapeId="0" xr:uid="{E5144F37-F4E1-4B04-88B8-4267C955354A}">
      <text>
        <r>
          <rPr>
            <sz val="9"/>
            <color indexed="81"/>
            <rFont val="Segoe UI"/>
            <family val="2"/>
          </rPr>
          <t>TS Mist korrigiert mit abweichenden Werten</t>
        </r>
        <r>
          <rPr>
            <b/>
            <sz val="9"/>
            <color indexed="81"/>
            <rFont val="Segoe UI"/>
            <family val="2"/>
          </rPr>
          <t xml:space="preserve">
</t>
        </r>
      </text>
    </comment>
    <comment ref="A55" authorId="3" shapeId="0" xr:uid="{7CB64C8D-AB9A-45BA-90E2-7F9CFA0324D3}">
      <text>
        <r>
          <rPr>
            <sz val="9"/>
            <color indexed="81"/>
            <rFont val="Segoe UI"/>
            <family val="2"/>
          </rPr>
          <t xml:space="preserve">Es sind die nach DüV zulässigen gasförmigen Verluste berücksichtigt. </t>
        </r>
      </text>
    </comment>
    <comment ref="A58" authorId="4" shapeId="0" xr:uid="{1A88C994-BCCF-4211-A537-14B6F8B5800F}">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4" shapeId="0" xr:uid="{C4A9D22F-E9A9-497D-ABA3-660B40CB916B}">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4" shapeId="0" xr:uid="{B0259473-86F0-4D9D-86BB-537BB2B6C951}">
      <text>
        <r>
          <rPr>
            <sz val="9"/>
            <color indexed="81"/>
            <rFont val="Segoe UI"/>
            <family val="2"/>
          </rPr>
          <t>Diese Werte können in der Düngebedarfsermittlung als Nährstoffanfall Weide für die entsprechenden Flächen übernommen werden.</t>
        </r>
      </text>
    </comment>
    <comment ref="A87" authorId="3" shapeId="0" xr:uid="{13B98EED-F3FC-4FF6-91A0-762118BE6451}">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3" shapeId="0" xr:uid="{00000000-0006-0000-0000-000015000000}">
      <text>
        <r>
          <rPr>
            <sz val="9"/>
            <color indexed="81"/>
            <rFont val="Tahoma"/>
            <family val="2"/>
          </rPr>
          <t xml:space="preserve">TS in % aus der Untersuchung eintragen.
</t>
        </r>
      </text>
    </comment>
    <comment ref="H90" authorId="3" shapeId="0" xr:uid="{00000000-0006-0000-0000-000016000000}">
      <text>
        <r>
          <rPr>
            <sz val="9"/>
            <color indexed="81"/>
            <rFont val="Tahoma"/>
            <family val="2"/>
          </rPr>
          <t>TS in % aus der Untersuchung eintragen.
In der Regel zwischen 20 und 30 %.</t>
        </r>
      </text>
    </comment>
    <comment ref="G101" authorId="3" shapeId="0" xr:uid="{B0F88D0E-7495-4009-8924-73A5082DD552}">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3" shapeId="0" xr:uid="{00000000-0006-0000-0000-000017000000}">
      <text>
        <r>
          <rPr>
            <sz val="9"/>
            <color indexed="81"/>
            <rFont val="Tahoma"/>
            <family val="2"/>
          </rPr>
          <t>Güllekeller und Güllekanäle können auf das Fassungsvermögen angerechnet werden, wenn die Anforderungen nach Anlagenverordnung erfüllt  sind.</t>
        </r>
      </text>
    </comment>
    <comment ref="A126" authorId="6" shapeId="0" xr:uid="{00000000-0006-0000-0000-00001800000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3" shapeId="0" xr:uid="{00000000-0006-0000-0000-00001900000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B147" authorId="3" shapeId="0" xr:uid="{35655772-29B3-4EFA-96A9-0BE1D205ECBB}">
      <text>
        <r>
          <rPr>
            <sz val="9"/>
            <color indexed="81"/>
            <rFont val="Segoe UI"/>
            <family val="2"/>
          </rPr>
          <t>LF abzüglich Flächen ohne Nutzung und ohne Düngung</t>
        </r>
        <r>
          <rPr>
            <sz val="9"/>
            <color indexed="81"/>
            <rFont val="Segoe UI"/>
            <charset val="1"/>
          </rPr>
          <t xml:space="preserve">
</t>
        </r>
      </text>
    </comment>
    <comment ref="M148" authorId="6" shapeId="0" xr:uid="{00000000-0006-0000-0000-00001A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4" shapeId="0" xr:uid="{BFA5469C-630E-495F-921E-0388F9A70D5A}">
      <text>
        <r>
          <rPr>
            <sz val="9"/>
            <color indexed="81"/>
            <rFont val="Segoe UI"/>
            <family val="2"/>
          </rPr>
          <t>Als Abgang dürfen nur tierische Ausscheidungen berücksichtigt werden.</t>
        </r>
      </text>
    </comment>
    <comment ref="F175" authorId="4" shapeId="0" xr:uid="{372A759D-BACC-4648-9546-6893802004BC}">
      <text>
        <r>
          <rPr>
            <sz val="9"/>
            <color indexed="81"/>
            <rFont val="Segoe UI"/>
            <family val="2"/>
          </rPr>
          <t>Bei flüssigen Wirtschaftsdüngern entspricht eine Tonne einem Kubikmeter.</t>
        </r>
      </text>
    </comment>
    <comment ref="Q175" authorId="4" shapeId="0" xr:uid="{450471C3-64F4-4168-992B-0BE02C98998E}">
      <text>
        <r>
          <rPr>
            <b/>
            <sz val="9"/>
            <color indexed="81"/>
            <rFont val="Segoe UI"/>
            <family val="2"/>
          </rPr>
          <t>Unterschied zu spalte I: hier mit N im Stroh</t>
        </r>
      </text>
    </comment>
    <comment ref="D176" authorId="4" shapeId="0" xr:uid="{0FF08024-A29C-4576-9A9C-43412DA2CAD4}">
      <text>
        <r>
          <rPr>
            <sz val="9"/>
            <color indexed="81"/>
            <rFont val="Segoe UI"/>
            <family val="2"/>
          </rPr>
          <t>Feste Wirtschaftsdünger (Stallmist oder separiertes festes Material) werden in Tonnen, flüssige Wirtschaftsdünger in m³ angegeben.</t>
        </r>
      </text>
    </comment>
    <comment ref="F178" authorId="0" shapeId="0" xr:uid="{6D8BA8D0-FF6A-4458-BAB3-8E9788B1679C}">
      <text>
        <r>
          <rPr>
            <sz val="9"/>
            <color indexed="81"/>
            <rFont val="Tahoma"/>
            <family val="2"/>
          </rPr>
          <t>Als Abgang darf für die Berechnung der 170 kg N Grenze nur der tierische Nährstoffanfall (Ausscheidungen abzügl. Stall-/Lagerverluste) berücksichtigt werden.</t>
        </r>
      </text>
    </comment>
    <comment ref="P203" authorId="4" shapeId="0" xr:uid="{F6558C7E-3B41-4860-8D03-B83A68051435}">
      <text>
        <r>
          <rPr>
            <b/>
            <sz val="9"/>
            <color indexed="81"/>
            <rFont val="Segoe UI"/>
            <family val="2"/>
          </rPr>
          <t>Toleranz nach WdüngV wird von kg N/Betrieb abgezogen, wenn &gt; 170, bis 170 erreicht wird. Abgezogene Menge = Verbleibende Menge im Betrieb</t>
        </r>
      </text>
    </comment>
    <comment ref="A205" authorId="4" shapeId="0" xr:uid="{81961ACA-E687-4CA5-847B-59CE2624A123}">
      <text>
        <r>
          <rPr>
            <sz val="9"/>
            <color indexed="81"/>
            <rFont val="Tahoma"/>
            <family val="2"/>
          </rPr>
          <t>Von der abgegebenen Menge werden 20 % Toleranz berücksichtigt, wenn die 170er Grenze überschritten wurde.</t>
        </r>
      </text>
    </comment>
    <comment ref="A214" authorId="4" shapeId="0" xr:uid="{C2B5D299-700E-4299-82F9-BF58AE2377F7}">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-/K</t>
        </r>
        <r>
          <rPr>
            <vertAlign val="subscript"/>
            <sz val="9"/>
            <color indexed="81"/>
            <rFont val="Segoe UI"/>
            <family val="2"/>
          </rPr>
          <t>2</t>
        </r>
        <r>
          <rPr>
            <sz val="9"/>
            <color indexed="81"/>
            <rFont val="Segoe UI"/>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215" authorId="4" shapeId="0" xr:uid="{B3B7C43B-8B10-42BF-ADF5-C7C2C638C5FD}">
      <text>
        <r>
          <rPr>
            <sz val="9"/>
            <color indexed="81"/>
            <rFont val="Segoe UI"/>
            <family val="2"/>
          </rPr>
          <t>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s>
  <commentList>
    <comment ref="A1" authorId="0" shapeId="0" xr:uid="{00000000-0006-0000-0200-000001000000}">
      <text>
        <r>
          <rPr>
            <sz val="9"/>
            <color indexed="81"/>
            <rFont val="Tahoma"/>
            <family val="2"/>
          </rPr>
          <t>Abweichende Werte müssen bei einer Kontrolle belegt werden.
Es dürfen nur Zahlen verwendet werden, die die landeszuständige Stelle genehmigt hat.</t>
        </r>
      </text>
    </comment>
    <comment ref="J4" authorId="1" shapeId="0" xr:uid="{FF377580-B23F-4A35-A441-B57687685C00}">
      <text>
        <r>
          <rPr>
            <sz val="9"/>
            <color indexed="81"/>
            <rFont val="Segoe UI"/>
            <family val="2"/>
          </rPr>
          <t xml:space="preserve">Eingabemöglichkeit  </t>
        </r>
        <r>
          <rPr>
            <b/>
            <sz val="9"/>
            <color indexed="81"/>
            <rFont val="Segoe UI"/>
            <family val="2"/>
          </rPr>
          <t>Mastschwein: 20 - 150 kg LM
Ferkel: 8 - 35 kg LM</t>
        </r>
      </text>
    </comment>
    <comment ref="M4" authorId="1" shapeId="0" xr:uid="{E309797F-FD11-4AEF-AF7A-22B1633E2B46}">
      <text>
        <r>
          <rPr>
            <sz val="9"/>
            <color indexed="81"/>
            <rFont val="Segoe UI"/>
            <family val="2"/>
          </rPr>
          <t xml:space="preserve">Eingabemöglichkeit  </t>
        </r>
        <r>
          <rPr>
            <b/>
            <sz val="9"/>
            <color indexed="81"/>
            <rFont val="Segoe UI"/>
            <family val="2"/>
          </rPr>
          <t>Mastschwein: 20 - 150 kg LM
Ferkel: 8 - 35 kg LM</t>
        </r>
      </text>
    </comment>
    <comment ref="P4" authorId="1" shapeId="0" xr:uid="{C2A771F8-50ED-4EA8-B884-99F0B2E49EE1}">
      <text>
        <r>
          <rPr>
            <sz val="9"/>
            <color indexed="81"/>
            <rFont val="Segoe UI"/>
            <family val="2"/>
          </rPr>
          <t>Die stufenlose Berechnung erfolgt für Mastschweine zwischen 700 und 950 g täglicher Zunahme. Für Ferkel erfolgt die Berechnung zwischen 450 und 500 g täglicher Zunahme (im Mittel von 8 - 28 kg).</t>
        </r>
      </text>
    </comment>
    <comment ref="W5" authorId="1" shapeId="0" xr:uid="{C93D65BD-F7E9-4449-A4FE-BF552F53F7B3}">
      <text>
        <r>
          <rPr>
            <b/>
            <sz val="9"/>
            <color indexed="81"/>
            <rFont val="Segoe UI"/>
            <family val="2"/>
          </rPr>
          <t>Prüfung, ob Daten verarbeitet werden können</t>
        </r>
      </text>
    </comment>
    <comment ref="J10" authorId="1" shapeId="0" xr:uid="{A81B9B38-5CF8-4CA0-BFC1-6660231B5C1D}">
      <text>
        <r>
          <rPr>
            <sz val="9"/>
            <color indexed="81"/>
            <rFont val="Segoe UI"/>
            <family val="2"/>
          </rPr>
          <t>Ferkelverluste bis 8 kg LM bleiben ohne Berücksichtigung. Verluste ab 8 kg LM können berücksichtigt werden.</t>
        </r>
      </text>
    </comment>
    <comment ref="M10" authorId="1" shapeId="0" xr:uid="{116B9BA7-1827-4681-8347-22915B7DB5E0}">
      <text>
        <r>
          <rPr>
            <sz val="9"/>
            <color indexed="81"/>
            <rFont val="Segoe UI"/>
            <family val="2"/>
          </rPr>
          <t xml:space="preserve">Eingabemöglichkeit  </t>
        </r>
        <r>
          <rPr>
            <b/>
            <sz val="9"/>
            <color indexed="81"/>
            <rFont val="Segoe UI"/>
            <family val="2"/>
          </rPr>
          <t>8 - 35 kg LM</t>
        </r>
      </text>
    </comment>
    <comment ref="W11" authorId="1" shapeId="0" xr:uid="{5BF1296B-893B-4AE6-8D36-F59555954C47}">
      <text>
        <r>
          <rPr>
            <b/>
            <sz val="9"/>
            <color indexed="81"/>
            <rFont val="Segoe UI"/>
            <family val="2"/>
          </rPr>
          <t>Prüfung, ob Daten verarbeitet werden können</t>
        </r>
      </text>
    </comment>
    <comment ref="C15" authorId="2" shapeId="0" xr:uid="{4EDEE08F-7B56-44D3-81E6-26A4B7F9048C}">
      <text>
        <r>
          <rPr>
            <sz val="9"/>
            <color indexed="81"/>
            <rFont val="Segoe UI"/>
            <family val="2"/>
          </rPr>
          <t>Ist gleich je Tier und Jahr (365 Tage)</t>
        </r>
      </text>
    </comment>
    <comment ref="D16" authorId="2" shapeId="0" xr:uid="{5CCD5880-5BF6-418F-B933-FBA763509077}">
      <text>
        <r>
          <rPr>
            <sz val="9"/>
            <color indexed="81"/>
            <rFont val="Segoe UI"/>
            <family val="2"/>
          </rPr>
          <t>Nährstoffausscheidung</t>
        </r>
      </text>
    </comment>
    <comment ref="B17" authorId="1" shapeId="0" xr:uid="{69B54520-90A1-40AE-8884-92F9696B6732}">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t>
        </r>
      </text>
    </comment>
    <comment ref="G17" authorId="2" shapeId="0" xr:uid="{00000000-0006-0000-0200-000002000000}">
      <text>
        <r>
          <rPr>
            <sz val="9"/>
            <color indexed="81"/>
            <rFont val="Tahoma"/>
            <family val="2"/>
          </rPr>
          <t>Bei Geflügel ist der Anfall bei Mist anzugeben.</t>
        </r>
      </text>
    </comment>
    <comment ref="H17" authorId="2" shapeId="0" xr:uid="{00000000-0006-0000-0200-000003000000}">
      <text>
        <r>
          <rPr>
            <sz val="9"/>
            <color indexed="81"/>
            <rFont val="Tahoma"/>
            <family val="2"/>
          </rPr>
          <t xml:space="preserve">Jaucheanfall bei geringer Einstreumenge. Angaben zum Jaucheanfall dürfen nur bei Rindern und Schweinen erfolgen. </t>
        </r>
      </text>
    </comment>
    <comment ref="I17" authorId="1" shapeId="0" xr:uid="{B1D91282-9784-4C65-A58D-77BAA835D958}">
      <text>
        <r>
          <rPr>
            <sz val="10"/>
            <color indexed="81"/>
            <rFont val="Arial"/>
            <family val="2"/>
          </rPr>
          <t>Die Unterscheidung in gering, mittel und hoch bezieht sich auf die eingesetzte Einstreumenge.</t>
        </r>
      </text>
    </comment>
    <comment ref="N17" authorId="1" shapeId="0" xr:uid="{A3AEB13E-5328-4E50-B0E2-09C2BF38FDAB}">
      <text>
        <r>
          <rPr>
            <sz val="10"/>
            <color indexed="81"/>
            <rFont val="Arial"/>
            <family val="2"/>
          </rPr>
          <t>Die Unterscheidung in gering, mittel und hoch bezieht sich auf die eingesetzte Einstreumenge.</t>
        </r>
      </text>
    </comment>
    <comment ref="Q19" authorId="1" shapeId="0" xr:uid="{713E06F7-29A5-4581-AFB2-076DD552C42F}">
      <text>
        <r>
          <rPr>
            <sz val="9"/>
            <color indexed="81"/>
            <rFont val="Segoe UI"/>
            <family val="2"/>
          </rPr>
          <t>in kg und Tag je mittleren Jahresbestand</t>
        </r>
      </text>
    </comment>
    <comment ref="G36" authorId="1" shapeId="0" xr:uid="{2383C257-3B1E-4519-9657-7AA9AB3F87A0}">
      <text>
        <r>
          <rPr>
            <sz val="9"/>
            <color indexed="81"/>
            <rFont val="Segoe UI"/>
            <family val="2"/>
          </rPr>
          <t>Verhältnis kg Futter (FM, 88 % TS) zu kg Lebendmasse</t>
        </r>
      </text>
    </comment>
    <comment ref="H37" authorId="1" shapeId="0" xr:uid="{C6C4B350-9B41-4A19-9026-1BD1C01F43ED}">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N37" authorId="1" shapeId="0" xr:uid="{5C2F0318-77DC-460D-ABA2-B1924DE58BAF}">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C38" authorId="1" shapeId="0" xr:uid="{02A2C4B0-9A75-43B4-B91D-371E9CDB1088}">
      <text>
        <r>
          <rPr>
            <sz val="9"/>
            <color indexed="81"/>
            <rFont val="Segoe UI"/>
            <family val="2"/>
          </rPr>
          <t>je mittleren Jahresbestand</t>
        </r>
      </text>
    </comment>
    <comment ref="A58" authorId="1" shapeId="0" xr:uid="{E36D76CE-F2F7-47C7-8B92-0CAF3D61F1E8}">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ECD8CFB2-9BDA-4781-860F-646DFF12C3ED}">
      <text>
        <r>
          <rPr>
            <b/>
            <sz val="9"/>
            <color indexed="81"/>
            <rFont val="Segoe UI"/>
            <family val="2"/>
          </rPr>
          <t>Ferkel der Zuchtsauen</t>
        </r>
      </text>
    </comment>
    <comment ref="Z10" authorId="0" shapeId="0" xr:uid="{D9D1480C-BF77-4751-8938-D80DB015C90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453E8D90-9215-472A-846D-82D99CA048B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xr:uid="{51C82C93-D46A-43AF-ADCB-9D2BEA1D002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5F18679A-2BAE-457D-98B7-C2790520A33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79C61A8B-47D6-4B21-A177-561417DBB25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D248DBFF-9BF1-4066-B33A-5ECB575AAB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6FB5FED0-BF4D-4C10-99EE-6F70F4E65F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93A594E7-4EC0-46C0-99C4-63762891D2F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AA262F8D-D925-4121-AB25-447F52BF31F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7284AF41-A2C0-4DF3-9662-108ED80B9BC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1444D010-195C-4DC4-89A3-65F72D647E7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23619EEE-7773-4939-8A4A-CC50ACA5DA3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9CE9EF0A-8233-4C69-B76E-E0B9DFE1218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7A973946-DEBF-4C62-80C3-094891F60542}">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28557718-9954-40FD-95AD-E16330C6CB8A}">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9A629E5C-0ABB-47AA-BA2A-B93618B02DA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BA809CEA-7A26-483C-943F-38E2A89CFE4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3481C0C0-A226-497D-955F-B884ECEC1C8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E8B734D9-91E3-4422-9D50-70E68B640F6E}">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DA3DCC50-9B45-4498-98B3-4BBE253397F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DDD57CA6-38CE-4D9A-9680-E2E41F3EB655}">
      <text>
        <r>
          <rPr>
            <b/>
            <sz val="9"/>
            <color indexed="81"/>
            <rFont val="Segoe UI"/>
            <family val="2"/>
          </rPr>
          <t>Ferkel mit 450 g TZ</t>
        </r>
      </text>
    </comment>
    <comment ref="B136" authorId="0" shapeId="0" xr:uid="{AE4458DA-600D-453D-9447-328F1DEE9A60}">
      <text>
        <r>
          <rPr>
            <b/>
            <sz val="9"/>
            <color indexed="81"/>
            <rFont val="Segoe UI"/>
            <family val="2"/>
          </rPr>
          <t>Ferkel mit 450 g TZ</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AI5" authorId="0" shapeId="0" xr:uid="{163E7CBA-E397-48AE-B034-E4295DB7F237}">
      <text>
        <r>
          <rPr>
            <sz val="9"/>
            <color indexed="81"/>
            <rFont val="Segoe UI"/>
            <family val="2"/>
          </rPr>
          <t>Alle Rinder: Nährstoffgehalte von Rinderjauche etc.</t>
        </r>
      </text>
    </comment>
    <comment ref="C6" authorId="1" shapeId="0" xr:uid="{B1071B5D-17C5-457B-AFA5-EADE0E4F2F1B}">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A7" authorId="0" shapeId="0" xr:uid="{9F952D03-5DEA-4B38-9813-76CA58E21D2D}">
      <text>
        <r>
          <rPr>
            <sz val="9"/>
            <color indexed="81"/>
            <rFont val="Segoe UI"/>
            <family val="2"/>
          </rPr>
          <t xml:space="preserve">Bei stark N-/P- reduzierter Fütterung
</t>
        </r>
      </text>
    </comment>
    <comment ref="D8" authorId="1" shapeId="0" xr:uid="{F397B01C-5248-4090-BB89-AF784C908786}">
      <text>
        <r>
          <rPr>
            <b/>
            <sz val="9"/>
            <color indexed="81"/>
            <rFont val="Tahoma"/>
            <family val="2"/>
          </rPr>
          <t>Brandl, Maria (LfL):</t>
        </r>
        <r>
          <rPr>
            <sz val="9"/>
            <color indexed="81"/>
            <rFont val="Tahoma"/>
            <family val="2"/>
          </rPr>
          <t xml:space="preserve">
26.10.2020 Bezogen auf 365 Tag (Br, Of, Schu, Schn, We)</t>
        </r>
      </text>
    </comment>
    <comment ref="AO12" authorId="0" shapeId="0" xr:uid="{FDC2E535-120D-4BAF-AADE-4041370D8268}">
      <text>
        <r>
          <rPr>
            <sz val="9"/>
            <color indexed="81"/>
            <rFont val="Segoe UI"/>
            <family val="2"/>
          </rPr>
          <t>Alle Rinder: Nährstoffgehalte von Rinderjauche
Schweine: Nährstoffgehalte von Schweinejauche (Basisdaten org. Dünger)
Andere Tierarten haben keine Jauche, daher 0</t>
        </r>
      </text>
    </comment>
    <comment ref="AN15" authorId="0" shapeId="0" xr:uid="{9EFD19A6-2267-47FF-BA0A-8319F98007D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C6" authorId="0" shapeId="0" xr:uid="{6BB1D051-5177-4E93-9914-F89BF65E60A4}">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xr:uid="{EFA71570-6A9C-4620-A372-F6D1811674E9}">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 bzw. ist für Stallmist einzugeben. 
Wird die Gülle von unterschiedlichen Tiergruppen (z. B. Rinder und Schweine) separat gelagert und abgegeben, ist eine getrennte Berechnung notwendig.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02F39DCC-52E6-4BDC-BF8C-55395CE38EBC}">
      <text>
        <r>
          <rPr>
            <sz val="9"/>
            <color indexed="81"/>
            <rFont val="Segoe UI"/>
            <family val="2"/>
          </rPr>
          <t>Die abgegebenen Mengen an Stallmist und sonstigen Wirtschaftsdüngern müssen separat erfasst werden. Als Abgabe dürfen nur tierische Ausscheidungen berücksichtigt werden.</t>
        </r>
      </text>
    </comment>
    <comment ref="E4" authorId="0" shapeId="0" xr:uid="{5071909E-CE58-4A59-9D47-AF130FFAD920}">
      <text>
        <r>
          <rPr>
            <sz val="9"/>
            <color indexed="81"/>
            <rFont val="Segoe UI"/>
            <family val="2"/>
          </rPr>
          <t>Feste Wirtschaftsdünger (Stallmist oder separiertes festes Material) werden in Tonnen, flüssige Wirtschaftsdünger in m³ angegeben.</t>
        </r>
      </text>
    </comment>
    <comment ref="H5" authorId="0" shapeId="0" xr:uid="{BEE8EDB1-4938-4464-95CA-5D7F2C3A90A0}">
      <text>
        <r>
          <rPr>
            <sz val="9"/>
            <color indexed="81"/>
            <rFont val="Segoe UI"/>
            <family val="2"/>
          </rPr>
          <t>Feste Wirtschaftsdünger (Stallmist oder separiertes festes Material) werden je Tonne, flüssige Wirtschaftsdünger je m³ angegeben.</t>
        </r>
      </text>
    </comment>
    <comment ref="E63" authorId="0" shapeId="0" xr:uid="{298A16E2-1AF9-49DB-8C4E-FF832502A1E5}">
      <text>
        <r>
          <rPr>
            <sz val="9"/>
            <color indexed="81"/>
            <rFont val="Segoe UI"/>
            <family val="2"/>
          </rPr>
          <t>Feste Wirtschaftsdünger (Stallmist oder separiertes festes Material) werden in Tonnen, flüssige Wirtschaftsdünger in m³ angegeben.</t>
        </r>
      </text>
    </comment>
    <comment ref="H64" authorId="0" shapeId="0" xr:uid="{F33B2CCE-54B9-472D-9F28-88741756F3D3}">
      <text>
        <r>
          <rPr>
            <sz val="9"/>
            <color indexed="81"/>
            <rFont val="Segoe UI"/>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<sst xmlns="http://schemas.openxmlformats.org/spreadsheetml/2006/main" count="18503" uniqueCount="8002">
  <si>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</si>
  <si>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</si>
  <si>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</si>
  <si>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</si>
  <si>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</si>
  <si>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</si>
  <si>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</si>
  <si>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</si>
  <si>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</si>
  <si>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</si>
  <si>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</si>
  <si>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</si>
  <si>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</si>
  <si>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</si>
  <si>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</si>
  <si>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</si>
  <si>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</si>
  <si>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</si>
  <si>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</si>
  <si>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</si>
  <si>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</si>
  <si>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</si>
  <si>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</si>
  <si>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</si>
  <si>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</si>
  <si>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</si>
  <si>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</si>
  <si>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</si>
  <si>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</si>
  <si>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</si>
  <si>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</si>
  <si>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</si>
  <si>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</si>
  <si>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</si>
  <si>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</si>
  <si>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</si>
  <si>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</si>
  <si>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</si>
  <si>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</si>
  <si>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</si>
  <si>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</si>
  <si>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</si>
  <si>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</si>
  <si>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</si>
  <si>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</si>
  <si>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</si>
  <si>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</si>
  <si>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</si>
  <si>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</si>
  <si>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</si>
  <si>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</si>
  <si>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</si>
  <si>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</si>
  <si>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</si>
  <si>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</si>
  <si>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</si>
  <si>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</si>
  <si>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</si>
  <si>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</si>
  <si>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</si>
  <si>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</si>
  <si>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</si>
  <si>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</si>
  <si>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</si>
  <si>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</si>
  <si>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</si>
  <si>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</si>
  <si>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</si>
  <si>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</si>
  <si>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</si>
  <si>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</si>
  <si>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</si>
  <si>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</si>
  <si>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</si>
  <si>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</si>
  <si>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</si>
  <si>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</si>
  <si>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</si>
  <si>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</si>
  <si>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</si>
  <si>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</si>
  <si>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</si>
  <si>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</si>
  <si>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</si>
  <si>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</si>
  <si>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</si>
  <si>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</si>
  <si>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</si>
  <si>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</si>
  <si>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</si>
  <si>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</si>
  <si>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</si>
  <si>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</si>
  <si>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</si>
  <si>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</si>
  <si>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</si>
  <si>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</si>
  <si>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</si>
  <si>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</si>
  <si>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</si>
  <si>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</si>
  <si>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</si>
  <si>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</si>
  <si>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</si>
  <si>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</si>
  <si>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</si>
  <si>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</si>
  <si>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</si>
  <si>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</si>
  <si>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</si>
  <si>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</si>
  <si>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</si>
  <si>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</si>
  <si>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</si>
  <si>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</si>
  <si>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</si>
  <si>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</si>
  <si>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</si>
  <si>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</si>
  <si>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</si>
  <si>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</si>
  <si>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</si>
  <si>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</si>
  <si>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</si>
  <si>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</si>
  <si>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</si>
  <si>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</si>
  <si>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</si>
  <si>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</si>
  <si>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</si>
  <si>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</si>
  <si>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</si>
  <si>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</si>
  <si>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</si>
  <si>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</si>
  <si>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</si>
  <si>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</si>
  <si>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</si>
  <si>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</si>
  <si>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</si>
  <si>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</si>
  <si>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</si>
  <si>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</si>
  <si>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</si>
  <si>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</si>
  <si>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</si>
  <si>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</si>
  <si>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</si>
  <si>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</si>
  <si>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</si>
  <si>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</si>
  <si>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</si>
  <si>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</si>
  <si>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</si>
  <si>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</si>
  <si>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</si>
  <si>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</si>
  <si>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</si>
  <si>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</si>
  <si>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</si>
  <si>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</si>
  <si>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</si>
  <si>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</si>
  <si>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</si>
  <si>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</si>
  <si>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</si>
  <si>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</si>
  <si>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</si>
  <si>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</si>
  <si>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</si>
  <si>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</si>
  <si>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</si>
  <si>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</si>
  <si>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</si>
  <si>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</si>
  <si>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</si>
  <si>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</si>
  <si>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</si>
  <si>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</si>
  <si>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</si>
  <si>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</si>
  <si>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</si>
  <si>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</si>
  <si>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</si>
  <si>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</si>
  <si>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</si>
  <si>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</si>
  <si>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</si>
  <si>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</si>
  <si>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</si>
  <si>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</si>
  <si>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</si>
  <si>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</si>
  <si>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</si>
  <si>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</si>
  <si>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</si>
  <si>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</si>
  <si>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</si>
  <si>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</si>
  <si>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</si>
  <si>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</si>
  <si>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</si>
  <si>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</si>
  <si>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</si>
  <si>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</si>
  <si>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</si>
  <si>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</si>
  <si>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</si>
  <si>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</si>
  <si>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</si>
  <si>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</si>
  <si>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</si>
  <si>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</si>
  <si>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</si>
  <si>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</si>
  <si>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</si>
  <si>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Hühnermist (50 % TM)</t>
  </si>
  <si>
    <t>Putenmist (50 % TM)</t>
  </si>
  <si>
    <t>Masthähnchenmist (60 % TM)</t>
  </si>
  <si>
    <t>Flugentenmist (30 % TM)</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</si>
  <si>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</si>
  <si>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</si>
  <si>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</si>
  <si>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</si>
  <si>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</si>
  <si>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</si>
  <si>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</si>
  <si>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</si>
  <si>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</si>
  <si>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</si>
  <si>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</si>
  <si>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</si>
  <si>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</si>
  <si>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</si>
  <si>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</si>
  <si>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</si>
  <si>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</si>
  <si>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</si>
  <si>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</si>
  <si>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</si>
  <si>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</si>
  <si>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</si>
  <si>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</si>
  <si>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</si>
  <si>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</si>
  <si>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</si>
  <si>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</si>
  <si>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</si>
  <si>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</si>
  <si>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</si>
  <si>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</si>
  <si>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</si>
  <si>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</si>
  <si>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</si>
  <si>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</si>
  <si>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</si>
  <si>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</si>
  <si>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</si>
  <si>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</si>
  <si>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</si>
  <si>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</si>
  <si>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</si>
  <si>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</si>
  <si>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</si>
  <si>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</si>
  <si>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</si>
  <si>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</si>
  <si>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</si>
  <si>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</si>
  <si>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</si>
  <si>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</si>
  <si>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</si>
  <si>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</si>
  <si>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</si>
  <si>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</si>
  <si>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</si>
  <si>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</si>
  <si>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</si>
  <si>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</si>
  <si>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</si>
  <si>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</si>
  <si>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</si>
  <si>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</si>
  <si>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</si>
  <si>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</si>
  <si>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</si>
  <si>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</si>
  <si>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</si>
  <si>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</si>
  <si>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</si>
  <si>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</si>
  <si>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</si>
  <si>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</si>
  <si>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</si>
  <si>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</si>
  <si>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</si>
  <si>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</si>
  <si>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</si>
  <si>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</si>
  <si>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</si>
  <si>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</si>
  <si>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</si>
  <si>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</si>
  <si>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</si>
  <si>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</si>
  <si>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</si>
  <si>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</si>
  <si>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</si>
  <si>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</si>
  <si>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</si>
  <si>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</si>
  <si>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</si>
  <si>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</si>
  <si>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</si>
  <si>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</si>
  <si>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</si>
  <si>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</si>
  <si>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</si>
  <si>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</si>
  <si>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</si>
  <si>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</si>
  <si>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</si>
  <si>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</si>
  <si>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</si>
  <si>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</si>
  <si>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</si>
  <si>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</si>
  <si>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</si>
  <si>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</si>
  <si>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</si>
  <si>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</si>
  <si>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t/m³</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</si>
  <si>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</si>
  <si>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</si>
  <si>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</si>
  <si>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</si>
  <si>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</si>
  <si>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</si>
  <si>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</si>
  <si>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</si>
  <si>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</si>
  <si>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</si>
  <si>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</si>
  <si>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</si>
  <si>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</si>
  <si>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</si>
  <si>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</si>
  <si>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</si>
  <si>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</si>
  <si>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</si>
  <si>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</si>
  <si>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</si>
  <si>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</si>
  <si>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</si>
  <si>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</si>
  <si>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</si>
  <si>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</si>
  <si>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</si>
  <si>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</si>
  <si>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</si>
  <si>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</si>
  <si>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</si>
  <si>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</si>
  <si>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</si>
  <si>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</si>
  <si>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</si>
  <si>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</si>
  <si>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</si>
  <si>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</si>
  <si>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</si>
  <si>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</si>
  <si>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</si>
  <si>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</si>
  <si>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</si>
  <si>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</si>
  <si>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</si>
  <si>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</si>
  <si>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</si>
  <si>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</si>
  <si>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</si>
  <si>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</si>
  <si>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</si>
  <si>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</si>
  <si>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</si>
  <si>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</si>
  <si>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</si>
  <si>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</si>
  <si>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</si>
  <si>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</si>
  <si>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</si>
  <si>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</si>
  <si>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</si>
  <si>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</si>
  <si>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</si>
  <si>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</si>
  <si>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</si>
  <si>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</si>
  <si>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</si>
  <si>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</si>
  <si>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</si>
  <si>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</si>
  <si>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</si>
  <si>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</si>
  <si>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</si>
  <si>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</si>
  <si>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</si>
  <si>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</si>
  <si>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</si>
  <si>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</si>
  <si>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</si>
  <si>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</si>
  <si>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</si>
  <si>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</si>
  <si>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</si>
  <si>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</si>
  <si>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</si>
  <si>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</si>
  <si>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</si>
  <si>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</si>
  <si>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</si>
  <si>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</si>
  <si>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</si>
  <si>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</si>
  <si>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</si>
  <si>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</si>
  <si>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</si>
  <si>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</si>
  <si>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</si>
  <si>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</si>
  <si>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</si>
  <si>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</si>
  <si>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</si>
  <si>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</si>
  <si>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</si>
  <si>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</si>
  <si>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</si>
  <si>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</si>
  <si>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</si>
  <si>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</si>
  <si>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</si>
  <si>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</si>
  <si>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</si>
  <si>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</si>
  <si>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</si>
  <si>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</si>
  <si>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</si>
  <si>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</si>
  <si>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</si>
  <si>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</si>
  <si>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</si>
  <si>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</si>
  <si>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</si>
  <si>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</si>
  <si>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</si>
  <si>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</si>
  <si>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</si>
  <si>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</si>
  <si>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</si>
  <si>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</si>
  <si>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</si>
  <si>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</si>
  <si>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</si>
  <si>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</si>
  <si>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</si>
  <si>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</si>
  <si>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</si>
  <si>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</si>
  <si>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</si>
  <si>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</si>
  <si>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</si>
  <si>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</si>
  <si>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</si>
  <si>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</si>
  <si>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</si>
  <si>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</si>
  <si>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</si>
  <si>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</si>
  <si>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</si>
  <si>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</si>
  <si>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</si>
  <si>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</si>
  <si>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</si>
  <si>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</si>
  <si>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</si>
  <si>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</si>
  <si>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</si>
  <si>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</si>
  <si>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</si>
  <si>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</si>
  <si>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</si>
  <si>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</si>
  <si>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</si>
  <si>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</si>
  <si>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</si>
  <si>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</si>
  <si>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</si>
  <si>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</si>
  <si>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</si>
  <si>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</si>
  <si>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</si>
  <si>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</si>
  <si>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</si>
  <si>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</si>
  <si>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</si>
  <si>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</si>
  <si>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</si>
  <si>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</si>
  <si>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</si>
  <si>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</si>
  <si>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</si>
  <si>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</si>
  <si>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</si>
  <si>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</si>
  <si>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</si>
  <si>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</si>
  <si>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</si>
  <si>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</si>
  <si>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</si>
  <si>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</si>
  <si>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</si>
  <si>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</si>
  <si>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</si>
  <si>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</si>
  <si>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</si>
  <si>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</si>
  <si>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</si>
  <si>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</si>
  <si>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</si>
  <si>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</si>
  <si>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</si>
  <si>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mm/Jahr</t>
  </si>
  <si>
    <t>ha "nur" Verbot der org. Düng.</t>
  </si>
  <si>
    <t>Erläuterung zur Zuordnung der Tiergruppen vom Mehrfachantrag</t>
  </si>
  <si>
    <t>LfL-Programm</t>
  </si>
  <si>
    <t>Bezeichnung Weidefläche</t>
  </si>
  <si>
    <t>kg/ha</t>
  </si>
  <si>
    <t>Anfall feste Wirtschaftsdünger</t>
  </si>
  <si>
    <t>Fläche nach DüV (ha):</t>
  </si>
  <si>
    <t xml:space="preserve">    zusätzliche Ausbringflächen:</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</si>
  <si>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</si>
  <si>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</si>
  <si>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</si>
  <si>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</si>
  <si>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</si>
  <si>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</si>
  <si>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</si>
  <si>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</si>
  <si>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</si>
  <si>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</si>
  <si>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</si>
  <si>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</si>
  <si>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</si>
  <si>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</si>
  <si>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</si>
  <si>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</si>
  <si>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</si>
  <si>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</si>
  <si>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</si>
  <si>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</si>
  <si>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</si>
  <si>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</si>
  <si>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</si>
  <si>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</si>
  <si>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</si>
  <si>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</si>
  <si>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</si>
  <si>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</si>
  <si>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</si>
  <si>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</si>
  <si>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</si>
  <si>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</si>
  <si>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</si>
  <si>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</si>
  <si>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</si>
  <si>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</si>
  <si>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</si>
  <si>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</si>
  <si>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</si>
  <si>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</si>
  <si>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</si>
  <si>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</si>
  <si>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</si>
  <si>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</si>
  <si>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</si>
  <si>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</si>
  <si>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</si>
  <si>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</si>
  <si>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</si>
  <si>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</si>
  <si>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</si>
  <si>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</si>
  <si>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</si>
  <si>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</si>
  <si>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</si>
  <si>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</si>
  <si>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</si>
  <si>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</si>
  <si>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</si>
  <si>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</si>
  <si>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</si>
  <si>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</si>
  <si>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</si>
  <si>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</si>
  <si>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</si>
  <si>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</si>
  <si>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</si>
  <si>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</si>
  <si>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</si>
  <si>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</si>
  <si>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</si>
  <si>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</si>
  <si>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</si>
  <si>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</si>
  <si>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</si>
  <si>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</si>
  <si>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</si>
  <si>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</si>
  <si>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</si>
  <si>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</si>
  <si>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</si>
  <si>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</si>
  <si>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</si>
  <si>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</si>
  <si>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</si>
  <si>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</si>
  <si>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</si>
  <si>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</si>
  <si>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</si>
  <si>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</si>
  <si>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</si>
  <si>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</si>
  <si>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</si>
  <si>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</si>
  <si>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</si>
  <si>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</si>
  <si>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</si>
  <si>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</si>
  <si>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</si>
  <si>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</si>
  <si>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</si>
  <si>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</si>
  <si>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</si>
  <si>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</si>
  <si>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</si>
  <si>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</si>
  <si>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</si>
  <si>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</si>
  <si>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</si>
  <si>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</si>
  <si>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</si>
  <si>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</si>
  <si>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</si>
  <si>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</si>
  <si>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</si>
  <si>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</si>
  <si>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</si>
  <si>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</si>
  <si>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</si>
  <si>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</si>
  <si>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</si>
  <si>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</si>
  <si>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</si>
  <si>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</si>
  <si>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</si>
  <si>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</si>
  <si>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</si>
  <si>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</si>
  <si>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</si>
  <si>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</si>
  <si>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</si>
  <si>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</si>
  <si>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</si>
  <si>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</si>
  <si>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</si>
  <si>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</si>
  <si>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</si>
  <si>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</si>
  <si>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</si>
  <si>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</si>
  <si>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</si>
  <si>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</si>
  <si>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</si>
  <si>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</si>
  <si>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</si>
  <si>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</si>
  <si>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</si>
  <si>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</si>
  <si>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</si>
  <si>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</si>
  <si>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</si>
  <si>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</si>
  <si>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</si>
  <si>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</si>
  <si>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</si>
  <si>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</si>
  <si>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</si>
  <si>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</si>
  <si>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</si>
  <si>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</si>
  <si>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</si>
  <si>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</si>
  <si>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</si>
  <si>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</si>
  <si>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</si>
  <si>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</si>
  <si>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</si>
  <si>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</si>
  <si>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</si>
  <si>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</si>
  <si>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</si>
  <si>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</si>
  <si>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</si>
  <si>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</si>
  <si>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</si>
  <si>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</si>
  <si>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</si>
  <si>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</si>
  <si>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</si>
  <si>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</si>
  <si>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</si>
  <si>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</si>
  <si>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</si>
  <si>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</si>
  <si>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</si>
  <si>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</si>
  <si>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</si>
  <si>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</si>
  <si>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</si>
  <si>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</si>
  <si>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</si>
  <si>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</si>
  <si>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</si>
  <si>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</si>
  <si>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</si>
  <si>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</si>
  <si>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</si>
  <si>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</si>
  <si>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</si>
  <si>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</si>
  <si>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</si>
  <si>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</si>
  <si>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</si>
  <si>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</si>
  <si>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</si>
  <si>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</si>
  <si>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</si>
  <si>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</si>
  <si>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</si>
  <si>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</si>
  <si>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</si>
  <si>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</si>
  <si>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</si>
  <si>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</si>
  <si>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</si>
  <si>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</si>
  <si>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</si>
  <si>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</si>
  <si>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</si>
  <si>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</si>
  <si>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</si>
  <si>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</si>
  <si>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</si>
  <si>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</si>
  <si>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</si>
  <si>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</si>
  <si>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</si>
  <si>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</si>
  <si>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</si>
  <si>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</si>
  <si>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</si>
  <si>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</si>
  <si>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</si>
  <si>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</si>
  <si>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</si>
  <si>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</si>
  <si>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</si>
  <si>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</si>
  <si>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</si>
  <si>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</si>
  <si>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</si>
  <si>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</si>
  <si>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</si>
  <si>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</si>
  <si>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</si>
  <si>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</si>
  <si>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</si>
  <si>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</si>
  <si>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</si>
  <si>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</si>
  <si>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</si>
  <si>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</si>
  <si>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</si>
  <si>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</si>
  <si>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</si>
  <si>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</si>
  <si>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</si>
  <si>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</si>
  <si>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</si>
  <si>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</si>
  <si>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</si>
  <si>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</si>
  <si>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</si>
  <si>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</si>
  <si>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</si>
  <si>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</si>
  <si>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</si>
  <si>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</si>
  <si>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</si>
  <si>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</si>
  <si>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</si>
  <si>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</si>
  <si>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</si>
  <si>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</si>
  <si>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</si>
  <si>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</si>
  <si>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</si>
  <si>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</si>
  <si>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</si>
  <si>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</si>
  <si>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</si>
  <si>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</si>
  <si>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</si>
  <si>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</si>
  <si>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</si>
  <si>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</si>
  <si>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</si>
  <si>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</si>
  <si>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</si>
  <si>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</si>
  <si>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</si>
  <si>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</si>
  <si>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</si>
  <si>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</si>
  <si>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</si>
  <si>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</si>
  <si>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</si>
  <si>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</si>
  <si>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</si>
  <si>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</si>
  <si>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</si>
  <si>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</si>
  <si>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</si>
  <si>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</si>
  <si>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</si>
  <si>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</si>
  <si>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</si>
  <si>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</si>
  <si>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</si>
  <si>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</si>
  <si>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</si>
  <si>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</si>
  <si>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</si>
  <si>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</si>
  <si>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</si>
  <si>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</si>
  <si>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</si>
  <si>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</si>
  <si>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</si>
  <si>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</si>
  <si>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</si>
  <si>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</si>
  <si>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</si>
  <si>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</si>
  <si>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</si>
  <si>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</si>
  <si>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</si>
  <si>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</si>
  <si>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</si>
  <si>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</si>
  <si>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</si>
  <si>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</si>
  <si>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</si>
  <si>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</si>
  <si>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</si>
  <si>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</si>
  <si>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</si>
  <si>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</si>
  <si>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</si>
  <si>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</si>
  <si>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</si>
  <si>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</si>
  <si>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</si>
  <si>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</si>
  <si>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</si>
  <si>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</si>
  <si>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</si>
  <si>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</si>
  <si>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</si>
  <si>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</si>
  <si>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</si>
  <si>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</si>
  <si>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</si>
  <si>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</si>
  <si>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</si>
  <si>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</si>
  <si>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</si>
  <si>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</si>
  <si>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</si>
  <si>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</si>
  <si>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</si>
  <si>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</si>
  <si>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</si>
  <si>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</si>
  <si>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</si>
  <si>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</si>
  <si>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</si>
  <si>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</si>
  <si>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</si>
  <si>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</si>
  <si>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</si>
  <si>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</si>
  <si>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</si>
  <si>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</si>
  <si>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</si>
  <si>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</si>
  <si>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</si>
  <si>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</si>
  <si>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</si>
  <si>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</si>
  <si>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</si>
  <si>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</si>
  <si>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</si>
  <si>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</si>
  <si>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</si>
  <si>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</si>
  <si>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</si>
  <si>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</si>
  <si>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</si>
  <si>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</si>
  <si>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</si>
  <si>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</si>
  <si>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</si>
  <si>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</si>
  <si>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</si>
  <si>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</si>
  <si>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</si>
  <si>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</si>
  <si>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</si>
  <si>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</si>
  <si>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</si>
  <si>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</si>
  <si>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</si>
  <si>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</si>
  <si>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</si>
  <si>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</si>
  <si>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</si>
  <si>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</si>
  <si>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</si>
  <si>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</si>
  <si>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</si>
  <si>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</si>
  <si>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</si>
  <si>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</si>
  <si>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</si>
  <si>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</si>
  <si>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</si>
  <si>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</si>
  <si>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</si>
  <si>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</si>
  <si>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</si>
  <si>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</si>
  <si>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</si>
  <si>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</si>
  <si>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</si>
  <si>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</si>
  <si>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</si>
  <si>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</si>
  <si>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</si>
  <si>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</si>
  <si>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</si>
  <si>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</si>
  <si>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</si>
  <si>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</si>
  <si>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</si>
  <si>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</si>
  <si>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</si>
  <si>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</si>
  <si>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</si>
  <si>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</si>
  <si>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</si>
  <si>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</si>
  <si>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</si>
  <si>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</si>
  <si>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</si>
  <si>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</si>
  <si>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</si>
  <si>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</si>
  <si>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</si>
  <si>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</si>
  <si>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</si>
  <si>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</si>
  <si>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</si>
  <si>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</si>
  <si>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</si>
  <si>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</si>
  <si>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</si>
  <si>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</si>
  <si>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</si>
  <si>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</si>
  <si>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</si>
  <si>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</si>
  <si>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</si>
  <si>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</si>
  <si>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</si>
  <si>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</si>
  <si>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</si>
  <si>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</si>
  <si>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</si>
  <si>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</si>
  <si>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</si>
  <si>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</si>
  <si>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</si>
  <si>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</si>
  <si>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</si>
  <si>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</si>
  <si>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</si>
  <si>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</si>
  <si>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</si>
  <si>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</si>
  <si>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</si>
  <si>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</si>
  <si>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</si>
  <si>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</si>
  <si>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</si>
  <si>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</si>
  <si>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</si>
  <si>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</si>
  <si>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</si>
  <si>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</si>
  <si>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</si>
  <si>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</si>
  <si>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</si>
  <si>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</si>
  <si>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</si>
  <si>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</si>
  <si>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</si>
  <si>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</si>
  <si>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</si>
  <si>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</si>
  <si>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</si>
  <si>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</si>
  <si>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</si>
  <si>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</si>
  <si>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</si>
  <si>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</si>
  <si>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</si>
  <si>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</si>
  <si>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</si>
  <si>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</si>
  <si>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</si>
  <si>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</si>
  <si>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</si>
  <si>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</si>
  <si>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</si>
  <si>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</si>
  <si>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</si>
  <si>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</si>
  <si>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</si>
  <si>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</si>
  <si>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</si>
  <si>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</si>
  <si>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</si>
  <si>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</si>
  <si>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</si>
  <si>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</si>
  <si>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</si>
  <si>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</si>
  <si>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</si>
  <si>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</si>
  <si>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</si>
  <si>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</si>
  <si>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</si>
  <si>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</si>
  <si>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</si>
  <si>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</si>
  <si>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</si>
  <si>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</si>
  <si>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</si>
  <si>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</si>
  <si>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</si>
  <si>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</si>
  <si>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</si>
  <si>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</si>
  <si>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</si>
  <si>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</si>
  <si>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</si>
  <si>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</si>
  <si>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</si>
  <si>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</si>
  <si>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</si>
  <si>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</si>
  <si>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</si>
  <si>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</si>
  <si>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</si>
  <si>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</si>
  <si>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</si>
  <si>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</si>
  <si>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</si>
  <si>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</si>
  <si>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</si>
  <si>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</si>
  <si>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</si>
  <si>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</si>
  <si>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</si>
  <si>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</si>
  <si>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</si>
  <si>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</si>
  <si>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</si>
  <si>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</si>
  <si>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</si>
  <si>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</si>
  <si>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</si>
  <si>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</si>
  <si>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</si>
  <si>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</si>
  <si>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</si>
  <si>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</si>
  <si>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</si>
  <si>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</si>
  <si>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</si>
  <si>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</si>
  <si>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</si>
  <si>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</si>
  <si>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</si>
  <si>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</si>
  <si>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</si>
  <si>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</si>
  <si>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</si>
  <si>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</si>
  <si>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</si>
  <si>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</si>
  <si>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</si>
  <si>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</si>
  <si>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</si>
  <si>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</si>
  <si>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</si>
  <si>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</si>
  <si>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</si>
  <si>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</si>
  <si>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</si>
  <si>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</si>
  <si>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</si>
  <si>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</si>
  <si>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</si>
  <si>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</si>
  <si>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</si>
  <si>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</si>
  <si>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</si>
  <si>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</si>
  <si>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</si>
  <si>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</si>
  <si>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</si>
  <si>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</si>
  <si>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</si>
  <si>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</si>
  <si>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</si>
  <si>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</si>
  <si>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</si>
  <si>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</si>
  <si>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</si>
  <si>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</si>
  <si>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</si>
  <si>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</si>
  <si>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</si>
  <si>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</si>
  <si>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</si>
  <si>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</si>
  <si>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</si>
  <si>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</si>
  <si>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</si>
  <si>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</si>
  <si>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</si>
  <si>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</si>
  <si>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</si>
  <si>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</si>
  <si>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</si>
  <si>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</si>
  <si>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</si>
  <si>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</si>
  <si>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</si>
  <si>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</si>
  <si>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</si>
  <si>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</si>
  <si>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</si>
  <si>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</si>
  <si>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</si>
  <si>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</si>
  <si>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</si>
  <si>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</si>
  <si>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</si>
  <si>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</si>
  <si>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</si>
  <si>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</si>
  <si>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</si>
  <si>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</si>
  <si>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</si>
  <si>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</si>
  <si>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</si>
  <si>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</si>
  <si>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</si>
  <si>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</si>
  <si>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</si>
  <si>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</si>
  <si>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</si>
  <si>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</si>
  <si>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</si>
  <si>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</si>
  <si>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</si>
  <si>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</si>
  <si>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</si>
  <si>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</si>
  <si>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</si>
  <si>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</si>
  <si>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</si>
  <si>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</si>
  <si>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</si>
  <si>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</si>
  <si>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</si>
  <si>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</si>
  <si>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</si>
  <si>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</si>
  <si>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</si>
  <si>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</si>
  <si>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</si>
  <si>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</si>
  <si>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</si>
  <si>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</si>
  <si>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</si>
  <si>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</si>
  <si>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</si>
  <si>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</si>
  <si>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</si>
  <si>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</si>
  <si>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</si>
  <si>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</si>
  <si>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</si>
  <si>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</si>
  <si>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</si>
  <si>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</si>
  <si>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</si>
  <si>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</si>
  <si>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</si>
  <si>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</si>
  <si>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</si>
  <si>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</si>
  <si>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</si>
  <si>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</si>
  <si>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</si>
  <si>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</si>
  <si>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</si>
  <si>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</si>
  <si>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</si>
  <si>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</si>
  <si>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</si>
  <si>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</si>
  <si>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</si>
  <si>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</si>
  <si>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</si>
  <si>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</si>
  <si>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</si>
  <si>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</si>
  <si>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</si>
  <si>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</si>
  <si>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</si>
  <si>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</si>
  <si>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</si>
  <si>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</si>
  <si>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</si>
  <si>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</si>
  <si>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</si>
  <si>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</si>
  <si>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</si>
  <si>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</si>
  <si>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</si>
  <si>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</si>
  <si>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</si>
  <si>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</si>
  <si>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</si>
  <si>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</si>
  <si>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</si>
  <si>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</si>
  <si>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</si>
  <si>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</si>
  <si>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</si>
  <si>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</si>
  <si>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</si>
  <si>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</si>
  <si>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</si>
  <si>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</si>
  <si>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</si>
  <si>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</si>
  <si>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</si>
  <si>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</si>
  <si>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</si>
  <si>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</si>
  <si>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</si>
  <si>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</si>
  <si>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</si>
  <si>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</si>
  <si>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</si>
  <si>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</si>
  <si>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</si>
  <si>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</si>
  <si>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</si>
  <si>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</si>
  <si>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</si>
  <si>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</si>
  <si>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</si>
  <si>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</si>
  <si>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</si>
  <si>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</si>
  <si>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</si>
  <si>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</si>
  <si>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</si>
  <si>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</si>
  <si>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</si>
  <si>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</si>
  <si>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</si>
  <si>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</si>
  <si>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</si>
  <si>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</si>
  <si>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</si>
  <si>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</si>
  <si>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</si>
  <si>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</si>
  <si>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</si>
  <si>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</si>
  <si>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</si>
  <si>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</si>
  <si>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</si>
  <si>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</si>
  <si>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</si>
  <si>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</si>
  <si>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</si>
  <si>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</si>
  <si>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</si>
  <si>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</si>
  <si>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</si>
  <si>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</si>
  <si>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</si>
  <si>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</si>
  <si>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</si>
  <si>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</si>
  <si>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</si>
  <si>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</si>
  <si>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</si>
  <si>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</si>
  <si>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</si>
  <si>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</si>
  <si>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</si>
  <si>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</si>
  <si>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</si>
  <si>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</si>
  <si>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</si>
  <si>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</si>
  <si>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</si>
  <si>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</si>
  <si>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</si>
  <si>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</si>
  <si>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</si>
  <si>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</si>
  <si>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</si>
  <si>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</si>
  <si>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</si>
  <si>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</si>
  <si>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</si>
  <si>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</si>
  <si>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</si>
  <si>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</si>
  <si>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</si>
  <si>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</si>
  <si>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</si>
  <si>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</si>
  <si>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</si>
  <si>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</si>
  <si>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</si>
  <si>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</si>
  <si>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</si>
  <si>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</si>
  <si>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</si>
  <si>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</si>
  <si>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</si>
  <si>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</si>
  <si>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</si>
  <si>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</si>
  <si>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</si>
  <si>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</si>
  <si>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</si>
  <si>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</si>
  <si>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</si>
  <si>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</si>
  <si>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</si>
  <si>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</si>
  <si>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</si>
  <si>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</si>
  <si>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</si>
  <si>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</si>
  <si>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</si>
  <si>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</si>
  <si>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</si>
  <si>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</si>
  <si>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</si>
  <si>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</si>
  <si>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</si>
  <si>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</si>
  <si>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</si>
  <si>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</si>
  <si>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</si>
  <si>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</si>
  <si>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</si>
  <si>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</si>
  <si>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</si>
  <si>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</si>
  <si>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</si>
  <si>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</si>
  <si>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</si>
  <si>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</si>
  <si>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</si>
  <si>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</si>
  <si>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</si>
  <si>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</si>
  <si>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</si>
  <si>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</si>
  <si>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</si>
  <si>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</si>
  <si>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</si>
  <si>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</si>
  <si>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</si>
  <si>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</si>
  <si>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</si>
  <si>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</si>
  <si>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</si>
  <si>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</si>
  <si>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</si>
  <si>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</si>
  <si>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</si>
  <si>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</si>
  <si>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</si>
  <si>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</si>
  <si>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</si>
  <si>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</si>
  <si>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</si>
  <si>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</si>
  <si>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</si>
  <si>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</si>
  <si>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</si>
  <si>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</si>
  <si>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</si>
  <si>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</si>
  <si>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</si>
  <si>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</si>
  <si>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</si>
  <si>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</si>
  <si>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</si>
  <si>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</si>
  <si>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</si>
  <si>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</si>
  <si>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</si>
  <si>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</si>
  <si>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</si>
  <si>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</si>
  <si>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</si>
  <si>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</si>
  <si>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</si>
  <si>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</si>
  <si>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</si>
  <si>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</si>
  <si>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</si>
  <si>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</si>
  <si>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</si>
  <si>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</si>
  <si>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</si>
  <si>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</si>
  <si>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</si>
  <si>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</si>
  <si>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</si>
  <si>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</si>
  <si>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</si>
  <si>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</si>
  <si>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</si>
  <si>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</si>
  <si>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</si>
  <si>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</si>
  <si>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</si>
  <si>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</si>
  <si>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</si>
  <si>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</si>
  <si>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</si>
  <si>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</si>
  <si>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</si>
  <si>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</si>
  <si>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</si>
  <si>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</si>
  <si>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</si>
  <si>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</si>
  <si>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</si>
  <si>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</si>
  <si>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</si>
  <si>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</si>
  <si>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</si>
  <si>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</si>
  <si>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</si>
  <si>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</si>
  <si>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</si>
  <si>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</si>
  <si>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</si>
  <si>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</si>
  <si>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</si>
  <si>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</si>
  <si>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</si>
  <si>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</si>
  <si>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</si>
  <si>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</si>
  <si>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</si>
  <si>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</si>
  <si>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</si>
  <si>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</si>
  <si>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</si>
  <si>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</si>
  <si>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</si>
  <si>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</si>
  <si>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</si>
  <si>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</si>
  <si>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</si>
  <si>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</si>
  <si>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</si>
  <si>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</si>
  <si>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</si>
  <si>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</si>
  <si>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</si>
  <si>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</si>
  <si>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</si>
  <si>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</si>
  <si>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</si>
  <si>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</si>
  <si>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</si>
  <si>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</si>
  <si>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</si>
  <si>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</si>
  <si>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</si>
  <si>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</si>
  <si>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</si>
  <si>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</si>
  <si>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</si>
  <si>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</si>
  <si>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</si>
  <si>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</si>
  <si>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</si>
  <si>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</si>
  <si>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</si>
  <si>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</si>
  <si>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</si>
  <si>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</si>
  <si>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</si>
  <si>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</si>
  <si>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</si>
  <si>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</si>
  <si>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</si>
  <si>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</si>
  <si>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</si>
  <si>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</si>
  <si>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</si>
  <si>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</si>
  <si>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</si>
  <si>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</si>
  <si>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</si>
  <si>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</si>
  <si>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</si>
  <si>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</si>
  <si>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</si>
  <si>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</si>
  <si>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</si>
  <si>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</si>
  <si>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</si>
  <si>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</si>
  <si>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</si>
  <si>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</si>
  <si>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</si>
  <si>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</si>
  <si>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</si>
  <si>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</si>
  <si>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</si>
  <si>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</si>
  <si>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</si>
  <si>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</si>
  <si>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</si>
  <si>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</si>
  <si>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</si>
  <si>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</si>
  <si>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</si>
  <si>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</si>
  <si>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</si>
  <si>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</si>
  <si>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</si>
  <si>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</si>
  <si>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</si>
  <si>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</si>
  <si>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</si>
  <si>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</si>
  <si>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</si>
  <si>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</si>
  <si>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</si>
  <si>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</si>
  <si>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</si>
  <si>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</si>
  <si>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</si>
  <si>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</si>
  <si>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</si>
  <si>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</si>
  <si>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</si>
  <si>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</si>
  <si>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</si>
  <si>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</si>
  <si>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</si>
  <si>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</si>
  <si>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</si>
  <si>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</si>
  <si>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</si>
  <si>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</si>
  <si>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</si>
  <si>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</si>
  <si>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</si>
  <si>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</si>
  <si>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</si>
  <si>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</si>
  <si>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</si>
  <si>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</si>
  <si>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</si>
  <si>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</si>
  <si>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</si>
  <si>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</si>
  <si>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</si>
  <si>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</si>
  <si>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</si>
  <si>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</si>
  <si>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</si>
  <si>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</si>
  <si>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</si>
  <si>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</si>
  <si>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</si>
  <si>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</si>
  <si>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</si>
  <si>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</si>
  <si>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</si>
  <si>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</si>
  <si>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</si>
  <si>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</si>
  <si>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</si>
  <si>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</si>
  <si>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</si>
  <si>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</si>
  <si>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</si>
  <si>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</si>
  <si>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</si>
  <si>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</si>
  <si>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</si>
  <si>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</si>
  <si>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</si>
  <si>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</si>
  <si>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</si>
  <si>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</si>
  <si>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</si>
  <si>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</si>
  <si>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</si>
  <si>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</si>
  <si>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</si>
  <si>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</si>
  <si>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</si>
  <si>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</si>
  <si>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</si>
  <si>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</si>
  <si>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</si>
  <si>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</si>
  <si>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</si>
  <si>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</si>
  <si>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</si>
  <si>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</si>
  <si>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</si>
  <si>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</si>
  <si>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</si>
  <si>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</si>
  <si>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</si>
  <si>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</si>
  <si>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</si>
  <si>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</si>
  <si>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</si>
  <si>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</si>
  <si>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</si>
  <si>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</si>
  <si>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</si>
  <si>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</si>
  <si>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</si>
  <si>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</si>
  <si>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</si>
  <si>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</si>
  <si>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</si>
  <si>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</si>
  <si>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</si>
  <si>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</si>
  <si>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</si>
  <si>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</si>
  <si>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</si>
  <si>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</si>
  <si>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</si>
  <si>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</si>
  <si>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</si>
  <si>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</si>
  <si>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</si>
  <si>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</si>
  <si>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</si>
  <si>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</si>
  <si>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</si>
  <si>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</si>
  <si>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</si>
  <si>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</si>
  <si>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</si>
  <si>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</si>
  <si>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</si>
  <si>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</si>
  <si>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</si>
  <si>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</si>
  <si>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</si>
  <si>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</si>
  <si>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</si>
  <si>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</si>
  <si>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</si>
  <si>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</si>
  <si>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</si>
  <si>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</si>
  <si>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</si>
  <si>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</si>
  <si>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</si>
  <si>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</si>
  <si>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</si>
  <si>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</si>
  <si>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</si>
  <si>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</si>
  <si>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</si>
  <si>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</si>
  <si>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</si>
  <si>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</si>
  <si>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</si>
  <si>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</si>
  <si>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</si>
  <si>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</si>
  <si>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</si>
  <si>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</si>
  <si>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</si>
  <si>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</si>
  <si>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</si>
  <si>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</si>
  <si>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</si>
  <si>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</si>
  <si>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</si>
  <si>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</si>
  <si>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</si>
  <si>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</si>
  <si>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</si>
  <si>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</si>
  <si>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</si>
  <si>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</si>
  <si>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</si>
  <si>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</si>
  <si>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</si>
  <si>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</si>
  <si>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</si>
  <si>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</si>
  <si>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</si>
  <si>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</si>
  <si>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</si>
  <si>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</si>
  <si>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</si>
  <si>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</si>
  <si>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</si>
  <si>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</si>
  <si>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</si>
  <si>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</si>
  <si>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</si>
  <si>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</si>
  <si>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</si>
  <si>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</si>
  <si>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</si>
  <si>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</si>
  <si>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</si>
  <si>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</si>
  <si>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</si>
  <si>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</si>
  <si>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</si>
  <si>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</si>
  <si>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</si>
  <si>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</si>
  <si>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</si>
  <si>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</si>
  <si>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</si>
  <si>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</si>
  <si>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</si>
  <si>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</si>
  <si>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</si>
  <si>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</si>
  <si>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</si>
  <si>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</si>
  <si>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</si>
  <si>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</si>
  <si>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</si>
  <si>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</si>
  <si>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</si>
  <si>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</si>
  <si>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</si>
  <si>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</si>
  <si>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</si>
  <si>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</si>
  <si>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</si>
  <si>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</si>
  <si>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</si>
  <si>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</si>
  <si>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</si>
  <si>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</si>
  <si>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</si>
  <si>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</si>
  <si>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</si>
  <si>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</si>
  <si>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</si>
  <si>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</si>
  <si>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</si>
  <si>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</si>
  <si>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</si>
  <si>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</si>
  <si>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</si>
  <si>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</si>
  <si>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</si>
  <si>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</si>
  <si>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</si>
  <si>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</si>
  <si>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</si>
  <si>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</si>
  <si>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</si>
  <si>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</si>
  <si>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</si>
  <si>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</si>
  <si>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</si>
  <si>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</si>
  <si>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</si>
  <si>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</si>
  <si>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</si>
  <si>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</si>
  <si>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</si>
  <si>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</si>
  <si>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</si>
  <si>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</si>
  <si>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</si>
  <si>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</si>
  <si>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</si>
  <si>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</si>
  <si>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</si>
  <si>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</si>
  <si>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</si>
  <si>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</si>
  <si>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</si>
  <si>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</si>
  <si>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</si>
  <si>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</si>
  <si>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</si>
  <si>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</si>
  <si>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</si>
  <si>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</si>
  <si>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</si>
  <si>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</si>
  <si>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</si>
  <si>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</si>
  <si>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</si>
  <si>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</si>
  <si>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</si>
  <si>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</si>
  <si>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</si>
  <si>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</si>
  <si>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</si>
  <si>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</si>
  <si>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</si>
  <si>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</si>
  <si>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</si>
  <si>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</si>
  <si>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</si>
  <si>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</si>
  <si>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</si>
  <si>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</si>
  <si>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</si>
  <si>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</si>
  <si>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</si>
  <si>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</si>
  <si>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</si>
  <si>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</si>
  <si>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</si>
  <si>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</si>
  <si>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</si>
  <si>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</si>
  <si>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</si>
  <si>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</si>
  <si>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</si>
  <si>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</si>
  <si>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</si>
  <si>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</si>
  <si>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</si>
  <si>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</si>
  <si>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</si>
  <si>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</si>
  <si>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</si>
  <si>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</si>
  <si>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</si>
  <si>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</si>
  <si>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</si>
  <si>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</si>
  <si>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</si>
  <si>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</si>
  <si>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</si>
  <si>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</si>
  <si>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</si>
  <si>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</si>
  <si>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</si>
  <si>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</si>
  <si>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</si>
  <si>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</si>
  <si>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</si>
  <si>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</si>
  <si>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</si>
  <si>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</si>
  <si>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</si>
  <si>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</si>
  <si>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</si>
  <si>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</si>
  <si>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</si>
  <si>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</si>
  <si>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</si>
  <si>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</si>
  <si>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</si>
  <si>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</si>
  <si>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</si>
  <si>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</si>
  <si>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</si>
  <si>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</si>
  <si>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</si>
  <si>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</si>
  <si>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</si>
  <si>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</si>
  <si>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</si>
  <si>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</si>
  <si>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</si>
  <si>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</si>
  <si>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</si>
  <si>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</si>
  <si>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</si>
  <si>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</si>
  <si>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</si>
  <si>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</si>
  <si>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</si>
  <si>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</si>
  <si>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</si>
  <si>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</si>
  <si>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</si>
  <si>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</si>
  <si>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</si>
  <si>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</si>
  <si>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</si>
  <si>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</si>
  <si>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</si>
  <si>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</si>
  <si>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</si>
  <si>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</si>
  <si>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</si>
  <si>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</si>
  <si>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</si>
  <si>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</si>
  <si>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</si>
  <si>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</si>
  <si>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</si>
  <si>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</si>
  <si>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</si>
  <si>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</si>
  <si>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</si>
  <si>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</si>
  <si>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</si>
  <si>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</si>
  <si>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</si>
  <si>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</si>
  <si>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</si>
  <si>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</si>
  <si>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</si>
  <si>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</si>
  <si>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</si>
  <si>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</si>
  <si>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</si>
  <si>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</si>
  <si>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</si>
  <si>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</si>
  <si>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</si>
  <si>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</si>
  <si>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</si>
  <si>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</si>
  <si>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</si>
  <si>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</si>
  <si>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</si>
  <si>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</si>
  <si>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</si>
  <si>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</si>
  <si>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</si>
  <si>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</si>
  <si>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</si>
  <si>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</si>
  <si>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</si>
  <si>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</si>
  <si>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</si>
  <si>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</si>
  <si>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</si>
  <si>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</si>
  <si>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</si>
  <si>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</si>
  <si>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</si>
  <si>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</si>
  <si>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</si>
  <si>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</si>
  <si>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</si>
  <si>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</si>
  <si>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</si>
  <si>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</si>
  <si>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</si>
  <si>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</si>
  <si>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</si>
  <si>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</si>
  <si>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</si>
  <si>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</si>
  <si>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</si>
  <si>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</si>
  <si>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</si>
  <si>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</si>
  <si>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</si>
  <si>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</si>
  <si>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</si>
  <si>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</si>
  <si>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</si>
  <si>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</si>
  <si>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</si>
  <si>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</si>
  <si>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</si>
  <si>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</si>
  <si>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</si>
  <si>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</si>
  <si>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</si>
  <si>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</si>
  <si>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</si>
  <si>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</si>
  <si>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</si>
  <si>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</si>
  <si>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</si>
  <si>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</si>
  <si>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</si>
  <si>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</si>
  <si>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</si>
  <si>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</si>
  <si>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</si>
  <si>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</si>
  <si>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</si>
  <si>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</si>
  <si>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</si>
  <si>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</si>
  <si>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</si>
  <si>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</si>
  <si>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</si>
  <si>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</si>
  <si>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</si>
  <si>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</si>
  <si>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</si>
  <si>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</si>
  <si>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</si>
  <si>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</si>
  <si>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</si>
  <si>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</si>
  <si>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</si>
  <si>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</si>
  <si>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</si>
  <si>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</si>
  <si>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</si>
  <si>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</si>
  <si>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</si>
  <si>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</si>
  <si>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</si>
  <si>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</si>
  <si>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</si>
  <si>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</si>
  <si>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</si>
  <si>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</si>
  <si>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</si>
  <si>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</si>
  <si>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</si>
  <si>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</si>
  <si>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</si>
  <si>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</si>
  <si>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</si>
  <si>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</si>
  <si>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</si>
  <si>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</si>
  <si>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</si>
  <si>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</si>
  <si>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</si>
  <si>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</si>
  <si>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</si>
  <si>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</si>
  <si>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</si>
  <si>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</si>
  <si>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</si>
  <si>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</si>
  <si>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</si>
  <si>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</si>
  <si>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</si>
  <si>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</si>
  <si>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</si>
  <si>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</si>
  <si>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</si>
  <si>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</si>
  <si>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</si>
  <si>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</si>
  <si>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</si>
  <si>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</si>
  <si>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</si>
  <si>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</si>
  <si>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</si>
  <si>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</si>
  <si>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</si>
  <si>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</si>
  <si>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</si>
  <si>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</si>
  <si>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</si>
  <si>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</si>
  <si>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</si>
  <si>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</si>
  <si>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</si>
  <si>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</si>
  <si>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</si>
  <si>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</si>
  <si>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</si>
  <si>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</si>
  <si>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</si>
  <si>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</si>
  <si>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</si>
  <si>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</si>
  <si>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</si>
  <si>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</si>
  <si>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</si>
  <si>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</si>
  <si>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</si>
  <si>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</si>
  <si>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</si>
  <si>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</si>
  <si>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</si>
  <si>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</si>
  <si>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</si>
  <si>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</si>
  <si>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</si>
  <si>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</si>
  <si>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</si>
  <si>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</si>
  <si>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</si>
  <si>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</si>
  <si>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</si>
  <si>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</si>
  <si>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</si>
  <si>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</si>
  <si>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</si>
  <si>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</si>
  <si>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</si>
  <si>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</si>
  <si>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</si>
  <si>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</si>
  <si>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</si>
  <si>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</si>
  <si>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</si>
  <si>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</si>
  <si>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</si>
  <si>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</si>
  <si>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</si>
  <si>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</si>
  <si>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</si>
  <si>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</si>
  <si>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</si>
  <si>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</si>
  <si>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</si>
  <si>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</si>
  <si>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</si>
  <si>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</si>
  <si>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</si>
  <si>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</si>
  <si>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</si>
  <si>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</si>
  <si>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</si>
  <si>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</si>
  <si>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</si>
  <si>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</si>
  <si>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</si>
  <si>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</si>
  <si>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</si>
  <si>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</si>
  <si>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</si>
  <si>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</si>
  <si>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</si>
  <si>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</si>
  <si>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</si>
  <si>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</si>
  <si>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</si>
  <si>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</si>
  <si>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</si>
  <si>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</si>
  <si>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</si>
  <si>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</si>
  <si>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</si>
  <si>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</si>
  <si>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</si>
  <si>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</si>
  <si>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</si>
  <si>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</si>
  <si>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</si>
  <si>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</si>
  <si>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</si>
  <si>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</si>
  <si>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</si>
  <si>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</si>
  <si>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</si>
  <si>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</si>
  <si>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</si>
  <si>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</si>
  <si>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</si>
  <si>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</si>
  <si>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</si>
  <si>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</si>
  <si>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</si>
  <si>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</si>
  <si>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</si>
  <si>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</si>
  <si>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</si>
  <si>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</si>
  <si>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</si>
  <si>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</si>
  <si>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</si>
  <si>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</si>
  <si>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</si>
  <si>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</si>
  <si>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</si>
  <si>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</si>
  <si>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</si>
  <si>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</si>
  <si>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</si>
  <si>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</si>
  <si>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</si>
  <si>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</si>
  <si>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</si>
  <si>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</si>
  <si>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</si>
  <si>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</si>
  <si>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</si>
  <si>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</si>
  <si>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</si>
  <si>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</si>
  <si>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</si>
  <si>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</si>
  <si>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</si>
  <si>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</si>
  <si>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</si>
  <si>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</si>
  <si>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</si>
  <si>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</si>
  <si>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</si>
  <si>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</si>
  <si>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</si>
  <si>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</si>
  <si>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</si>
  <si>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</si>
  <si>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</si>
  <si>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</si>
  <si>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</si>
  <si>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</si>
  <si>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</si>
  <si>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</si>
  <si>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</si>
  <si>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</si>
  <si>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</si>
  <si>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</si>
  <si>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</si>
  <si>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</si>
  <si>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</si>
  <si>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</si>
  <si>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</si>
  <si>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</si>
  <si>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</si>
  <si>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</si>
  <si>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</si>
  <si>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</si>
  <si>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</si>
  <si>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</si>
  <si>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</si>
  <si>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</si>
  <si>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</si>
  <si>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</si>
  <si>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</si>
  <si>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</si>
  <si>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</si>
  <si>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</si>
  <si>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</si>
  <si>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</si>
  <si>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</si>
  <si>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</si>
  <si>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</si>
  <si>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</si>
  <si>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</si>
  <si>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</si>
  <si>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</si>
  <si>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</si>
  <si>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</si>
  <si>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</si>
  <si>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</si>
  <si>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</si>
  <si>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</si>
  <si>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</si>
  <si>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</si>
  <si>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</si>
  <si>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</si>
  <si>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</si>
  <si>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</si>
  <si>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</si>
  <si>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</si>
  <si>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</si>
  <si>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</si>
  <si>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</si>
  <si>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</si>
  <si>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</si>
  <si>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</si>
  <si>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</si>
  <si>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</si>
  <si>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</si>
  <si>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</si>
  <si>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</si>
  <si>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</si>
  <si>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</si>
  <si>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</si>
  <si>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</si>
  <si>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</si>
  <si>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</si>
  <si>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</si>
  <si>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</si>
  <si>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</si>
  <si>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</si>
  <si>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</si>
  <si>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</si>
  <si>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</si>
  <si>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</si>
  <si>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</si>
  <si>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</si>
  <si>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</si>
  <si>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</si>
  <si>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</si>
  <si>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</si>
  <si>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</si>
  <si>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</si>
  <si>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</si>
  <si>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</si>
  <si>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</si>
  <si>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</si>
  <si>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</si>
  <si>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</si>
  <si>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</si>
  <si>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</si>
  <si>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</si>
  <si>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</si>
  <si>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</si>
  <si>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</si>
  <si>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</si>
  <si>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</si>
  <si>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</si>
  <si>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</si>
  <si>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</si>
  <si>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</si>
  <si>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</si>
  <si>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</si>
  <si>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</si>
  <si>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</si>
  <si>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</si>
  <si>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</si>
  <si>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</si>
  <si>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</si>
  <si>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</si>
  <si>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</si>
  <si>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</si>
  <si>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</si>
  <si>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</si>
  <si>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</si>
  <si>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</si>
  <si>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</si>
  <si>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</si>
  <si>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</si>
  <si>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</si>
  <si>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</si>
  <si>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</si>
  <si>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</si>
  <si>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</si>
  <si>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</si>
  <si>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</si>
  <si>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</si>
  <si>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</si>
  <si>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</si>
  <si>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</si>
  <si>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</si>
  <si>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</si>
  <si>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</si>
  <si>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</si>
  <si>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</si>
  <si>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</si>
  <si>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</si>
  <si>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</si>
  <si>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</si>
  <si>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</si>
  <si>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</si>
  <si>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</si>
  <si>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</si>
  <si>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</si>
  <si>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</si>
  <si>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</si>
  <si>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</si>
  <si>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</si>
  <si>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</si>
  <si>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</si>
  <si>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</si>
  <si>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</si>
  <si>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</si>
  <si>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</si>
  <si>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</si>
  <si>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</si>
  <si>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</si>
  <si>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</si>
  <si>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</si>
  <si>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</si>
  <si>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</si>
  <si>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</si>
  <si>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</si>
  <si>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</si>
  <si>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</si>
  <si>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</si>
  <si>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</si>
  <si>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</si>
  <si>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</si>
  <si>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</si>
  <si>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</si>
  <si>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</si>
  <si>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</si>
  <si>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</si>
  <si>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</si>
  <si>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</si>
  <si>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</si>
  <si>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</si>
  <si>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</si>
  <si>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</si>
  <si>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</si>
  <si>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</si>
  <si>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</si>
  <si>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</si>
  <si>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</si>
  <si>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</si>
  <si>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</si>
  <si>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</si>
  <si>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</si>
  <si>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</si>
  <si>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</si>
  <si>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</si>
  <si>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</si>
  <si>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</si>
  <si>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</si>
  <si>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</si>
  <si>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</si>
  <si>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</si>
  <si>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</si>
  <si>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</si>
  <si>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</si>
  <si>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</si>
  <si>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</si>
  <si>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</si>
  <si>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</si>
  <si>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</si>
  <si>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</si>
  <si>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</si>
  <si>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</si>
  <si>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</si>
  <si>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</si>
  <si>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</si>
  <si>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</si>
  <si>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</si>
  <si>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</si>
  <si>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</si>
  <si>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</si>
  <si>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</si>
  <si>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</si>
  <si>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</si>
  <si>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</si>
  <si>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</si>
  <si>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</si>
  <si>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</si>
  <si>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</si>
  <si>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</si>
  <si>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</si>
  <si>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</si>
  <si>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</si>
  <si>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</si>
  <si>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</si>
  <si>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</si>
  <si>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</si>
  <si>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</si>
  <si>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</si>
  <si>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</si>
  <si>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</si>
  <si>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</si>
  <si>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</si>
  <si>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</si>
  <si>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</si>
  <si>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</si>
  <si>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</si>
  <si>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</si>
  <si>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</si>
  <si>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</si>
  <si>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</si>
  <si>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</si>
  <si>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</si>
  <si>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</si>
  <si>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</si>
  <si>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</si>
  <si>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</si>
  <si>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</si>
  <si>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</si>
  <si>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</si>
  <si>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</si>
  <si>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</si>
  <si>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</si>
  <si>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</si>
  <si>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</si>
  <si>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</si>
  <si>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</si>
  <si>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</si>
  <si>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</si>
  <si>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</si>
  <si>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</si>
  <si>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</si>
  <si>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</si>
  <si>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</si>
  <si>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</si>
  <si>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</si>
  <si>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</si>
  <si>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</si>
  <si>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</si>
  <si>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</si>
  <si>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</si>
  <si>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</si>
  <si>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</si>
  <si>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</si>
  <si>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</si>
  <si>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</si>
  <si>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</si>
  <si>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</si>
  <si>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</si>
  <si>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</si>
  <si>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</si>
  <si>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</si>
  <si>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</si>
  <si>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</si>
  <si>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</si>
  <si>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</si>
  <si>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</si>
  <si>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</si>
  <si>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</si>
  <si>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</si>
  <si>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</si>
  <si>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</si>
  <si>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</si>
  <si>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</si>
  <si>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</si>
  <si>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</si>
  <si>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</si>
  <si>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</si>
  <si>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</si>
  <si>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</si>
  <si>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</si>
  <si>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</si>
  <si>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</si>
  <si>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</si>
  <si>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</si>
  <si>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</si>
  <si>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</si>
  <si>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</si>
  <si>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</si>
  <si>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</si>
  <si>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</si>
  <si>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</si>
  <si>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</si>
  <si>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</si>
  <si>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</si>
  <si>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</si>
  <si>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</si>
  <si>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</si>
  <si>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</si>
  <si>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</si>
  <si>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</si>
  <si>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</si>
  <si>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</si>
  <si>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</si>
  <si>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</si>
  <si>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</si>
  <si>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</si>
  <si>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</si>
  <si>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</si>
  <si>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</si>
  <si>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</si>
  <si>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</si>
  <si>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</si>
  <si>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</si>
  <si>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</si>
  <si>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</si>
  <si>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</si>
  <si>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</si>
  <si>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</si>
  <si>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</si>
  <si>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</si>
  <si>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</si>
  <si>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</si>
  <si>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</si>
  <si>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</si>
  <si>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</si>
  <si>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</si>
  <si>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</si>
  <si>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</si>
  <si>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</si>
  <si>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</si>
  <si>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</si>
  <si>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</si>
  <si>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</si>
  <si>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</si>
  <si>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</si>
  <si>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</si>
  <si>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</si>
  <si>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</si>
  <si>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</si>
  <si>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</si>
  <si>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</si>
  <si>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</si>
  <si>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</si>
  <si>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</si>
  <si>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</si>
  <si>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</si>
  <si>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</si>
  <si>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</si>
  <si>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</si>
  <si>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</si>
  <si>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</si>
  <si>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</si>
  <si>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</si>
  <si>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</si>
  <si>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</si>
  <si>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</si>
  <si>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</si>
  <si>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</si>
  <si>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</si>
  <si>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</si>
  <si>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</si>
  <si>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</si>
  <si>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</si>
  <si>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</si>
  <si>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</si>
  <si>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</si>
  <si>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</si>
  <si>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</si>
  <si>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</si>
  <si>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</si>
  <si>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</si>
  <si>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</si>
  <si>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</si>
  <si>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</si>
  <si>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</si>
  <si>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</si>
  <si>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</si>
  <si>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</si>
  <si>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</si>
  <si>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</si>
  <si>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</si>
  <si>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</si>
  <si>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</si>
  <si>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</si>
  <si>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</si>
  <si>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</si>
  <si>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</si>
  <si>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</si>
  <si>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</si>
  <si>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</si>
  <si>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</si>
  <si>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</si>
  <si>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</si>
  <si>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</si>
  <si>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</si>
  <si>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</si>
  <si>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</si>
  <si>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</si>
  <si>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</si>
  <si>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</si>
  <si>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</si>
  <si>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</si>
  <si>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</si>
  <si>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</si>
  <si>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</si>
  <si>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</si>
  <si>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</si>
  <si>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</si>
  <si>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</si>
  <si>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</si>
  <si>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</si>
  <si>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</si>
  <si>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</si>
  <si>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</si>
  <si>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</si>
  <si>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</si>
  <si>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</si>
  <si>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</si>
  <si>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</si>
  <si>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</si>
  <si>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</si>
  <si>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</si>
  <si>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</si>
  <si>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</si>
  <si>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</si>
  <si>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</si>
  <si>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</si>
  <si>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</si>
  <si>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</si>
  <si>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</si>
  <si>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</si>
  <si>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</si>
  <si>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</si>
  <si>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</si>
  <si>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</si>
  <si>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</si>
  <si>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</si>
  <si>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</si>
  <si>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</si>
  <si>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</si>
  <si>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</si>
  <si>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</si>
  <si>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</si>
  <si>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</si>
  <si>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</si>
  <si>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</si>
  <si>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</si>
  <si>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</si>
  <si>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</si>
  <si>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</si>
  <si>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</si>
  <si>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</si>
  <si>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</si>
  <si>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</si>
  <si>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</si>
  <si>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</si>
  <si>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</si>
  <si>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</si>
  <si>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</si>
  <si>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</si>
  <si>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</si>
  <si>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</si>
  <si>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</si>
  <si>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</si>
  <si>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</si>
  <si>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</si>
  <si>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</si>
  <si>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</si>
  <si>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</si>
  <si>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</si>
  <si>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</si>
  <si>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</si>
  <si>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</si>
  <si>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</si>
  <si>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</si>
  <si>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</si>
  <si>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</si>
  <si>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</si>
  <si>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</si>
  <si>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</si>
  <si>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</si>
  <si>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</si>
  <si>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</si>
  <si>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</si>
  <si>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</si>
  <si>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</si>
  <si>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</si>
  <si>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</si>
  <si>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</si>
  <si>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</si>
  <si>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</si>
  <si>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</si>
  <si>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</si>
  <si>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</si>
  <si>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</si>
  <si>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</si>
  <si>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</si>
  <si>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</si>
  <si>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</si>
  <si>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</si>
  <si>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</si>
  <si>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</si>
  <si>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</si>
  <si>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</si>
  <si>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</si>
  <si>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</si>
  <si>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</si>
  <si>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</si>
  <si>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</si>
  <si>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</si>
  <si>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</si>
  <si>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</si>
  <si>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</si>
  <si>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</si>
  <si>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</si>
  <si>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</si>
  <si>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</si>
  <si>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</si>
  <si>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</si>
  <si>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</si>
  <si>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</si>
  <si>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</si>
  <si>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</si>
  <si>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</si>
  <si>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</si>
  <si>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</si>
  <si>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</si>
  <si>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</si>
  <si>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</si>
  <si>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</si>
  <si>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</si>
  <si>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</si>
  <si>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</si>
  <si>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</si>
  <si>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</si>
  <si>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</si>
  <si>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</si>
  <si>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</si>
  <si>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</si>
  <si>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</si>
  <si>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</si>
  <si>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</si>
  <si>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</si>
  <si>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</si>
  <si>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</si>
  <si>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</si>
  <si>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</si>
  <si>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</si>
  <si>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</si>
  <si>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</si>
  <si>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</si>
  <si>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</si>
  <si>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</si>
  <si>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</si>
  <si>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</si>
  <si>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</si>
  <si>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</si>
  <si>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</si>
  <si>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</si>
  <si>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</si>
  <si>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</si>
  <si>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</si>
  <si>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</si>
  <si>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</si>
  <si>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</si>
  <si>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</si>
  <si>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</si>
  <si>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</si>
  <si>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</si>
  <si>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</si>
  <si>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</si>
  <si>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</si>
  <si>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</si>
  <si>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</si>
  <si>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</si>
  <si>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</si>
  <si>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</si>
  <si>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</si>
  <si>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</si>
  <si>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</si>
  <si>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</si>
  <si>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</si>
  <si>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</si>
  <si>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</si>
  <si>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</si>
  <si>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</si>
  <si>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</si>
  <si>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</si>
  <si>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</si>
  <si>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</si>
  <si>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</si>
  <si>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</si>
  <si>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</si>
  <si>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</si>
  <si>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</si>
  <si>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</si>
  <si>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</si>
  <si>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</si>
  <si>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</si>
  <si>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</si>
  <si>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</si>
  <si>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</si>
  <si>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</si>
  <si>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</si>
  <si>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</si>
  <si>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</si>
  <si>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</si>
  <si>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</si>
  <si>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</si>
  <si>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</si>
  <si>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</si>
  <si>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</si>
  <si>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</si>
  <si>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</si>
  <si>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</si>
  <si>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</si>
  <si>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</si>
  <si>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</si>
  <si>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</si>
  <si>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</si>
  <si>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</si>
  <si>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</si>
  <si>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</si>
  <si>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</si>
  <si>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</si>
  <si>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</si>
  <si>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</si>
  <si>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</si>
  <si>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</si>
  <si>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</si>
  <si>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</si>
  <si>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</si>
  <si>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</si>
  <si>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</si>
  <si>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</si>
  <si>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</si>
  <si>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</si>
  <si>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</si>
  <si>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</si>
  <si>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</si>
  <si>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</si>
  <si>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</si>
  <si>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</si>
  <si>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</si>
  <si>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</si>
  <si>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</si>
  <si>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</si>
  <si>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</si>
  <si>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</si>
  <si>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</si>
  <si>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</si>
  <si>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</si>
  <si>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</si>
  <si>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</si>
  <si>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</si>
  <si>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</si>
  <si>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</si>
  <si>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</si>
  <si>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</si>
  <si>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</si>
  <si>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</si>
  <si>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</si>
  <si>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</si>
  <si>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</si>
  <si>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</si>
  <si>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</si>
  <si>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</si>
  <si>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</si>
  <si>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</si>
  <si>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</si>
  <si>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</si>
  <si>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</si>
  <si>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</si>
  <si>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</si>
  <si>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</si>
  <si>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</si>
  <si>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</si>
  <si>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</si>
  <si>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</si>
  <si>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</si>
  <si>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</si>
  <si>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</si>
  <si>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</si>
  <si>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</si>
  <si>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</si>
  <si>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</si>
  <si>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</si>
  <si>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</si>
  <si>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</si>
  <si>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</si>
  <si>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</si>
  <si>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</si>
  <si>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</si>
  <si>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</si>
  <si>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</si>
  <si>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</si>
  <si>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</si>
  <si>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</si>
  <si>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</si>
  <si>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</si>
  <si>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</si>
  <si>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</si>
  <si>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</si>
  <si>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</si>
  <si>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</si>
  <si>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</si>
  <si>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</si>
  <si>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</si>
  <si>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</si>
  <si>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</si>
  <si>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</si>
  <si>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</si>
  <si>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</si>
  <si>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</si>
  <si>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</si>
  <si>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</si>
  <si>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</si>
  <si>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</si>
  <si>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</si>
  <si>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</si>
  <si>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</si>
  <si>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</si>
  <si>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</si>
  <si>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</si>
  <si>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</si>
  <si>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</si>
  <si>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</si>
  <si>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</si>
  <si>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</si>
  <si>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</si>
  <si>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</si>
  <si>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</si>
  <si>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</si>
  <si>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</si>
  <si>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</si>
  <si>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</si>
  <si>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</si>
  <si>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</si>
  <si>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</si>
  <si>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</si>
  <si>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</si>
  <si>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</si>
  <si>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</si>
  <si>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</si>
  <si>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</si>
  <si>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</si>
  <si>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</si>
  <si>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</si>
  <si>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</si>
  <si>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</si>
  <si>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</si>
  <si>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</si>
  <si>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</si>
  <si>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</si>
  <si>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</si>
  <si>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</si>
  <si>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</si>
  <si>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</si>
  <si>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</si>
  <si>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</si>
  <si>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</si>
  <si>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</si>
  <si>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</si>
  <si>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</si>
  <si>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</si>
  <si>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</si>
  <si>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</si>
  <si>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</si>
  <si>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</si>
  <si>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</si>
  <si>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</si>
  <si>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</si>
  <si>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</si>
  <si>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</si>
  <si>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</si>
  <si>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</si>
  <si>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</si>
  <si>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</si>
  <si>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</si>
  <si>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</si>
  <si>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</si>
  <si>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</si>
  <si>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</si>
  <si>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</si>
  <si>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</si>
  <si>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</si>
  <si>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</si>
  <si>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</si>
  <si>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</si>
  <si>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</si>
  <si>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</si>
  <si>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</si>
  <si>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</si>
  <si>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</si>
  <si>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</si>
  <si>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</si>
  <si>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</si>
  <si>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</si>
  <si>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</si>
  <si>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</si>
  <si>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</si>
  <si>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</si>
  <si>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</si>
  <si>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</si>
  <si>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</si>
  <si>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</si>
  <si>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</si>
  <si>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</si>
  <si>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</si>
  <si>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</si>
  <si>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</si>
  <si>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</si>
  <si>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</si>
  <si>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</si>
  <si>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</si>
  <si>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</si>
  <si>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</si>
  <si>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</si>
  <si>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</si>
  <si>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</si>
  <si>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</si>
  <si>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</si>
  <si>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</si>
  <si>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</si>
  <si>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</si>
  <si>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</si>
  <si>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</si>
  <si>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</si>
  <si>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</si>
  <si>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</si>
  <si>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</si>
  <si>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</si>
  <si>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</si>
  <si>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</si>
  <si>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</si>
  <si>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</si>
  <si>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</si>
  <si>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</si>
  <si>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</si>
  <si>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</si>
  <si>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</si>
  <si>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</si>
  <si>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</si>
  <si>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</si>
  <si>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</si>
  <si>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</si>
  <si>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</si>
  <si>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</si>
  <si>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</si>
  <si>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</si>
  <si>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</si>
  <si>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</si>
  <si>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</si>
  <si>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</si>
  <si>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</si>
  <si>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</si>
  <si>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</si>
  <si>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</si>
  <si>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</si>
  <si>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</si>
  <si>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</si>
  <si>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</si>
  <si>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</si>
  <si>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</si>
  <si>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</si>
  <si>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</si>
  <si>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</si>
  <si>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</si>
  <si>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</si>
  <si>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</si>
  <si>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</si>
  <si>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</si>
  <si>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</si>
  <si>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</si>
  <si>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</si>
  <si>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</si>
  <si>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</si>
  <si>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</si>
  <si>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</si>
  <si>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</si>
  <si>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</si>
  <si>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</si>
  <si>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</si>
  <si>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</si>
  <si>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</si>
  <si>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</si>
  <si>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</si>
  <si>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</si>
  <si>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</si>
  <si>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</si>
  <si>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</si>
  <si>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</si>
  <si>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</si>
  <si>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</si>
  <si>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</si>
  <si>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</si>
  <si>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</si>
  <si>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</si>
  <si>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</si>
  <si>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</si>
  <si>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</si>
  <si>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</si>
  <si>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</si>
  <si>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</si>
  <si>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</si>
  <si>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</si>
  <si>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</si>
  <si>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</si>
  <si>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</si>
  <si>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</si>
  <si>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</si>
  <si>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</si>
  <si>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</si>
  <si>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</si>
  <si>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</si>
  <si>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</si>
  <si>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</si>
  <si>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</si>
  <si>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</si>
  <si>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</si>
  <si>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</si>
  <si>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</si>
  <si>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</si>
  <si>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</si>
  <si>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</si>
  <si>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</si>
  <si>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</si>
  <si>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</si>
  <si>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</si>
  <si>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</si>
  <si>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</si>
  <si>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</si>
  <si>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</si>
  <si>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</si>
  <si>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</si>
  <si>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</si>
  <si>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</si>
  <si>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</si>
  <si>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</si>
  <si>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</si>
  <si>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</si>
  <si>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</si>
  <si>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</si>
  <si>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</si>
  <si>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</si>
  <si>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</si>
  <si>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</si>
  <si>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</si>
  <si>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</si>
  <si>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</si>
  <si>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</si>
  <si>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</si>
  <si>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</si>
  <si>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</si>
  <si>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</si>
  <si>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</si>
  <si>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</si>
  <si>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</si>
  <si>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</si>
  <si>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</si>
  <si>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</si>
  <si>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</si>
  <si>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</si>
  <si>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</si>
  <si>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</si>
  <si>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</si>
  <si>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</si>
  <si>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</si>
  <si>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</si>
  <si>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</si>
  <si>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</si>
  <si>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</si>
  <si>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</si>
  <si>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</si>
  <si>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</si>
  <si>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</si>
  <si>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</si>
  <si>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</si>
  <si>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</si>
  <si>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</si>
  <si>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</si>
  <si>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</si>
  <si>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</si>
  <si>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</si>
  <si>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</si>
  <si>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</si>
  <si>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</si>
  <si>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</si>
  <si>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</si>
  <si>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</si>
  <si>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</si>
  <si>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</si>
  <si>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</si>
  <si>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</si>
  <si>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</si>
  <si>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</si>
  <si>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</si>
  <si>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</si>
  <si>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</si>
  <si>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</si>
  <si>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</si>
  <si>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</si>
  <si>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</si>
  <si>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</si>
  <si>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</si>
  <si>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</si>
  <si>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</si>
  <si>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</si>
  <si>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</si>
  <si>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</si>
  <si>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</si>
  <si>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</si>
  <si>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</si>
  <si>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</si>
  <si>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</si>
  <si>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</si>
  <si>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</si>
  <si>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</si>
  <si>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</si>
  <si>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</si>
  <si>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</si>
  <si>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</si>
  <si>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</si>
  <si>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</si>
  <si>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</si>
  <si>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</si>
  <si>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</si>
  <si>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</si>
  <si>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</si>
  <si>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</si>
  <si>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</si>
  <si>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</si>
  <si>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</si>
  <si>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</si>
  <si>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</si>
  <si>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</si>
  <si>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</si>
  <si>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</si>
  <si>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</si>
  <si>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</si>
  <si>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</si>
  <si>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</si>
  <si>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</si>
  <si>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</si>
  <si>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</si>
  <si>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</si>
  <si>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</si>
  <si>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</si>
  <si>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</si>
  <si>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</si>
  <si>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</si>
  <si>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</si>
  <si>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</si>
  <si>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</si>
  <si>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</si>
  <si>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</si>
  <si>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</si>
  <si>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</si>
  <si>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</si>
  <si>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</si>
  <si>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</si>
  <si>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</si>
  <si>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</si>
  <si>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</si>
  <si>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</si>
  <si>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</si>
  <si>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</si>
  <si>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</si>
  <si>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</si>
  <si>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</si>
  <si>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</si>
  <si>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</si>
  <si>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</si>
  <si>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</si>
  <si>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</si>
  <si>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</si>
  <si>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</si>
  <si>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</si>
  <si>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</si>
  <si>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</si>
  <si>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</si>
  <si>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</si>
  <si>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</si>
  <si>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</si>
  <si>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</si>
  <si>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</si>
  <si>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</si>
  <si>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</si>
  <si>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</si>
  <si>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</si>
  <si>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</si>
  <si>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</si>
  <si>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</si>
  <si>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</si>
  <si>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</si>
  <si>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</si>
  <si>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</si>
  <si>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</si>
  <si>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</si>
  <si>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</si>
  <si>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</si>
  <si>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</si>
  <si>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</si>
  <si>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</si>
  <si>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</si>
  <si>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</si>
  <si>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</si>
  <si>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</si>
  <si>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</si>
  <si>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</si>
  <si>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</si>
  <si>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</si>
  <si>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</si>
  <si>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</si>
  <si>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</si>
  <si>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</si>
  <si>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</si>
  <si>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</si>
  <si>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</si>
  <si>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</si>
  <si>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</si>
  <si>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</si>
  <si>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</si>
  <si>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</si>
  <si>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</si>
  <si>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</si>
  <si>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</si>
  <si>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</si>
  <si>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</si>
  <si>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</si>
  <si>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</si>
  <si>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</si>
  <si>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</si>
  <si>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</si>
  <si>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</si>
  <si>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</si>
  <si>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</si>
  <si>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</si>
  <si>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</si>
  <si>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</si>
  <si>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</si>
  <si>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</si>
  <si>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</si>
  <si>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</si>
  <si>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</si>
  <si>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</si>
  <si>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</si>
  <si>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</si>
  <si>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</si>
  <si>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</si>
  <si>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</si>
  <si>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</si>
  <si>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</si>
  <si>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</si>
  <si>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</si>
  <si>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</si>
  <si>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</si>
  <si>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</si>
  <si>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</si>
  <si>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</si>
  <si>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</si>
  <si>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</si>
  <si>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</si>
  <si>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</si>
  <si>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</si>
  <si>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</si>
  <si>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</si>
  <si>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</si>
  <si>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</si>
  <si>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</si>
  <si>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</si>
  <si>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</si>
  <si>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</si>
  <si>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</si>
  <si>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</si>
  <si>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</si>
  <si>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</si>
  <si>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</si>
  <si>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</si>
  <si>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</si>
  <si>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</si>
  <si>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</si>
  <si>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</si>
  <si>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</si>
  <si>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</si>
  <si>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</si>
  <si>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</si>
  <si>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</si>
  <si>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</si>
  <si>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</si>
  <si>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</si>
  <si>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</si>
  <si>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</si>
  <si>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</si>
  <si>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</si>
  <si>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</si>
  <si>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</si>
  <si>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</si>
  <si>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</si>
  <si>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</si>
  <si>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</si>
  <si>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</si>
  <si>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</si>
  <si>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</si>
  <si>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</si>
  <si>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</si>
  <si>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</si>
  <si>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</si>
  <si>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</si>
  <si>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</si>
  <si>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</si>
  <si>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</si>
  <si>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</si>
  <si>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</si>
  <si>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</si>
  <si>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</si>
  <si>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</si>
  <si>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</si>
  <si>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</si>
  <si>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</si>
  <si>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</si>
  <si>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</si>
  <si>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</si>
  <si>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</si>
  <si>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</si>
  <si>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</si>
  <si>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</si>
  <si>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</si>
  <si>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</si>
  <si>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</si>
  <si>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</si>
  <si>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</si>
  <si>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</si>
  <si>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</si>
  <si>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</si>
  <si>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</si>
  <si>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</si>
  <si>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</si>
  <si>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</si>
  <si>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</si>
  <si>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</si>
  <si>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</si>
  <si>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</si>
  <si>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</si>
  <si>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</si>
  <si>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</si>
  <si>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</si>
  <si>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</si>
  <si>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</si>
  <si>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</si>
  <si>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</si>
  <si>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</si>
  <si>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</si>
  <si>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</si>
  <si>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</si>
  <si>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</si>
  <si>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</si>
  <si>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</si>
  <si>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</si>
  <si>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</si>
  <si>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</si>
  <si>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</si>
  <si>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</si>
  <si>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</si>
  <si>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</si>
  <si>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</si>
  <si>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</si>
  <si>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</si>
  <si>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</si>
  <si>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</si>
  <si>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</si>
  <si>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</si>
  <si>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</si>
  <si>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</si>
  <si>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</si>
  <si>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</si>
  <si>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</si>
  <si>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</si>
  <si>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</si>
  <si>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</si>
  <si>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</si>
  <si>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</si>
  <si>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</si>
  <si>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</si>
  <si>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</si>
  <si>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</si>
  <si>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</si>
  <si>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</si>
  <si>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</si>
  <si>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</si>
  <si>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</si>
  <si>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</si>
  <si>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</si>
  <si>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</si>
  <si>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</si>
  <si>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</si>
  <si>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</si>
  <si>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</si>
  <si>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</si>
  <si>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</si>
  <si>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</si>
  <si>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</si>
  <si>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</si>
  <si>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</si>
  <si>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</si>
  <si>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</si>
  <si>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</si>
  <si>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</si>
  <si>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</si>
  <si>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</si>
  <si>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</si>
  <si>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</si>
  <si>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</si>
  <si>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</si>
  <si>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</si>
  <si>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</si>
  <si>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</si>
  <si>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</si>
  <si>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</si>
  <si>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</si>
  <si>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</si>
  <si>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</si>
  <si>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</si>
  <si>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</si>
  <si>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</si>
  <si>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</si>
  <si>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</si>
  <si>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</si>
  <si>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</si>
  <si>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</si>
  <si>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</si>
  <si>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</si>
  <si>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</si>
  <si>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</si>
  <si>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</si>
  <si>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</si>
  <si>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</si>
  <si>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</si>
  <si>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</si>
  <si>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</si>
  <si>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</si>
  <si>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</si>
  <si>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</si>
  <si>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</si>
  <si>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</si>
  <si>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</si>
  <si>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</si>
  <si>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</si>
  <si>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</si>
  <si>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</si>
  <si>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</si>
  <si>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</si>
  <si>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</si>
  <si>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</si>
  <si>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</si>
  <si>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</si>
  <si>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</si>
  <si>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</si>
  <si>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</si>
  <si>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</si>
  <si>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</si>
  <si>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</si>
  <si>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</si>
  <si>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</si>
  <si>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</si>
  <si>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</si>
  <si>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</si>
  <si>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</si>
  <si>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</si>
  <si>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</si>
  <si>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</si>
  <si>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</si>
  <si>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</si>
  <si>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</si>
  <si>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</si>
  <si>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</si>
  <si>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</si>
  <si>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</si>
  <si>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</si>
  <si>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</si>
  <si>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</si>
  <si>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</si>
  <si>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</si>
  <si>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</si>
  <si>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</si>
  <si>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</si>
  <si>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</si>
  <si>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</si>
  <si>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</si>
  <si>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</si>
  <si>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</si>
  <si>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</si>
  <si>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</si>
  <si>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</si>
  <si>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</si>
  <si>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</si>
  <si>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</si>
  <si>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</si>
  <si>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</si>
  <si>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</si>
  <si>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</si>
  <si>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</si>
  <si>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</si>
  <si>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</si>
  <si>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</si>
  <si>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</si>
  <si>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</si>
  <si>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</si>
  <si>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</si>
  <si>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</si>
  <si>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</si>
  <si>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</si>
  <si>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</si>
  <si>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</si>
  <si>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</si>
  <si>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</si>
  <si>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</si>
  <si>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</si>
  <si>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</si>
  <si>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</si>
  <si>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</si>
  <si>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</si>
  <si>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</si>
  <si>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</si>
  <si>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</si>
  <si>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</si>
  <si>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</si>
  <si>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</si>
  <si>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</si>
  <si>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</si>
  <si>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</si>
  <si>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</si>
  <si>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</si>
  <si>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</si>
  <si>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</si>
  <si>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</si>
  <si>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</si>
  <si>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</si>
  <si>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</si>
  <si>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</si>
  <si>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</si>
  <si>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</si>
  <si>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</si>
  <si>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</si>
  <si>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</si>
  <si>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</si>
  <si>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</si>
  <si>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</si>
  <si>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</si>
  <si>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</si>
  <si>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</si>
  <si>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</si>
  <si>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</si>
  <si>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</si>
  <si>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</si>
  <si>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</si>
  <si>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</si>
  <si>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</si>
  <si>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</si>
  <si>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</si>
  <si>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</si>
  <si>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</si>
  <si>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</si>
  <si>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</si>
  <si>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</si>
  <si>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</si>
  <si>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</si>
  <si>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</si>
  <si>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</si>
  <si>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</si>
  <si>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</si>
  <si>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</si>
  <si>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</si>
  <si>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</si>
  <si>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</si>
  <si>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</si>
  <si>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</si>
  <si>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</si>
  <si>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</si>
  <si>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</si>
  <si>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</si>
  <si>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</si>
  <si>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</si>
  <si>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</si>
  <si>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</si>
  <si>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</si>
  <si>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</si>
  <si>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</si>
  <si>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</si>
  <si>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</si>
  <si>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</si>
  <si>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</si>
  <si>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</si>
  <si>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</si>
  <si>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</si>
  <si>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</si>
  <si>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</si>
  <si>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</si>
  <si>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</si>
  <si>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</si>
  <si>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</si>
  <si>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</si>
  <si>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</si>
  <si>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</si>
  <si>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</si>
  <si>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</si>
  <si>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</si>
  <si>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</si>
  <si>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</si>
  <si>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</si>
  <si>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</si>
  <si>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</si>
  <si>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</si>
  <si>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</si>
  <si>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</si>
  <si>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</si>
  <si>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</si>
  <si>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</si>
  <si>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</si>
  <si>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</si>
  <si>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</si>
  <si>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</si>
  <si>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</si>
  <si>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</si>
  <si>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</si>
  <si>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</si>
  <si>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</si>
  <si>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</si>
  <si>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</si>
  <si>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</si>
  <si>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</si>
  <si>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</si>
  <si>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</si>
  <si>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</si>
  <si>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</si>
  <si>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</si>
  <si>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</si>
  <si>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</si>
  <si>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</si>
  <si>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</si>
  <si>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</si>
  <si>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</si>
  <si>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</si>
  <si>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</si>
  <si>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</si>
  <si>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</si>
  <si>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</si>
  <si>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</si>
  <si>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</si>
  <si>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</si>
  <si>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</si>
  <si>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</si>
  <si>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</si>
  <si>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</si>
  <si>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</si>
  <si>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</si>
  <si>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</si>
  <si>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</si>
  <si>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</si>
  <si>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</si>
  <si>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</si>
  <si>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</si>
  <si>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</si>
  <si>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</si>
  <si>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</si>
  <si>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</si>
  <si>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</si>
  <si>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</si>
  <si>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</si>
  <si>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</si>
  <si>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</si>
  <si>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</si>
  <si>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</si>
  <si>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</si>
  <si>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</si>
  <si>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</si>
  <si>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</si>
  <si>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</si>
  <si>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</si>
  <si>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</si>
  <si>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</si>
  <si>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</si>
  <si>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</si>
  <si>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</si>
  <si>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</si>
  <si>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</si>
  <si>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</si>
  <si>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</si>
  <si>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</si>
  <si>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</si>
  <si>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</si>
  <si>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</si>
  <si>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</si>
  <si>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</si>
  <si>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</si>
  <si>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</si>
  <si>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</si>
  <si>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</si>
  <si>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</si>
  <si>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</si>
  <si>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</si>
  <si>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</si>
  <si>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</si>
  <si>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</si>
  <si>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</si>
  <si>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</si>
  <si>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</si>
  <si>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</si>
  <si>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</si>
  <si>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</si>
  <si>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</si>
  <si>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</si>
  <si>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</si>
  <si>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</si>
  <si>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</si>
  <si>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</si>
  <si>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</si>
  <si>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</si>
  <si>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</si>
  <si>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</si>
  <si>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</si>
  <si>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</si>
  <si>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</si>
  <si>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</si>
  <si>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</si>
  <si>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</si>
  <si>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</si>
  <si>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</si>
  <si>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</si>
  <si>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</si>
  <si>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</si>
  <si>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</si>
  <si>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</si>
  <si>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</si>
  <si>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</si>
  <si>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</si>
  <si>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</si>
  <si>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</si>
  <si>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</si>
  <si>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</si>
  <si>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</si>
  <si>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</si>
  <si>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</si>
  <si>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</si>
  <si>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</si>
  <si>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</si>
  <si>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</si>
  <si>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</si>
  <si>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</si>
  <si>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</si>
  <si>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</si>
  <si>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</si>
  <si>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</si>
  <si>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</si>
  <si>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</si>
  <si>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</si>
  <si>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</si>
  <si>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</si>
  <si>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</si>
  <si>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</si>
  <si>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</si>
  <si>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</si>
  <si>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</si>
  <si>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</si>
  <si>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</si>
  <si>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</si>
  <si>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</si>
  <si>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</si>
  <si>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</si>
  <si>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</si>
  <si>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</si>
  <si>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</si>
  <si>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</si>
  <si>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</si>
  <si>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</si>
  <si>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</si>
  <si>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</si>
  <si>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</si>
  <si>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</si>
  <si>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</si>
  <si>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</si>
  <si>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</si>
  <si>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</si>
  <si>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</si>
  <si>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</si>
  <si>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</si>
  <si>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</si>
  <si>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</si>
  <si>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</si>
  <si>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</si>
  <si>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</si>
  <si>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</si>
  <si>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</si>
  <si>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</si>
  <si>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</si>
  <si>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</si>
  <si>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</si>
  <si>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</si>
  <si>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</si>
  <si>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</si>
  <si>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</si>
  <si>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</si>
  <si>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</si>
  <si>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</si>
  <si>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</si>
  <si>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</si>
  <si>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</si>
  <si>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</si>
  <si>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</si>
  <si>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</si>
  <si>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</si>
  <si>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</si>
  <si>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</si>
  <si>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</si>
  <si>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</si>
  <si>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</si>
  <si>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</si>
  <si>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</si>
  <si>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</si>
  <si>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</si>
  <si>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</si>
  <si>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</si>
  <si>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</si>
  <si>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</si>
  <si>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</si>
  <si>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</si>
  <si>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</si>
  <si>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</si>
  <si>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</si>
  <si>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</si>
  <si>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</si>
  <si>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</si>
  <si>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</si>
  <si>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</si>
  <si>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</si>
  <si>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</si>
  <si>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</si>
  <si>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</si>
  <si>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</si>
  <si>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</si>
  <si>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</si>
  <si>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</si>
  <si>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</si>
  <si>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</si>
  <si>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</si>
  <si>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</si>
  <si>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</si>
  <si>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</si>
  <si>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</si>
  <si>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</si>
  <si>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</si>
  <si>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</si>
  <si>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</si>
  <si>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</si>
  <si>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</si>
  <si>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</si>
  <si>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</si>
  <si>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</si>
  <si>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</si>
  <si>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</si>
  <si>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</si>
  <si>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</si>
  <si>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</si>
  <si>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</si>
  <si>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</si>
  <si>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</si>
  <si>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</si>
  <si>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</si>
  <si>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</si>
  <si>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</si>
  <si>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</si>
  <si>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</si>
  <si>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</si>
  <si>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</si>
  <si>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</si>
  <si>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</si>
  <si>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</si>
  <si>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</si>
  <si>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</si>
  <si>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</si>
  <si>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</si>
  <si>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</si>
  <si>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</si>
  <si>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</si>
  <si>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</si>
  <si>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</si>
  <si>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</si>
  <si>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</si>
  <si>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</si>
  <si>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</si>
  <si>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</si>
  <si>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</si>
  <si>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</si>
  <si>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</si>
  <si>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</si>
  <si>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</si>
  <si>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</si>
  <si>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</si>
  <si>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</si>
  <si>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</si>
  <si>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</si>
  <si>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</si>
  <si>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</si>
  <si>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</si>
  <si>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</si>
  <si>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</si>
  <si>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</si>
  <si>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</si>
  <si>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</si>
  <si>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</si>
  <si>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</si>
  <si>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</si>
  <si>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</si>
  <si>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</si>
  <si>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</si>
  <si>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</si>
  <si>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</si>
  <si>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</si>
  <si>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</si>
  <si>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</si>
  <si>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</si>
  <si>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</si>
  <si>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</si>
  <si>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</si>
  <si>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</si>
  <si>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</si>
  <si>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</si>
  <si>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</si>
  <si>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</si>
  <si>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</si>
  <si>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</si>
  <si>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</si>
  <si>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</si>
  <si>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</si>
  <si>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</si>
  <si>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</si>
  <si>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</si>
  <si>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</si>
  <si>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</si>
  <si>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</si>
  <si>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</si>
  <si>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</si>
  <si>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</si>
  <si>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</si>
  <si>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</si>
  <si>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</si>
  <si>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</si>
  <si>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</si>
  <si>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</si>
  <si>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</si>
  <si>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</si>
  <si>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</si>
  <si>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</si>
  <si>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</si>
  <si>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</si>
  <si>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</si>
  <si>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</si>
  <si>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</si>
  <si>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</si>
  <si>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</si>
  <si>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</si>
  <si>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</si>
  <si>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</si>
  <si>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</si>
  <si>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</si>
  <si>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</si>
  <si>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</si>
  <si>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</si>
  <si>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</si>
  <si>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</si>
  <si>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</si>
  <si>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</si>
  <si>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</si>
  <si>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</si>
  <si>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</si>
  <si>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</si>
  <si>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</si>
  <si>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</si>
  <si>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</si>
  <si>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</si>
  <si>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</si>
  <si>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</si>
  <si>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</si>
  <si>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</si>
  <si>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</si>
  <si>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</si>
  <si>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</si>
  <si>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</si>
  <si>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</si>
  <si>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</si>
  <si>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</si>
  <si>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</si>
  <si>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</si>
  <si>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</si>
  <si>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</si>
  <si>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</si>
  <si>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</si>
  <si>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</si>
  <si>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</si>
  <si>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</si>
  <si>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</si>
  <si>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</si>
  <si>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</si>
  <si>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</si>
  <si>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</si>
  <si>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</si>
  <si>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</si>
  <si>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</si>
  <si>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</si>
  <si>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</si>
  <si>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</si>
  <si>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</si>
  <si>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</si>
  <si>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</si>
  <si>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</si>
  <si>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</si>
  <si>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</si>
  <si>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</si>
  <si>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</si>
  <si>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</si>
  <si>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</si>
  <si>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</si>
  <si>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</si>
  <si>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</si>
  <si>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</si>
  <si>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</si>
  <si>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</si>
  <si>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</si>
  <si>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</si>
  <si>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</si>
  <si>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</si>
  <si>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</si>
  <si>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</si>
  <si>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</si>
  <si>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</si>
  <si>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</si>
  <si>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</si>
  <si>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</si>
  <si>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</si>
  <si>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</si>
  <si>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</si>
  <si>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</si>
  <si>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</si>
  <si>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</si>
  <si>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</si>
  <si>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</si>
  <si>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</si>
  <si>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</si>
  <si>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</si>
  <si>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</si>
  <si>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</si>
  <si>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</si>
  <si>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</si>
  <si>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</si>
  <si>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</si>
  <si>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</si>
  <si>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</si>
  <si>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</si>
  <si>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</si>
  <si>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</si>
  <si>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</si>
  <si>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</si>
  <si>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</si>
  <si>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</si>
  <si>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</si>
  <si>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</si>
  <si>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</si>
  <si>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</si>
  <si>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</si>
  <si>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</si>
  <si>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</si>
  <si>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</si>
  <si>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</si>
  <si>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</si>
  <si>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</si>
  <si>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</si>
  <si>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</si>
  <si>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</si>
  <si>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</si>
  <si>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</si>
  <si>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</si>
  <si>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</si>
  <si>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</si>
  <si>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</si>
  <si>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</si>
  <si>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</si>
  <si>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</si>
  <si>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</si>
  <si>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</si>
  <si>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</si>
  <si>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</si>
  <si>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</si>
  <si>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</si>
  <si>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</si>
  <si>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</si>
  <si>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</si>
  <si>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</si>
  <si>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</si>
  <si>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</si>
  <si>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</si>
  <si>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</si>
  <si>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</si>
  <si>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</si>
  <si>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</si>
  <si>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</si>
  <si>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</si>
  <si>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</si>
  <si>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</si>
  <si>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</si>
  <si>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</si>
  <si>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</si>
  <si>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</si>
  <si>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</si>
  <si>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</si>
  <si>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</si>
  <si>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</si>
  <si>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</si>
  <si>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</si>
  <si>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</si>
  <si>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</si>
  <si>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</si>
  <si>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</si>
  <si>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</si>
  <si>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</si>
  <si>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</si>
  <si>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</si>
  <si>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</si>
  <si>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</si>
  <si>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</si>
  <si>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</si>
  <si>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</si>
  <si>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</si>
  <si>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</si>
  <si>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</si>
  <si>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</si>
  <si>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</si>
  <si>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</si>
  <si>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</si>
  <si>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</si>
  <si>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</si>
  <si>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</si>
  <si>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</si>
  <si>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</si>
  <si>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</si>
  <si>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</si>
  <si>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</si>
  <si>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</si>
  <si>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</si>
  <si>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</si>
  <si>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</si>
  <si>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</si>
  <si>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</si>
  <si>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</si>
  <si>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</si>
  <si>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</si>
  <si>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</si>
  <si>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</si>
  <si>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</si>
  <si>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</si>
  <si>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</si>
  <si>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</si>
  <si>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</si>
  <si>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</si>
  <si>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</si>
  <si>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</si>
  <si>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</si>
  <si>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</si>
  <si>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</si>
  <si>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</si>
  <si>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</si>
  <si>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</si>
  <si>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</si>
  <si>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</si>
  <si>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</si>
  <si>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</si>
  <si>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</si>
  <si>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</si>
  <si>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</si>
  <si>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</si>
  <si>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</si>
  <si>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</si>
  <si>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</si>
  <si>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</si>
  <si>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</si>
  <si>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</si>
  <si>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</si>
  <si>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</si>
  <si>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</si>
  <si>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</si>
  <si>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</si>
  <si>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</si>
  <si>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</si>
  <si>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</si>
  <si>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</si>
  <si>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</si>
  <si>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</si>
  <si>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</si>
  <si>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</si>
  <si>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</si>
  <si>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</si>
  <si>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</si>
  <si>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</si>
  <si>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</si>
  <si>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</si>
  <si>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</si>
  <si>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</si>
  <si>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</si>
  <si>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</si>
  <si>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</si>
  <si>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</si>
  <si>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</si>
  <si>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</si>
  <si>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</si>
  <si>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</si>
  <si>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</si>
  <si>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</si>
  <si>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</si>
  <si>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</si>
  <si>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</si>
  <si>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</si>
  <si>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</si>
  <si>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</si>
  <si>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</si>
  <si>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</si>
  <si>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</si>
  <si>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</si>
  <si>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</si>
  <si>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</si>
  <si>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</si>
  <si>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</si>
  <si>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</si>
  <si>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</si>
  <si>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</si>
  <si>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</si>
  <si>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</si>
  <si>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</si>
  <si>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</si>
  <si>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</si>
  <si>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</si>
  <si>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</si>
  <si>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</si>
  <si>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</si>
  <si>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</si>
  <si>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</si>
  <si>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</si>
  <si>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</si>
  <si>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</si>
  <si>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</si>
  <si>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</si>
  <si>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</si>
  <si>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</si>
  <si>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</si>
  <si>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</si>
  <si>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</si>
  <si>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</si>
  <si>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</si>
  <si>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</si>
  <si>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</si>
  <si>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</si>
  <si>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</si>
  <si>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</si>
  <si>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</si>
  <si>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</si>
  <si>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</si>
  <si>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</si>
  <si>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</si>
  <si>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</si>
  <si>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</si>
  <si>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</si>
  <si>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</si>
  <si>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</si>
  <si>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</si>
  <si>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</si>
  <si>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</si>
  <si>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</si>
  <si>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</si>
  <si>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</si>
  <si>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</si>
  <si>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</si>
  <si>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</si>
  <si>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</si>
  <si>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</si>
  <si>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</si>
  <si>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</si>
  <si>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</si>
  <si>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</si>
  <si>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</si>
  <si>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</si>
  <si>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</si>
  <si>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</si>
  <si>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</si>
  <si>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</si>
  <si>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</si>
  <si>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</si>
  <si>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</si>
  <si>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</si>
  <si>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</si>
  <si>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</si>
  <si>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</si>
  <si>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</si>
  <si>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</si>
  <si>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</si>
  <si>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</si>
  <si>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</si>
  <si>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</si>
  <si>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</si>
  <si>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</si>
  <si>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</si>
  <si>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</si>
  <si>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</si>
  <si>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</si>
  <si>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</si>
  <si>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</si>
  <si>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</si>
  <si>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</si>
  <si>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</si>
  <si>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</si>
  <si>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</si>
  <si>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</si>
  <si>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</si>
  <si>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</si>
  <si>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</si>
  <si>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</si>
  <si>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</si>
  <si>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</si>
  <si>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</si>
  <si>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</si>
  <si>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</si>
  <si>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</si>
  <si>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</si>
  <si>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</si>
  <si>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</si>
  <si>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</si>
  <si>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</si>
  <si>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</si>
  <si>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</si>
  <si>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</si>
  <si>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</si>
  <si>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</si>
  <si>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</si>
  <si>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</si>
  <si>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</si>
  <si>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</si>
  <si>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</si>
  <si>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</si>
  <si>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</si>
  <si>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</si>
  <si>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</si>
  <si>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</si>
  <si>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</si>
  <si>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</si>
  <si>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</si>
  <si>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</si>
  <si>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</si>
  <si>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</si>
  <si>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</si>
  <si>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</si>
  <si>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</si>
  <si>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</si>
  <si>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</si>
  <si>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</si>
  <si>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</si>
  <si>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</si>
  <si>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</si>
  <si>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</si>
  <si>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</si>
  <si>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</si>
  <si>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</si>
  <si>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</si>
  <si>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</si>
  <si>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</si>
  <si>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</si>
  <si>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</si>
  <si>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</si>
  <si>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</si>
  <si>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</si>
  <si>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</si>
  <si>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</si>
  <si>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</si>
  <si>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</si>
  <si>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</si>
  <si>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</si>
  <si>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</si>
  <si>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</si>
  <si>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</si>
  <si>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</si>
  <si>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</si>
  <si>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</si>
  <si>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</si>
  <si>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</si>
  <si>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</si>
  <si>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</si>
  <si>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</si>
  <si>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</si>
  <si>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</si>
  <si>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</si>
  <si>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</si>
  <si>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</si>
  <si>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</si>
  <si>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</si>
  <si>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</si>
  <si>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</si>
  <si>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</si>
  <si>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</si>
  <si>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</si>
  <si>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</si>
  <si>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</si>
  <si>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</si>
  <si>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</si>
  <si>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</si>
  <si>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</si>
  <si>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</si>
  <si>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</si>
  <si>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</si>
  <si>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</si>
  <si>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</si>
  <si>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</si>
  <si>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</si>
  <si>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</si>
  <si>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</si>
  <si>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</si>
  <si>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</si>
  <si>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</si>
  <si>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</si>
  <si>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</si>
  <si>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</si>
  <si>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</si>
  <si>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</si>
  <si>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</si>
  <si>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</si>
  <si>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</si>
  <si>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</si>
  <si>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</si>
  <si>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</si>
  <si>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</si>
  <si>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</si>
  <si>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</si>
  <si>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</si>
  <si>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</si>
  <si>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</si>
  <si>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</si>
  <si>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</si>
  <si>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</si>
  <si>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</si>
  <si>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</si>
  <si>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</si>
  <si>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</si>
  <si>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</si>
  <si>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</si>
  <si>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</si>
  <si>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</si>
  <si>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</si>
  <si>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</si>
  <si>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</si>
  <si>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</si>
  <si>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</si>
  <si>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</si>
  <si>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</si>
  <si>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</si>
  <si>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</si>
  <si>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</si>
  <si>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</si>
  <si>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</si>
  <si>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</si>
  <si>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</si>
  <si>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</si>
  <si>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</si>
  <si>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</si>
  <si>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</si>
  <si>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</si>
  <si>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</si>
  <si>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</si>
  <si>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</si>
  <si>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</si>
  <si>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</si>
  <si>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</si>
  <si>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</si>
  <si>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</si>
  <si>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</si>
  <si>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</si>
  <si>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</si>
  <si>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</si>
  <si>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</si>
  <si>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</si>
  <si>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</si>
  <si>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</si>
  <si>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</si>
  <si>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</si>
  <si>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</si>
  <si>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</si>
  <si>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</si>
  <si>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</si>
  <si>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</si>
  <si>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</si>
  <si>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</si>
  <si>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</si>
  <si>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</si>
  <si>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</si>
  <si>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</si>
  <si>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</si>
  <si>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</si>
  <si>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</si>
  <si>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</si>
  <si>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</si>
  <si>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</si>
  <si>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</si>
  <si>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</si>
  <si>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</si>
  <si>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</si>
  <si>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</si>
  <si>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</si>
  <si>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</si>
  <si>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</si>
  <si>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</si>
  <si>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</si>
  <si>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</si>
  <si>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</si>
  <si>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</si>
  <si>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</si>
  <si>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</si>
  <si>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</si>
  <si>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</si>
  <si>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</si>
  <si>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</si>
  <si>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</si>
  <si>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</si>
  <si>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</si>
  <si>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</si>
  <si>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</si>
  <si>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</si>
  <si>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</si>
  <si>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</si>
  <si>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</si>
  <si>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</si>
  <si>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</si>
  <si>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</si>
  <si>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</si>
  <si>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</si>
  <si>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</si>
  <si>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</si>
  <si>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</si>
  <si>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</si>
  <si>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</si>
  <si>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</si>
  <si>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</si>
  <si>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</si>
  <si>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</si>
  <si>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</si>
  <si>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</si>
  <si>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</si>
  <si>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</si>
  <si>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</si>
  <si>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</si>
  <si>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</si>
  <si>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</si>
  <si>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</si>
  <si>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</si>
  <si>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</si>
  <si>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</si>
  <si>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</si>
  <si>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</si>
  <si>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</si>
  <si>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</si>
  <si>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</si>
  <si>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</si>
  <si>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</si>
  <si>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</si>
  <si>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</si>
  <si>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</si>
  <si>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</si>
  <si>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</si>
  <si>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</si>
  <si>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</si>
  <si>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</si>
  <si>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</si>
  <si>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</si>
  <si>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</si>
  <si>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</si>
  <si>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</si>
  <si>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</si>
  <si>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</si>
  <si>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</si>
  <si>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</si>
  <si>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</si>
  <si>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</si>
  <si>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</si>
  <si>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</si>
  <si>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</si>
  <si>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</si>
  <si>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</si>
  <si>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</si>
  <si>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</si>
  <si>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</si>
  <si>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</si>
  <si>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</si>
  <si>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</si>
  <si>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</si>
  <si>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</si>
  <si>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</si>
  <si>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</si>
  <si>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</si>
  <si>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</si>
  <si>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</si>
  <si>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</si>
  <si>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</si>
  <si>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</si>
  <si>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</si>
  <si>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</si>
  <si>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</si>
  <si>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</si>
  <si>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</si>
  <si>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</si>
  <si>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</si>
  <si>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</si>
  <si>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</si>
  <si>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</si>
  <si>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</si>
  <si>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</si>
  <si>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</si>
  <si>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</si>
  <si>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</si>
  <si>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</si>
  <si>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</si>
  <si>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</si>
  <si>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</si>
  <si>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</si>
  <si>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</si>
  <si>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</si>
  <si>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</si>
  <si>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</si>
  <si>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</si>
  <si>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</si>
  <si>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</si>
  <si>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</si>
  <si>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</si>
  <si>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</si>
  <si>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</si>
  <si>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</si>
  <si>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</si>
  <si>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</si>
  <si>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</si>
  <si>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</si>
  <si>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</si>
  <si>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</si>
  <si>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</si>
  <si>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</si>
  <si>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</si>
  <si>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</si>
  <si>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</si>
  <si>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</si>
  <si>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</si>
  <si>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</si>
  <si>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</si>
  <si>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</si>
  <si>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</si>
  <si>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</si>
  <si>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</si>
  <si>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</si>
  <si>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</si>
  <si>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</si>
  <si>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</si>
  <si>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</si>
  <si>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</si>
  <si>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</si>
  <si>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</si>
  <si>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</si>
  <si>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</si>
  <si>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</si>
  <si>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</si>
  <si>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</si>
  <si>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</si>
  <si>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</si>
  <si>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</si>
  <si>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</si>
  <si>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</si>
  <si>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</si>
  <si>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</si>
  <si>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</si>
  <si>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</si>
  <si>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</si>
  <si>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</si>
  <si>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</si>
  <si>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</si>
  <si>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</si>
  <si>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</si>
  <si>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</si>
  <si>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</si>
  <si>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</si>
  <si>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</si>
  <si>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</si>
  <si>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</si>
  <si>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</si>
  <si>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</si>
  <si>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</si>
  <si>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</si>
  <si>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</si>
  <si>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</si>
  <si>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</si>
  <si>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</si>
  <si>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</si>
  <si>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</si>
  <si>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</si>
  <si>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</si>
  <si>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</si>
  <si>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</si>
  <si>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</si>
  <si>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</si>
  <si>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</si>
  <si>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</si>
  <si>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</si>
  <si>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</si>
  <si>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</si>
  <si>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</si>
  <si>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</si>
  <si>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</si>
  <si>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</si>
  <si>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</si>
  <si>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</si>
  <si>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</si>
  <si>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</si>
  <si>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</si>
  <si>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</si>
  <si>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</si>
  <si>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</si>
  <si>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</si>
  <si>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</si>
  <si>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</si>
  <si>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</si>
  <si>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</si>
  <si>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</si>
  <si>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</si>
  <si>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</si>
  <si>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</si>
  <si>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</si>
  <si>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</si>
  <si>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</si>
  <si>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</si>
  <si>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</si>
  <si>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</si>
  <si>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</si>
  <si>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</si>
  <si>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</si>
  <si>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</si>
  <si>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</si>
  <si>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</si>
  <si>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</si>
  <si>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</si>
  <si>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</si>
  <si>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</si>
  <si>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</si>
  <si>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</si>
  <si>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</si>
  <si>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</si>
  <si>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</si>
  <si>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</si>
  <si>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</si>
  <si>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</si>
  <si>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</si>
  <si>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</si>
  <si>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</si>
  <si>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</si>
  <si>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</si>
  <si>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</si>
  <si>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</si>
  <si>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</si>
  <si>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</si>
  <si>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</si>
  <si>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</si>
  <si>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</si>
  <si>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</si>
  <si>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</si>
  <si>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</si>
  <si>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</si>
  <si>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</si>
  <si>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</si>
  <si>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</si>
  <si>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</si>
  <si>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</si>
  <si>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</si>
  <si>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</si>
  <si>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</si>
  <si>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</si>
  <si>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</si>
  <si>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</si>
  <si>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</si>
  <si>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</si>
  <si>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</si>
  <si>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</si>
  <si>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</si>
  <si>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</si>
  <si>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</si>
  <si>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</si>
  <si>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</si>
  <si>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</si>
  <si>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</si>
  <si>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</si>
  <si>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</si>
  <si>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</si>
  <si>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</si>
  <si>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</si>
  <si>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</si>
  <si>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</si>
  <si>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</si>
  <si>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</si>
  <si>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</si>
  <si>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</si>
  <si>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</si>
  <si>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</si>
  <si>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</si>
  <si>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</si>
  <si>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</si>
  <si>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</si>
  <si>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</si>
  <si>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</si>
  <si>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</si>
  <si>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</si>
  <si>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</si>
  <si>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</si>
  <si>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</si>
  <si>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</si>
  <si>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</si>
  <si>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</si>
  <si>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</si>
  <si>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</si>
  <si>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</si>
  <si>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</si>
  <si>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</si>
  <si>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</si>
  <si>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</si>
  <si>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</si>
  <si>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</si>
  <si>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</si>
  <si>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</si>
  <si>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</si>
  <si>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</si>
  <si>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</si>
  <si>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</si>
  <si>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</si>
  <si>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</si>
  <si>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</si>
  <si>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</si>
  <si>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</si>
  <si>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</si>
  <si>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</si>
  <si>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</si>
  <si>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</si>
  <si>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</si>
  <si>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</si>
  <si>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</si>
  <si>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</si>
  <si>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</si>
  <si>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</si>
  <si>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</si>
  <si>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</si>
  <si>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</si>
  <si>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</si>
  <si>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</si>
  <si>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</si>
  <si>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</si>
  <si>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</si>
  <si>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</si>
  <si>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</si>
  <si>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</si>
  <si>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</si>
  <si>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</si>
  <si>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</si>
  <si>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</si>
  <si>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</si>
  <si>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</si>
  <si>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</si>
  <si>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</si>
  <si>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</si>
  <si>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</si>
  <si>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</si>
  <si>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</si>
  <si>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</si>
  <si>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</si>
  <si>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</si>
  <si>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</si>
  <si>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</si>
  <si>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</si>
  <si>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</si>
  <si>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</si>
  <si>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</si>
  <si>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</si>
  <si>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</si>
  <si>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</si>
  <si>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</si>
  <si>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</si>
  <si>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</si>
  <si>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</si>
  <si>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</si>
  <si>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</si>
  <si>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</si>
  <si>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</si>
  <si>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</si>
  <si>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</si>
  <si>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</si>
  <si>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</si>
  <si>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</si>
  <si>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</si>
  <si>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</si>
  <si>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</si>
  <si>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</si>
  <si>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</si>
  <si>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</si>
  <si>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</si>
  <si>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</si>
  <si>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</si>
  <si>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</si>
  <si>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</si>
  <si>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</si>
  <si>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</si>
  <si>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</si>
  <si>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</si>
  <si>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</si>
  <si>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</si>
  <si>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</si>
  <si>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</si>
  <si>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</si>
  <si>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</si>
  <si>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</si>
  <si>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</si>
  <si>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</si>
  <si>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</si>
  <si>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</si>
  <si>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</si>
  <si>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</si>
  <si>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</si>
  <si>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</si>
  <si>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</si>
  <si>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</si>
  <si>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</si>
  <si>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</si>
  <si>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</si>
  <si>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</si>
  <si>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</si>
  <si>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</si>
  <si>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</si>
  <si>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</si>
  <si>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</si>
  <si>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</si>
  <si>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</si>
  <si>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</si>
  <si>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</si>
  <si>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</si>
  <si>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</si>
  <si>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</si>
  <si>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</si>
  <si>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</si>
  <si>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</si>
  <si>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</si>
  <si>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</si>
  <si>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</si>
  <si>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</si>
  <si>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</si>
  <si>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</si>
  <si>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</si>
  <si>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</si>
  <si>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</si>
  <si>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</si>
  <si>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</si>
  <si>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</si>
  <si>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</si>
  <si>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</si>
  <si>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</si>
  <si>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</si>
  <si>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</si>
  <si>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</si>
  <si>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</si>
  <si>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</si>
  <si>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</si>
  <si>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</si>
  <si>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</si>
  <si>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</si>
  <si>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</si>
  <si>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</si>
  <si>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</si>
  <si>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</si>
  <si>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</si>
  <si>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</si>
  <si>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</si>
  <si>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</si>
  <si>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</si>
  <si>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</si>
  <si>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</si>
  <si>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</si>
  <si>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</si>
  <si>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</si>
  <si>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</si>
  <si>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</si>
  <si>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</si>
  <si>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</si>
  <si>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</si>
  <si>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</si>
  <si>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</si>
  <si>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</si>
  <si>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</si>
  <si>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</si>
  <si>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</si>
  <si>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</si>
  <si>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</si>
  <si>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</si>
  <si>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</si>
  <si>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</si>
  <si>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</si>
  <si>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</si>
  <si>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</si>
  <si>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</si>
  <si>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</si>
  <si>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</si>
  <si>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</si>
  <si>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</si>
  <si>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</si>
  <si>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</si>
  <si>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</si>
  <si>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</si>
  <si>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</si>
  <si>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</si>
  <si>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</si>
  <si>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</si>
  <si>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</si>
  <si>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</si>
  <si>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</si>
  <si>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</si>
  <si>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</si>
  <si>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</si>
  <si>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</si>
  <si>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</si>
  <si>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</si>
  <si>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</si>
  <si>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</si>
  <si>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</si>
  <si>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</si>
  <si>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</si>
  <si>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</si>
  <si>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</si>
  <si>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</si>
  <si>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</si>
  <si>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</si>
  <si>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</si>
  <si>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</si>
  <si>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</si>
  <si>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</si>
  <si>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</si>
  <si>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</si>
  <si>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</si>
  <si>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</si>
  <si>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</si>
  <si>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</si>
  <si>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</si>
  <si>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</si>
  <si>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</si>
  <si>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</si>
  <si>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</si>
  <si>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</si>
  <si>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</si>
  <si>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</si>
  <si>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</si>
  <si>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</si>
  <si>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</si>
  <si>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</si>
  <si>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</si>
  <si>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</si>
  <si>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</si>
  <si>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</si>
  <si>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</si>
  <si>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</si>
  <si>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</si>
  <si>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</si>
  <si>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</si>
  <si>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</si>
  <si>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</si>
  <si>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</si>
  <si>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</si>
  <si>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</si>
  <si>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</si>
  <si>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</si>
  <si>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</si>
  <si>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</si>
  <si>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</si>
  <si>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</si>
  <si>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</si>
  <si>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</si>
  <si>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</si>
  <si>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</si>
  <si>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</si>
  <si>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</si>
  <si>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</si>
  <si>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</si>
  <si>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</si>
  <si>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</si>
  <si>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</si>
  <si>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</si>
  <si>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</si>
  <si>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</si>
  <si>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</si>
  <si>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</si>
  <si>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</si>
  <si>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</si>
  <si>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</si>
  <si>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</si>
  <si>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</si>
  <si>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</si>
  <si>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</si>
  <si>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</si>
  <si>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</si>
  <si>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</si>
  <si>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</si>
  <si>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</si>
  <si>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</si>
  <si>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</si>
  <si>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</si>
  <si>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</si>
  <si>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</si>
  <si>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</si>
  <si>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</si>
  <si>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</si>
  <si>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</si>
  <si>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</si>
  <si>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</si>
  <si>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</si>
  <si>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</si>
  <si>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</si>
  <si>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</si>
  <si>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</si>
  <si>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</si>
  <si>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</si>
  <si>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</si>
  <si>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</si>
  <si>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</si>
  <si>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</si>
  <si>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</si>
  <si>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</si>
  <si>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</si>
  <si>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</si>
  <si>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</si>
  <si>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</si>
  <si>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</si>
  <si>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</si>
  <si>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</si>
  <si>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</si>
  <si>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</si>
  <si>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</si>
  <si>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</si>
  <si>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</si>
  <si>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</si>
  <si>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</si>
  <si>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</si>
  <si>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</si>
  <si>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</si>
  <si>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</si>
  <si>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</si>
  <si>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</si>
  <si>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</si>
  <si>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</si>
  <si>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</si>
  <si>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</si>
  <si>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</si>
  <si>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</si>
  <si>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</si>
  <si>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</si>
  <si>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</si>
  <si>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</si>
  <si>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</si>
  <si>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</si>
  <si>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</si>
  <si>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</si>
  <si>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</si>
  <si>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</si>
  <si>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</si>
  <si>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</si>
  <si>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</si>
  <si>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</si>
  <si>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</si>
  <si>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</si>
  <si>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</si>
  <si>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</si>
  <si>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</si>
  <si>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</si>
  <si>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</si>
  <si>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</si>
  <si>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</si>
  <si>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</si>
  <si>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</si>
  <si>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</si>
  <si>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</si>
  <si>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</si>
  <si>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</si>
  <si>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</si>
  <si>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</si>
  <si>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</si>
  <si>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</si>
  <si>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</si>
  <si>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</si>
  <si>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</si>
  <si>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</si>
  <si>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</si>
  <si>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</si>
  <si>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</si>
  <si>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</si>
  <si>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</si>
  <si>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</si>
  <si>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</si>
  <si>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</si>
  <si>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</si>
  <si>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</si>
  <si>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</si>
  <si>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</si>
  <si>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</si>
  <si>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</si>
  <si>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</si>
  <si>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</si>
  <si>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</si>
  <si>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</si>
  <si>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</si>
  <si>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</si>
  <si>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</si>
  <si>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</si>
  <si>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</si>
  <si>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</si>
  <si>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</si>
  <si>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</si>
  <si>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</si>
  <si>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</si>
  <si>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</si>
  <si>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</si>
  <si>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</si>
  <si>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</si>
  <si>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</si>
  <si>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</si>
  <si>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</si>
  <si>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</si>
  <si>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</si>
  <si>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</si>
  <si>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</si>
  <si>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</si>
  <si>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</si>
  <si>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</si>
  <si>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</si>
  <si>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</si>
  <si>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</si>
  <si>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</si>
  <si>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</si>
  <si>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</si>
  <si>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</si>
  <si>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</si>
  <si>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</si>
  <si>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</si>
  <si>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</si>
  <si>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</si>
  <si>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</si>
  <si>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</si>
  <si>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</si>
  <si>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</si>
  <si>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</si>
  <si>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</si>
  <si>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</si>
  <si>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</si>
  <si>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</si>
  <si>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</si>
  <si>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</si>
  <si>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</si>
  <si>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</si>
  <si>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</si>
  <si>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</si>
  <si>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</si>
  <si>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</si>
  <si>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</si>
  <si>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</si>
  <si>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</si>
  <si>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</si>
  <si>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</si>
  <si>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</si>
  <si>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</si>
  <si>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</si>
  <si>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</si>
  <si>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</si>
  <si>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</si>
  <si>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</si>
  <si>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</si>
  <si>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</si>
  <si>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</si>
  <si>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</si>
  <si>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</si>
  <si>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</si>
  <si>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</si>
  <si>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</si>
  <si>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</si>
  <si>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</si>
  <si>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</si>
  <si>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</si>
  <si>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</si>
  <si>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</si>
  <si>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</si>
  <si>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</si>
  <si>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</si>
  <si>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</si>
  <si>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</si>
  <si>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</si>
  <si>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</si>
  <si>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</si>
  <si>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</si>
  <si>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</si>
  <si>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</si>
  <si>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</si>
  <si>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</si>
  <si>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</si>
  <si>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</si>
  <si>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</si>
  <si>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</si>
  <si>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</si>
  <si>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</si>
  <si>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</si>
  <si>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</si>
  <si>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</si>
  <si>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</si>
  <si>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</si>
  <si>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</si>
  <si>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</si>
  <si>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</si>
  <si>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</si>
  <si>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</si>
  <si>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</si>
  <si>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</si>
  <si>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</si>
  <si>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</si>
  <si>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</si>
  <si>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</si>
  <si>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</si>
  <si>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</si>
  <si>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</si>
  <si>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</si>
  <si>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</si>
  <si>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</si>
  <si>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</si>
  <si>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</si>
  <si>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</si>
  <si>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</si>
  <si>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</si>
  <si>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</si>
  <si>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</si>
  <si>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</si>
  <si>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</si>
  <si>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</si>
  <si>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</si>
  <si>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</si>
  <si>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</si>
  <si>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</si>
  <si>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</si>
  <si>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</si>
  <si>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</si>
  <si>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</si>
  <si>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</si>
  <si>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</si>
  <si>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</si>
  <si>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</si>
  <si>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</si>
  <si>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</si>
  <si>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</si>
  <si>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</si>
  <si>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</si>
  <si>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</si>
  <si>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</si>
  <si>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</si>
  <si>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</si>
  <si>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</si>
  <si>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</si>
  <si>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</si>
  <si>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</si>
  <si>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</si>
  <si>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</si>
  <si>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</si>
  <si>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</si>
  <si>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</si>
  <si>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</si>
  <si>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</si>
  <si>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</si>
  <si>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</si>
  <si>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</si>
  <si>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</si>
  <si>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</si>
  <si>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</si>
  <si>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</si>
  <si>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</si>
  <si>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</si>
  <si>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</si>
  <si>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</si>
  <si>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</si>
  <si>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</si>
  <si>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</si>
  <si>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</si>
  <si>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</si>
  <si>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</si>
  <si>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</si>
  <si>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</si>
  <si>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</si>
  <si>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</si>
  <si>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</si>
  <si>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</si>
  <si>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</si>
  <si>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</si>
  <si>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</si>
  <si>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</si>
  <si>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</si>
  <si>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</si>
  <si>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</si>
  <si>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</si>
  <si>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</si>
  <si>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</si>
  <si>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</si>
  <si>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</si>
  <si>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</si>
  <si>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</si>
  <si>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</si>
  <si>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</si>
  <si>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</si>
  <si>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</si>
  <si>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</si>
  <si>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</si>
  <si>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</si>
  <si>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</si>
  <si>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</si>
  <si>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</si>
  <si>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</si>
  <si>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</si>
  <si>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</si>
  <si>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</si>
  <si>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</si>
  <si>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</si>
  <si>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</si>
  <si>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</si>
  <si>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</si>
  <si>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</si>
  <si>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</si>
  <si>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</si>
  <si>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</si>
  <si>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</si>
  <si>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</si>
  <si>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</si>
  <si>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</si>
  <si>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</si>
  <si>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</si>
  <si>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</si>
  <si>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</si>
  <si>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</si>
  <si>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</si>
  <si>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</si>
  <si>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</si>
  <si>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</si>
  <si>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</si>
  <si>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</si>
  <si>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</si>
  <si>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</si>
  <si>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</si>
  <si>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</si>
  <si>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</si>
  <si>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</si>
  <si>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</si>
  <si>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</si>
  <si>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</si>
  <si>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</si>
  <si>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</si>
  <si>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</si>
  <si>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</si>
  <si>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</si>
  <si>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</si>
  <si>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</si>
  <si>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</si>
  <si>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</si>
  <si>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</si>
  <si>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</si>
  <si>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</si>
  <si>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</si>
  <si>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</si>
  <si>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</si>
  <si>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</si>
  <si>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</si>
  <si>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</si>
  <si>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</si>
  <si>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</si>
  <si>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</si>
  <si>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</si>
  <si>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</si>
  <si>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</si>
  <si>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</si>
  <si>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</si>
  <si>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</si>
  <si>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</si>
  <si>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</si>
  <si>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</si>
  <si>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</si>
  <si>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</si>
  <si>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</si>
  <si>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</si>
  <si>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</si>
  <si>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</si>
  <si>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</si>
  <si>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</si>
  <si>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</si>
  <si>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</si>
  <si>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</si>
  <si>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</si>
  <si>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</si>
  <si>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</si>
  <si>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</si>
  <si>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</si>
  <si>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</si>
  <si>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</si>
  <si>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</si>
  <si>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</si>
  <si>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</si>
  <si>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</si>
  <si>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</si>
  <si>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</si>
  <si>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</si>
  <si>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</si>
  <si>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</si>
  <si>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</si>
  <si>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</si>
  <si>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</si>
  <si>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</si>
  <si>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</si>
  <si>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</si>
  <si>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</si>
  <si>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</si>
  <si>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</si>
  <si>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</si>
  <si>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</si>
  <si>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</si>
  <si>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</si>
  <si>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</si>
  <si>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</si>
  <si>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</si>
  <si>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</si>
  <si>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</si>
  <si>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</si>
  <si>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</si>
  <si>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</si>
  <si>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</si>
  <si>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</si>
  <si>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</si>
  <si>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</si>
  <si>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</si>
  <si>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</si>
  <si>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</si>
  <si>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</si>
  <si>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</si>
  <si>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</si>
  <si>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</si>
  <si>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</si>
  <si>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</si>
  <si>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</si>
  <si>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</si>
  <si>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</si>
  <si>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</si>
  <si>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</si>
  <si>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</si>
  <si>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</si>
  <si>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</si>
  <si>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</si>
  <si>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</si>
  <si>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</si>
  <si>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</si>
  <si>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</si>
  <si>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</si>
  <si>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</si>
  <si>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</si>
  <si>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</si>
  <si>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</si>
  <si>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</si>
  <si>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</si>
  <si>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</si>
  <si>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</si>
  <si>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</si>
  <si>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</si>
  <si>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</si>
  <si>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</si>
  <si>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</si>
  <si>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</si>
  <si>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</si>
  <si>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</si>
  <si>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</si>
  <si>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</si>
  <si>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</si>
  <si>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</si>
  <si>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</si>
  <si>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</si>
  <si>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</si>
  <si>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</si>
  <si>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</si>
  <si>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</si>
  <si>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</si>
  <si>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</si>
  <si>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</si>
  <si>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</si>
  <si>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</si>
  <si>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</si>
  <si>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</si>
  <si>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</si>
  <si>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</si>
  <si>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</si>
  <si>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</si>
  <si>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</si>
  <si>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</si>
  <si>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</si>
  <si>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</si>
  <si>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</si>
  <si>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</si>
  <si>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</si>
  <si>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</si>
  <si>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</si>
  <si>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</si>
  <si>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</si>
  <si>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</si>
  <si>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</si>
  <si>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</si>
  <si>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</si>
  <si>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</si>
  <si>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</si>
  <si>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</si>
  <si>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</si>
  <si>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</si>
  <si>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</si>
  <si>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</si>
  <si>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</si>
  <si>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</si>
  <si>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</si>
  <si>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</si>
  <si>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</si>
  <si>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</si>
  <si>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</si>
  <si>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</si>
  <si>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</si>
  <si>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</si>
  <si>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</si>
  <si>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</si>
  <si>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</si>
  <si>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</si>
  <si>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</si>
  <si>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</si>
  <si>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</si>
  <si>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</si>
  <si>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</si>
  <si>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</si>
  <si>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</si>
  <si>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</si>
  <si>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</si>
  <si>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</si>
  <si>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</si>
  <si>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</si>
  <si>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</si>
  <si>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</si>
  <si>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</si>
  <si>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</si>
  <si>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</si>
  <si>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</si>
  <si>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</si>
  <si>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</si>
  <si>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</si>
  <si>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</si>
  <si>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</si>
  <si>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</si>
  <si>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</si>
  <si>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</si>
  <si>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</si>
  <si>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</si>
  <si>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</si>
  <si>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</si>
  <si>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</si>
  <si>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</si>
  <si>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</si>
  <si>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</si>
  <si>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</si>
  <si>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</si>
  <si>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</si>
  <si>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</si>
  <si>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</si>
  <si>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</si>
  <si>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</si>
  <si>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</si>
  <si>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</si>
  <si>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</si>
  <si>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</si>
  <si>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</si>
  <si>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</si>
  <si>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</si>
  <si>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</si>
  <si>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</si>
  <si>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</si>
  <si>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</si>
  <si>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</si>
  <si>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</si>
  <si>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</si>
  <si>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</si>
  <si>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</si>
  <si>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</si>
  <si>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</si>
  <si>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</si>
  <si>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</si>
  <si>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</si>
  <si>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</si>
  <si>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</si>
  <si>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</si>
  <si>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</si>
  <si>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</si>
  <si>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</si>
  <si>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</si>
  <si>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</si>
  <si>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</si>
  <si>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</si>
  <si>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</si>
  <si>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</si>
  <si>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</si>
  <si>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</si>
  <si>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</si>
  <si>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</si>
  <si>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</si>
  <si>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</si>
  <si>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</si>
  <si>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</si>
  <si>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</si>
  <si>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</si>
  <si>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</si>
  <si>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</si>
  <si>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</si>
  <si>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</si>
  <si>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</si>
  <si>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</si>
  <si>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</si>
  <si>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</si>
  <si>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</si>
  <si>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</si>
  <si>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</si>
  <si>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</si>
  <si>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</si>
  <si>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</si>
  <si>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</si>
  <si>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</si>
  <si>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</si>
  <si>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</si>
  <si>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</si>
  <si>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</si>
  <si>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</si>
  <si>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</si>
  <si>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</si>
  <si>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</si>
  <si>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</si>
  <si>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</si>
  <si>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</si>
  <si>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</si>
  <si>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</si>
  <si>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</si>
  <si>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</si>
  <si>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</si>
  <si>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</si>
  <si>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</si>
  <si>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</si>
  <si>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</si>
  <si>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</si>
  <si>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</si>
  <si>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</si>
  <si>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</si>
  <si>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</si>
  <si>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</si>
  <si>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</si>
  <si>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</si>
  <si>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</si>
  <si>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</si>
  <si>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</si>
  <si>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</si>
  <si>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</si>
  <si>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</si>
  <si>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</si>
  <si>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</si>
  <si>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</si>
  <si>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</si>
  <si>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</si>
  <si>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</si>
  <si>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</si>
  <si>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</si>
  <si>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</si>
  <si>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</si>
  <si>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</si>
  <si>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</si>
  <si>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</si>
  <si>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</si>
  <si>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</si>
  <si>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</si>
  <si>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</si>
  <si>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</si>
  <si>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</si>
  <si>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</si>
  <si>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</si>
  <si>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</si>
  <si>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</si>
  <si>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</si>
  <si>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</si>
  <si>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</si>
  <si>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</si>
  <si>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</si>
  <si>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</si>
  <si>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</si>
  <si>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</si>
  <si>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</si>
  <si>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</si>
  <si>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</si>
  <si>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</si>
  <si>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</si>
  <si>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</si>
  <si>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</si>
  <si>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</si>
  <si>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</si>
  <si>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</si>
  <si>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</si>
  <si>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</si>
  <si>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</si>
  <si>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</si>
  <si>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</si>
  <si>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</si>
  <si>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</si>
  <si>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</si>
  <si>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</si>
  <si>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</si>
  <si>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</si>
  <si>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</si>
  <si>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</si>
  <si>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</si>
  <si>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</si>
  <si>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</si>
  <si>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</si>
  <si>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</si>
  <si>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</si>
  <si>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</si>
  <si>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</si>
  <si>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</si>
  <si>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</si>
  <si>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</si>
  <si>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</si>
  <si>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</si>
  <si>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</si>
  <si>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</si>
  <si>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</si>
  <si>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</si>
  <si>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</si>
  <si>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</si>
  <si>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</si>
  <si>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</si>
  <si>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</si>
  <si>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</si>
  <si>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</si>
  <si>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</si>
  <si>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</si>
  <si>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</si>
  <si>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</si>
  <si>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</si>
  <si>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</si>
  <si>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</si>
  <si>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</si>
  <si>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</si>
  <si>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</si>
  <si>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</si>
  <si>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</si>
  <si>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</si>
  <si>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</si>
  <si>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</si>
  <si>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</si>
  <si>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</si>
  <si>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</si>
  <si>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</si>
  <si>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</si>
  <si>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</si>
  <si>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</si>
  <si>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</si>
  <si>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</si>
  <si>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</si>
  <si>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</si>
  <si>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</si>
  <si>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</si>
  <si>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</si>
  <si>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</si>
  <si>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</si>
  <si>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</si>
  <si>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</si>
  <si>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</si>
  <si>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</si>
  <si>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</si>
  <si>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</si>
  <si>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</si>
  <si>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</si>
  <si>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</si>
  <si>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</si>
  <si>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</si>
  <si>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</si>
  <si>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</si>
  <si>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</si>
  <si>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</si>
  <si>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</si>
  <si>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</si>
  <si>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</si>
  <si>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</si>
  <si>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</si>
  <si>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</si>
  <si>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</si>
  <si>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</si>
  <si>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</si>
  <si>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</si>
  <si>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</si>
  <si>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</si>
  <si>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</si>
  <si>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</si>
  <si>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</si>
  <si>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</si>
  <si>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</si>
  <si>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</si>
  <si>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</si>
  <si>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</si>
  <si>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</si>
  <si>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</si>
  <si>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</si>
  <si>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</si>
  <si>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</si>
  <si>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</si>
  <si>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</si>
  <si>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</si>
  <si>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</si>
  <si>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</si>
  <si>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</si>
  <si>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</si>
  <si>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</si>
  <si>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</si>
  <si>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</si>
  <si>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</si>
  <si>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</si>
  <si>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</si>
  <si>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</si>
  <si>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</si>
  <si>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</si>
  <si>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</si>
  <si>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</si>
  <si>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</si>
  <si>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</si>
  <si>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</si>
  <si>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</si>
  <si>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</si>
  <si>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</si>
  <si>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</si>
  <si>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</si>
  <si>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</si>
  <si>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</si>
  <si>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</si>
  <si>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</si>
  <si>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</si>
  <si>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</si>
  <si>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</si>
  <si>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</si>
  <si>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</si>
  <si>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</si>
  <si>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</si>
  <si>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</si>
  <si>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</si>
  <si>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</si>
  <si>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</si>
  <si>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</si>
  <si>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</si>
  <si>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</si>
  <si>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</si>
  <si>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</si>
  <si>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</si>
  <si>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</si>
  <si>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</si>
  <si>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</si>
  <si>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</si>
  <si>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</si>
  <si>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</si>
  <si>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</si>
  <si>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</si>
  <si>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</si>
  <si>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</si>
  <si>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</si>
  <si>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</si>
  <si>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</si>
  <si>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</si>
  <si>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</si>
  <si>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</si>
  <si>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</si>
  <si>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</si>
  <si>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</si>
  <si>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</si>
  <si>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</si>
  <si>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</si>
  <si>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</si>
  <si>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</si>
  <si>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</si>
  <si>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</si>
  <si>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</si>
  <si>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</si>
  <si>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</si>
  <si>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</si>
  <si>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</si>
  <si>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</si>
  <si>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</si>
  <si>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</si>
  <si>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</si>
  <si>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</si>
  <si>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</si>
  <si>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</si>
  <si>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</si>
  <si>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</si>
  <si>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</si>
  <si>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</si>
  <si>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</si>
  <si>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</si>
  <si>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</si>
  <si>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</si>
  <si>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</si>
  <si>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</si>
  <si>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</si>
  <si>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</si>
  <si>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</si>
  <si>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</si>
  <si>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</si>
  <si>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</si>
  <si>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</si>
  <si>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</si>
  <si>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</si>
  <si>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</si>
  <si>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</si>
  <si>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</si>
  <si>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</si>
  <si>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</si>
  <si>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</si>
  <si>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</si>
  <si>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</si>
  <si>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</si>
  <si>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</si>
  <si>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</si>
  <si>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</si>
  <si>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</si>
  <si>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</si>
  <si>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</si>
  <si>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</si>
  <si>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</si>
  <si>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</si>
  <si>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</si>
  <si>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</si>
  <si>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</si>
  <si>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</si>
  <si>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</si>
  <si>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</si>
  <si>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</si>
  <si>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</si>
  <si>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</si>
  <si>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</si>
  <si>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</si>
  <si>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</si>
  <si>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</si>
  <si>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</si>
  <si>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</si>
  <si>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</si>
  <si>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</si>
  <si>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</si>
  <si>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</si>
  <si>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</si>
  <si>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</si>
  <si>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</si>
  <si>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</si>
  <si>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</si>
  <si>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</si>
  <si>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</si>
  <si>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</si>
  <si>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</si>
  <si>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</si>
  <si>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</si>
  <si>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</si>
  <si>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</si>
  <si>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</si>
  <si>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</si>
  <si>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</si>
  <si>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</si>
  <si>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</si>
  <si>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</si>
  <si>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</si>
  <si>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</si>
  <si>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</si>
  <si>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</si>
  <si>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</si>
  <si>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</si>
  <si>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</si>
  <si>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</si>
  <si>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</si>
  <si>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</si>
  <si>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</si>
  <si>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</si>
  <si>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</si>
  <si>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</si>
  <si>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</si>
  <si>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</si>
  <si>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</si>
  <si>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</si>
  <si>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</si>
  <si>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</si>
  <si>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</si>
  <si>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</si>
  <si>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</si>
  <si>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</si>
  <si>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</si>
  <si>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</si>
  <si>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</si>
  <si>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</si>
  <si>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</si>
  <si>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</si>
  <si>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</si>
  <si>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</si>
  <si>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</si>
  <si>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</si>
  <si>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</si>
  <si>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</si>
  <si>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</si>
  <si>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</si>
  <si>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</si>
  <si>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</si>
  <si>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</si>
  <si>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</si>
  <si>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</si>
  <si>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</si>
  <si>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</si>
  <si>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</si>
  <si>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</si>
  <si>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</si>
  <si>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</si>
  <si>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</si>
  <si>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</si>
  <si>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</si>
  <si>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</si>
  <si>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</si>
  <si>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</si>
  <si>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</si>
  <si>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</si>
  <si>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</si>
  <si>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</si>
  <si>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</si>
  <si>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</si>
  <si>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</si>
  <si>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</si>
  <si>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</si>
  <si>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</si>
  <si>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</si>
  <si>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</si>
  <si>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</si>
  <si>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</si>
  <si>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</si>
  <si>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</si>
  <si>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</si>
  <si>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</si>
  <si>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</si>
  <si>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</si>
  <si>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</si>
  <si>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</si>
  <si>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</si>
  <si>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</si>
  <si>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</si>
  <si>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</si>
  <si>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</si>
  <si>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</si>
  <si>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</si>
  <si>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</si>
  <si>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</si>
  <si>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</si>
  <si>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</si>
  <si>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</si>
  <si>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</si>
  <si>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</si>
  <si>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</si>
  <si>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</si>
  <si>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</si>
  <si>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</si>
  <si>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</si>
  <si>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</si>
  <si>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</si>
  <si>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</si>
  <si>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</si>
  <si>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</si>
  <si>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</si>
  <si>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</si>
  <si>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</si>
  <si>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</si>
  <si>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</si>
  <si>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</si>
  <si>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</si>
  <si>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</si>
  <si>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</si>
  <si>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</si>
  <si>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</si>
  <si>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</si>
  <si>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</si>
  <si>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</si>
  <si>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</si>
  <si>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</si>
  <si>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</si>
  <si>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</si>
  <si>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</si>
  <si>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</si>
  <si>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</si>
  <si>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</si>
  <si>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</si>
  <si>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</si>
  <si>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</si>
  <si>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</si>
  <si>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</si>
  <si>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</si>
  <si>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</si>
  <si>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</si>
  <si>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</si>
  <si>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</si>
  <si>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</si>
  <si>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</si>
  <si>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</si>
  <si>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</si>
  <si>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</si>
  <si>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</si>
  <si>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</si>
  <si>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</si>
  <si>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</si>
  <si>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</si>
  <si>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</si>
  <si>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</si>
  <si>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</si>
  <si>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</si>
  <si>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</si>
  <si>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</si>
  <si>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</si>
  <si>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</si>
  <si>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</si>
  <si>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</si>
  <si>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</si>
  <si>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</si>
  <si>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</si>
  <si>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</si>
  <si>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</si>
  <si>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</si>
  <si>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</si>
  <si>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</si>
  <si>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</si>
  <si>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</si>
  <si>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</si>
  <si>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</si>
  <si>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</si>
  <si>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</si>
  <si>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</si>
  <si>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</si>
  <si>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</si>
  <si>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</si>
  <si>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</si>
  <si>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</si>
  <si>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</si>
  <si>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</si>
  <si>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</si>
  <si>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</si>
  <si>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</si>
  <si>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</si>
  <si>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</si>
  <si>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</si>
  <si>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</si>
  <si>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</si>
  <si>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</si>
  <si>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</si>
  <si>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</si>
  <si>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</si>
  <si>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</si>
  <si>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</si>
  <si>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</si>
  <si>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</si>
  <si>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</si>
  <si>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</si>
  <si>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</si>
  <si>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</si>
  <si>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</si>
  <si>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</si>
  <si>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</si>
  <si>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</si>
  <si>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</si>
  <si>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</si>
  <si>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</si>
  <si>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</si>
  <si>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</si>
  <si>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</si>
  <si>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</si>
  <si>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</si>
  <si>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</si>
  <si>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</si>
  <si>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</si>
  <si>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</si>
  <si>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</si>
  <si>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</si>
  <si>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</si>
  <si>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</si>
  <si>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</si>
  <si>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</si>
  <si>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</si>
  <si>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</si>
  <si>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</si>
  <si>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</si>
  <si>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</si>
  <si>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</si>
  <si>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</si>
  <si>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</si>
  <si>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</si>
  <si>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</si>
  <si>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</si>
  <si>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</si>
  <si>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</si>
  <si>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</si>
  <si>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</si>
  <si>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</si>
  <si>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</si>
  <si>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</si>
  <si>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</si>
  <si>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</si>
  <si>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</si>
  <si>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</si>
  <si>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</si>
  <si>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</si>
  <si>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</si>
  <si>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</si>
  <si>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</si>
  <si>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</si>
  <si>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</si>
  <si>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</si>
  <si>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</si>
  <si>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</si>
  <si>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</si>
  <si>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</si>
  <si>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</si>
  <si>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</si>
  <si>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</si>
  <si>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</si>
  <si>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</si>
  <si>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</si>
  <si>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</si>
  <si>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</si>
  <si>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</si>
  <si>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</si>
  <si>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</si>
  <si>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</si>
  <si>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</si>
  <si>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</si>
  <si>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</si>
  <si>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</si>
  <si>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</si>
  <si>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</si>
  <si>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</si>
  <si>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</si>
  <si>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</si>
  <si>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</si>
  <si>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</si>
  <si>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</si>
  <si>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</si>
  <si>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</si>
  <si>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</si>
  <si>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</si>
  <si>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</si>
  <si>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</si>
  <si>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</si>
  <si>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</si>
  <si>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</si>
  <si>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</si>
  <si>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</si>
  <si>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</si>
  <si>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</si>
  <si>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</si>
  <si>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</si>
  <si>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</si>
  <si>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</si>
  <si>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</si>
  <si>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</si>
  <si>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</si>
  <si>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</si>
  <si>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</si>
  <si>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</si>
  <si>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</si>
  <si>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</si>
  <si>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</si>
  <si>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</si>
  <si>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</si>
  <si>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</si>
  <si>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</si>
  <si>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</si>
  <si>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</si>
  <si>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</si>
  <si>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</si>
  <si>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</si>
  <si>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</si>
  <si>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</si>
  <si>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</si>
  <si>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</si>
  <si>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</si>
  <si>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</si>
  <si>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</si>
  <si>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</si>
  <si>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</si>
  <si>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</si>
  <si>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</si>
  <si>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</si>
  <si>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</si>
  <si>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</si>
  <si>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</si>
  <si>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</si>
  <si>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</si>
  <si>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</si>
  <si>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</si>
  <si>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</si>
  <si>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</si>
  <si>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</si>
  <si>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</si>
  <si>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</si>
  <si>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</si>
  <si>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</si>
  <si>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</si>
  <si>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</si>
  <si>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</si>
  <si>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</si>
  <si>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</si>
  <si>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</si>
  <si>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</si>
  <si>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</si>
  <si>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</si>
  <si>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</si>
  <si>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</si>
  <si>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</si>
  <si>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</si>
  <si>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</si>
  <si>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</si>
  <si>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</si>
  <si>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</si>
  <si>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</si>
  <si>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</si>
  <si>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</si>
  <si>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</si>
  <si>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</si>
  <si>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</si>
  <si>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</si>
  <si>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</si>
  <si>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</si>
  <si>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</si>
  <si>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</si>
  <si>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</si>
  <si>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</si>
  <si>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</si>
  <si>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</si>
  <si>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</si>
  <si>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</si>
  <si>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</si>
  <si>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</si>
  <si>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</si>
  <si>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</si>
  <si>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</si>
  <si>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</si>
  <si>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</si>
  <si>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</si>
  <si>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</si>
  <si>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</si>
  <si>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</si>
  <si>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</si>
  <si>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</si>
  <si>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</si>
  <si>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</si>
  <si>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</si>
  <si>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</si>
  <si>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</si>
  <si>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</si>
  <si>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</si>
  <si>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</si>
  <si>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</si>
  <si>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</si>
  <si>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</si>
  <si>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</si>
  <si>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</si>
  <si>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</si>
  <si>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</si>
  <si>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</si>
  <si>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</si>
  <si>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</si>
  <si>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</si>
  <si>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</si>
  <si>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</si>
  <si>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</si>
  <si>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</si>
  <si>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</si>
  <si>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</si>
  <si>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</si>
  <si>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</si>
  <si>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</si>
  <si>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</si>
  <si>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</si>
  <si>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</si>
  <si>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</si>
  <si>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</si>
  <si>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</si>
  <si>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</si>
  <si>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</si>
  <si>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</si>
  <si>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</si>
  <si>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</si>
  <si>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</si>
  <si>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</si>
  <si>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</si>
  <si>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</si>
  <si>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</si>
  <si>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</si>
  <si>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</si>
  <si>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</si>
  <si>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</si>
  <si>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</si>
  <si>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</si>
  <si>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</si>
  <si>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</si>
  <si>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</si>
  <si>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</si>
  <si>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</si>
  <si>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</si>
  <si>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</si>
  <si>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</si>
  <si>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</si>
  <si>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</si>
  <si>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</si>
  <si>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</si>
  <si>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</si>
  <si>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</si>
  <si>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</si>
  <si>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</si>
  <si>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</si>
  <si>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</si>
  <si>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</si>
  <si>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</si>
  <si>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</si>
  <si>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</si>
  <si>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</si>
  <si>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</si>
  <si>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</si>
  <si>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</si>
  <si>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</si>
  <si>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</si>
  <si>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</si>
  <si>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</si>
  <si>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</si>
  <si>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</si>
  <si>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</si>
  <si>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</si>
  <si>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</si>
  <si>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</si>
  <si>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</si>
  <si>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</si>
  <si>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</si>
  <si>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</si>
  <si>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</si>
  <si>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</si>
  <si>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</si>
  <si>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</si>
  <si>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</si>
  <si>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</si>
  <si>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</si>
  <si>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</si>
  <si>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</si>
  <si>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</si>
  <si>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</si>
  <si>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</si>
  <si>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</si>
  <si>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</si>
  <si>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</si>
  <si>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</si>
  <si>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</si>
  <si>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</si>
  <si>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</si>
  <si>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</si>
  <si>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</si>
  <si>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</si>
  <si>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</si>
  <si>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</si>
  <si>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</si>
  <si>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</si>
  <si>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</si>
  <si>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</si>
  <si>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</si>
  <si>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</si>
  <si>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</si>
  <si>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</si>
  <si>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</si>
  <si>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</si>
  <si>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</si>
  <si>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</si>
  <si>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</si>
  <si>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</si>
  <si>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</si>
  <si>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</si>
  <si>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</si>
  <si>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</si>
  <si>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</si>
  <si>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</si>
  <si>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</si>
  <si>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</si>
  <si>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</si>
  <si>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</si>
  <si>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</si>
  <si>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</si>
  <si>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</si>
  <si>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</si>
  <si>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</si>
  <si>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</si>
  <si>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</si>
  <si>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</si>
  <si>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</si>
  <si>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</si>
  <si>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</si>
  <si>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</si>
  <si>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</si>
  <si>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</si>
  <si>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</si>
  <si>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</si>
  <si>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</si>
  <si>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</si>
  <si>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</si>
  <si>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</si>
  <si>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</si>
  <si>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</si>
  <si>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</si>
  <si>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</si>
  <si>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</si>
  <si>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</si>
  <si>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</si>
  <si>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</si>
  <si>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</si>
  <si>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</si>
  <si>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</si>
  <si>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</si>
  <si>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</si>
  <si>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</si>
  <si>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</si>
  <si>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</si>
  <si>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</si>
  <si>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</si>
  <si>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</si>
  <si>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</si>
  <si>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</si>
  <si>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</si>
  <si>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</si>
  <si>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</si>
  <si>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</si>
  <si>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</si>
  <si>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</si>
  <si>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</si>
  <si>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</si>
  <si>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</si>
  <si>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</si>
  <si>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</si>
  <si>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</si>
  <si>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</si>
  <si>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</si>
  <si>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</si>
  <si>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</si>
  <si>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</si>
  <si>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</si>
  <si>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</si>
  <si>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</si>
  <si>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</si>
  <si>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</si>
  <si>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</si>
  <si>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</si>
  <si>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</si>
  <si>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</si>
  <si>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</si>
  <si>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</si>
  <si>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</si>
  <si>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</si>
  <si>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</si>
  <si>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</si>
  <si>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</si>
  <si>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</si>
  <si>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</si>
  <si>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</si>
  <si>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</si>
  <si>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</si>
  <si>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</si>
  <si>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</si>
  <si>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</si>
  <si>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</si>
  <si>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</si>
  <si>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</si>
  <si>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</si>
  <si>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</si>
  <si>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</si>
  <si>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</si>
  <si>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</si>
  <si>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</si>
  <si>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</si>
  <si>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</si>
  <si>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</si>
  <si>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</si>
  <si>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</si>
  <si>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</si>
  <si>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</si>
  <si>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</si>
  <si>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</si>
  <si>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</si>
  <si>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</si>
  <si>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</si>
  <si>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</si>
  <si>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</si>
  <si>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</si>
  <si>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</si>
  <si>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</si>
  <si>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</si>
  <si>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</si>
  <si>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</si>
  <si>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</si>
  <si>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</si>
  <si>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</si>
  <si>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</si>
  <si>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</si>
  <si>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</si>
  <si>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</si>
  <si>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</si>
  <si>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</si>
  <si>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</si>
  <si>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</si>
  <si>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</si>
  <si>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</si>
  <si>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</si>
  <si>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</si>
  <si>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</si>
  <si>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</si>
  <si>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</si>
  <si>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</si>
  <si>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</si>
  <si>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</si>
  <si>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</si>
  <si>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</si>
  <si>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</si>
  <si>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</si>
  <si>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</si>
  <si>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</si>
  <si>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</si>
  <si>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</si>
  <si>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</si>
  <si>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</si>
  <si>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</si>
  <si>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</si>
  <si>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</si>
  <si>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</si>
  <si>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</si>
  <si>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</si>
  <si>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</si>
  <si>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</si>
  <si>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</si>
  <si>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</si>
  <si>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</si>
  <si>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</si>
  <si>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</si>
  <si>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</si>
  <si>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</si>
  <si>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</si>
  <si>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</si>
  <si>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</si>
  <si>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</si>
  <si>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</si>
  <si>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</si>
  <si>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</si>
  <si>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</si>
  <si>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</si>
  <si>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</si>
  <si>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</si>
  <si>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</si>
  <si>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</si>
  <si>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</si>
  <si>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</si>
  <si>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</si>
  <si>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</si>
  <si>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</si>
  <si>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</si>
  <si>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</si>
  <si>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</si>
  <si>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</si>
  <si>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</si>
  <si>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</si>
  <si>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</si>
  <si>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</si>
  <si>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</si>
  <si>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</si>
  <si>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</si>
  <si>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</si>
  <si>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</si>
  <si>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</si>
  <si>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</si>
  <si>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</si>
  <si>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</si>
  <si>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</si>
  <si>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</si>
  <si>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</si>
  <si>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</si>
  <si>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</si>
  <si>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</si>
  <si>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</si>
  <si>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</si>
  <si>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</si>
  <si>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</si>
  <si>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</si>
  <si>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</si>
  <si>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</si>
  <si>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</si>
  <si>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</si>
  <si>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</si>
  <si>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</si>
  <si>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</si>
  <si>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</si>
  <si>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</si>
  <si>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</si>
  <si>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</si>
  <si>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</si>
  <si>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</si>
  <si>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</si>
  <si>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</si>
  <si>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</si>
  <si>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</si>
  <si>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</si>
  <si>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</si>
  <si>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</si>
  <si>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</si>
  <si>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</si>
  <si>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</si>
  <si>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</si>
  <si>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</si>
  <si>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</si>
  <si>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</si>
  <si>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</si>
  <si>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</si>
  <si>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</si>
  <si>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</si>
  <si>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</si>
  <si>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</si>
  <si>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</si>
  <si>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</si>
  <si>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</si>
  <si>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</si>
  <si>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</si>
  <si>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</si>
  <si>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</si>
  <si>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</si>
  <si>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</si>
  <si>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</si>
  <si>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</si>
  <si>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</si>
  <si>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</si>
  <si>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</si>
  <si>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</si>
  <si>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</si>
  <si>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</si>
  <si>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</si>
  <si>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</si>
  <si>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</si>
  <si>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</si>
  <si>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</si>
  <si>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</si>
  <si>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</si>
  <si>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</si>
  <si>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</si>
  <si>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</si>
  <si>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</si>
  <si>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</si>
  <si>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</si>
  <si>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</si>
  <si>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</si>
  <si>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</si>
  <si>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</si>
  <si>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</si>
  <si>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</si>
  <si>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</si>
  <si>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</si>
  <si>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</si>
  <si>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</si>
  <si>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</si>
  <si>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</si>
  <si>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</si>
  <si>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</si>
  <si>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</si>
  <si>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</si>
  <si>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</si>
  <si>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</si>
  <si>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</si>
  <si>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</si>
  <si>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</si>
  <si>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</si>
  <si>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</si>
  <si>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</si>
  <si>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</si>
  <si>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</si>
  <si>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</si>
  <si>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</si>
  <si>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</si>
  <si>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</si>
  <si>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</si>
  <si>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</si>
  <si>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</si>
  <si>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</si>
  <si>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</si>
  <si>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</si>
  <si>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</si>
  <si>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</si>
  <si>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</si>
  <si>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</si>
  <si>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</si>
  <si>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</si>
  <si>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</si>
  <si>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</si>
  <si>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</si>
  <si>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</si>
  <si>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</si>
  <si>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</si>
  <si>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</si>
  <si>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</si>
  <si>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</si>
  <si>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</si>
  <si>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</si>
  <si>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</si>
  <si>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</si>
  <si>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</si>
  <si>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</si>
  <si>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</si>
  <si>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</si>
  <si>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</si>
  <si>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</si>
  <si>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</si>
  <si>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</si>
  <si>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</si>
  <si>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</si>
  <si>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</si>
  <si>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</si>
  <si>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</si>
  <si>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</si>
  <si>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</si>
  <si>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</si>
  <si>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</si>
  <si>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</si>
  <si>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</si>
  <si>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</si>
  <si>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</si>
  <si>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</si>
  <si>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</si>
  <si>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</si>
  <si>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</si>
  <si>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</si>
  <si>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</si>
  <si>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</si>
  <si>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</si>
  <si>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</si>
  <si>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</si>
  <si>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</si>
  <si>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</si>
  <si>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</si>
  <si>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</si>
  <si>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</si>
  <si>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</si>
  <si>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</si>
  <si>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</si>
  <si>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</si>
  <si>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</si>
  <si>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</si>
  <si>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</si>
  <si>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</si>
  <si>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</si>
  <si>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</si>
  <si>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</si>
  <si>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</si>
  <si>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</si>
  <si>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</si>
  <si>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</si>
  <si>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</si>
  <si>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</si>
  <si>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</si>
  <si>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</si>
  <si>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</si>
  <si>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</si>
  <si>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</si>
  <si>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</si>
  <si>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</si>
  <si>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</si>
  <si>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</si>
  <si>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</si>
  <si>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</si>
  <si>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</si>
  <si>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</si>
  <si>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</si>
  <si>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</si>
  <si>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</si>
  <si>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</si>
  <si>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</si>
  <si>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</si>
  <si>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</si>
  <si>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</si>
  <si>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</si>
  <si>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</si>
  <si>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</si>
  <si>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</si>
  <si>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</si>
  <si>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</si>
  <si>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</si>
  <si>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</si>
  <si>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</si>
  <si>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</si>
  <si>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</si>
  <si>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</si>
  <si>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</si>
  <si>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</si>
  <si>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</si>
  <si>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</si>
  <si>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</si>
  <si>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</si>
  <si>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</si>
  <si>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</si>
  <si>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</si>
  <si>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</si>
  <si>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</si>
  <si>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</si>
  <si>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</si>
  <si>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</si>
  <si>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</si>
  <si>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</si>
  <si>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</si>
  <si>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</si>
  <si>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</si>
  <si>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</si>
  <si>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</si>
  <si>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</si>
  <si>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</si>
  <si>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</si>
  <si>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</si>
  <si>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</si>
  <si>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</si>
  <si>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</si>
  <si>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</si>
  <si>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</si>
  <si>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</si>
  <si>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</si>
  <si>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</si>
  <si>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</si>
  <si>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</si>
  <si>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</si>
  <si>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</si>
  <si>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</si>
  <si>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</si>
  <si>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</si>
  <si>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</si>
  <si>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</si>
  <si>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</si>
  <si>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</si>
  <si>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</si>
  <si>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</si>
  <si>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</si>
  <si>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</si>
  <si>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</si>
  <si>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</si>
  <si>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</si>
  <si>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</si>
  <si>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</si>
  <si>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</si>
  <si>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</si>
  <si>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</si>
  <si>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</si>
  <si>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</si>
  <si>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</si>
  <si>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</si>
  <si>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</si>
  <si>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</si>
  <si>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</si>
  <si>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</si>
  <si>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</si>
  <si>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</si>
  <si>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</si>
  <si>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</si>
  <si>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</si>
  <si>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</si>
  <si>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</si>
  <si>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</si>
  <si>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</si>
  <si>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</si>
  <si>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</si>
  <si>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</si>
  <si>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</si>
  <si>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</si>
  <si>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</si>
  <si>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</si>
  <si>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</si>
  <si>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</si>
  <si>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</si>
  <si>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</si>
  <si>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</si>
  <si>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</si>
  <si>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</si>
  <si>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</si>
  <si>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</si>
  <si>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</si>
  <si>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</si>
  <si>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</si>
  <si>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</si>
  <si>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</si>
  <si>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</si>
  <si>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</si>
  <si>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</si>
  <si>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</si>
  <si>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</si>
  <si>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</si>
  <si>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</si>
  <si>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</si>
  <si>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</si>
  <si>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</si>
  <si>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</si>
  <si>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</si>
  <si>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</si>
  <si>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</si>
  <si>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</si>
  <si>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</si>
  <si>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</si>
  <si>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</si>
  <si>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</si>
  <si>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</si>
  <si>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</si>
  <si>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</si>
  <si>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</si>
  <si>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</si>
  <si>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</si>
  <si>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</si>
  <si>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</si>
  <si>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</si>
  <si>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</si>
  <si>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</si>
  <si>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</si>
  <si>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</si>
  <si>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</si>
  <si>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</si>
  <si>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</si>
  <si>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</si>
  <si>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</si>
  <si>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</si>
  <si>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</si>
  <si>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</si>
  <si>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</si>
  <si>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</si>
  <si>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</si>
  <si>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</si>
  <si>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</si>
  <si>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</si>
  <si>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</si>
  <si>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</si>
  <si>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</si>
  <si>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</si>
  <si>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</si>
  <si>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</si>
  <si>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</si>
  <si>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</si>
  <si>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</si>
  <si>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</si>
  <si>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</si>
  <si>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</si>
  <si>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</si>
  <si>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</si>
  <si>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</si>
  <si>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</si>
  <si>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</si>
  <si>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</si>
  <si>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</si>
  <si>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</si>
  <si>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</si>
  <si>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</si>
  <si>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</si>
  <si>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</si>
  <si>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</si>
  <si>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</si>
  <si>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</si>
  <si>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</si>
  <si>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</si>
  <si>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</si>
  <si>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</si>
  <si>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</si>
  <si>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</si>
  <si>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</si>
  <si>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</si>
  <si>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</si>
  <si>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</si>
  <si>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</si>
  <si>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</si>
  <si>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</si>
  <si>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</si>
  <si>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</si>
  <si>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</si>
  <si>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</si>
  <si>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</si>
  <si>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</si>
  <si>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</si>
  <si>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</si>
  <si>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</si>
  <si>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</si>
  <si>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</si>
  <si>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</si>
  <si>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</si>
  <si>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</si>
  <si>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</si>
  <si>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</si>
  <si>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</si>
  <si>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</si>
  <si>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</si>
  <si>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</si>
  <si>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</si>
  <si>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</si>
  <si>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</si>
  <si>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</si>
  <si>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</si>
  <si>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</si>
  <si>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</si>
  <si>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</si>
  <si>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</si>
  <si>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</si>
  <si>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</si>
  <si>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</si>
  <si>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</si>
  <si>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</si>
  <si>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</si>
  <si>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</si>
  <si>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</si>
  <si>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</si>
  <si>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</si>
  <si>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</si>
  <si>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</si>
  <si>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</si>
  <si>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</si>
  <si>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</si>
  <si>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</si>
  <si>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</si>
  <si>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</si>
  <si>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</si>
  <si>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</si>
  <si>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</si>
  <si>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</si>
  <si>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</si>
  <si>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</si>
  <si>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</si>
  <si>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</si>
  <si>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</si>
  <si>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</si>
  <si>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</si>
  <si>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</si>
  <si>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</si>
  <si>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</si>
  <si>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</si>
  <si>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</si>
  <si>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</si>
  <si>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</si>
  <si>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</si>
  <si>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</si>
  <si>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</si>
  <si>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</si>
  <si>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</si>
  <si>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</si>
  <si>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</si>
  <si>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</si>
  <si>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</si>
  <si>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</si>
  <si>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</si>
  <si>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</si>
  <si>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</si>
  <si>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</si>
  <si>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</si>
  <si>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</si>
  <si>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</si>
  <si>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</si>
  <si>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</si>
  <si>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</si>
  <si>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</si>
  <si>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</si>
  <si>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</si>
  <si>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</si>
  <si>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</si>
  <si>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</si>
  <si>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</si>
  <si>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</si>
  <si>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</si>
  <si>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</si>
  <si>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</si>
  <si>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</si>
  <si>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</si>
  <si>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</si>
  <si>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</si>
  <si>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</si>
  <si>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</si>
  <si>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</si>
  <si>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</si>
  <si>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</si>
  <si>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</si>
  <si>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</si>
  <si>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</si>
  <si>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</si>
  <si>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</si>
  <si>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</si>
  <si>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</si>
  <si>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</si>
  <si>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</si>
  <si>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</si>
  <si>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</si>
  <si>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</si>
  <si>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</si>
  <si>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</si>
  <si>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</si>
  <si>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</si>
  <si>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</si>
  <si>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</si>
  <si>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</si>
  <si>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</si>
  <si>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</si>
  <si>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</si>
  <si>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</si>
  <si>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</si>
  <si>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</si>
  <si>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</si>
  <si>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</si>
  <si>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</si>
  <si>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</si>
  <si>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</si>
  <si>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</si>
  <si>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</si>
  <si>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</si>
  <si>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</si>
  <si>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</si>
  <si>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</si>
  <si>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</si>
  <si>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</si>
  <si>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</si>
  <si>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</si>
  <si>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</si>
  <si>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</si>
  <si>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</si>
  <si>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</si>
  <si>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</si>
  <si>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</si>
  <si>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</si>
  <si>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</si>
  <si>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</si>
  <si>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</si>
  <si>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</si>
  <si>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</si>
  <si>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</si>
  <si>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</si>
  <si>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</si>
  <si>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</si>
  <si>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</si>
  <si>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</si>
  <si>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</si>
  <si>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</si>
  <si>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</si>
  <si>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</si>
  <si>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</si>
  <si>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</si>
  <si>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</si>
  <si>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</si>
  <si>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</si>
  <si>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</si>
  <si>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</si>
  <si>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</si>
  <si>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</si>
  <si>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</si>
  <si>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</si>
  <si>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</si>
  <si>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</si>
  <si>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</si>
  <si>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</si>
  <si>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</si>
  <si>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</si>
  <si>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</si>
  <si>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</si>
  <si>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</si>
  <si>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</si>
  <si>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</si>
  <si>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</si>
  <si>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</si>
  <si>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</si>
  <si>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</si>
  <si>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</si>
  <si>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</si>
  <si>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</si>
  <si>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</si>
  <si>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</si>
  <si>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</si>
  <si>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</si>
  <si>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</si>
  <si>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</si>
  <si>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</si>
  <si>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</si>
  <si>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</si>
  <si>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</si>
  <si>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</si>
  <si>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</si>
  <si>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</si>
  <si>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</si>
  <si>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</si>
  <si>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</si>
  <si>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</si>
  <si>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</si>
  <si>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</si>
  <si>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</si>
  <si>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</si>
  <si>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</si>
  <si>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</si>
  <si>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</si>
  <si>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</si>
  <si>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</si>
  <si>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</si>
  <si>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</si>
  <si>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</si>
  <si>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</si>
  <si>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</si>
  <si>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</si>
  <si>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</si>
  <si>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</si>
  <si>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</si>
  <si>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</si>
  <si>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</si>
  <si>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</si>
  <si>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</si>
  <si>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</si>
  <si>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</si>
  <si>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Hinweis</t>
  </si>
  <si>
    <t xml:space="preserve">Beleg über </t>
  </si>
  <si>
    <t>Fütterungsverfahren</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</si>
  <si>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</si>
  <si>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</si>
  <si>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</si>
  <si>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</si>
  <si>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</si>
  <si>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</si>
  <si>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</si>
  <si>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</si>
  <si>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</si>
  <si>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</si>
  <si>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</si>
  <si>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</si>
  <si>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</si>
  <si>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</si>
  <si>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</si>
  <si>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</si>
  <si>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</si>
  <si>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</si>
  <si>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</si>
  <si>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</si>
  <si>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</si>
  <si>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</si>
  <si>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</si>
  <si>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</si>
  <si>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</si>
  <si>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</si>
  <si>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</si>
  <si>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</si>
  <si>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</si>
  <si>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</si>
  <si>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</si>
  <si>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</si>
  <si>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</si>
  <si>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</si>
  <si>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</si>
  <si>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</si>
  <si>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</si>
  <si>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</si>
  <si>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</si>
  <si>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</si>
  <si>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</si>
  <si>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</si>
  <si>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</si>
  <si>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</si>
  <si>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</si>
  <si>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</si>
  <si>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</si>
  <si>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</si>
  <si>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</si>
  <si>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</si>
  <si>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</si>
  <si>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</si>
  <si>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</si>
  <si>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</si>
  <si>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</si>
  <si>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</si>
  <si>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</si>
  <si>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</si>
  <si>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</si>
  <si>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</si>
  <si>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</si>
  <si>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</si>
  <si>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</si>
  <si>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</si>
  <si>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</si>
  <si>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</si>
  <si>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</si>
  <si>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</si>
  <si>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</si>
  <si>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</si>
  <si>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</si>
  <si>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</si>
  <si>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</si>
  <si>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</si>
  <si>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</si>
  <si>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</si>
  <si>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</si>
  <si>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</si>
  <si>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</si>
  <si>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</si>
  <si>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</si>
  <si>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</si>
  <si>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</si>
  <si>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</si>
  <si>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</si>
  <si>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</si>
  <si>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</si>
  <si>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</si>
  <si>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</si>
  <si>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</si>
  <si>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</si>
  <si>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</si>
  <si>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</si>
  <si>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</si>
  <si>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</si>
  <si>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</si>
  <si>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</si>
  <si>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</si>
  <si>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</si>
  <si>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</si>
  <si>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</si>
  <si>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</si>
  <si>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</si>
  <si>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</si>
  <si>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</si>
  <si>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</si>
  <si>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</si>
  <si>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</si>
  <si>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</si>
  <si>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</si>
  <si>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</si>
  <si>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</si>
  <si>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</si>
  <si>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</si>
  <si>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</si>
  <si>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</si>
  <si>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</si>
  <si>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</si>
  <si>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</si>
  <si>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</si>
  <si>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</si>
  <si>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</si>
  <si>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</si>
  <si>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</si>
  <si>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</si>
  <si>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</si>
  <si>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Zu/ Abgang</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</si>
  <si>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</si>
  <si>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</si>
  <si>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</si>
  <si>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</si>
  <si>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</si>
  <si>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</si>
  <si>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</si>
  <si>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</si>
  <si>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</si>
  <si>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</si>
  <si>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</si>
  <si>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</si>
  <si>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</si>
  <si>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</si>
  <si>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</si>
  <si>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</si>
  <si>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</si>
  <si>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</si>
  <si>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</si>
  <si>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</si>
  <si>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</si>
  <si>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</si>
  <si>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</si>
  <si>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</si>
  <si>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</si>
  <si>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</si>
  <si>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</si>
  <si>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</si>
  <si>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</si>
  <si>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</si>
  <si>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</si>
  <si>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</si>
  <si>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</si>
  <si>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</si>
  <si>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</si>
  <si>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</si>
  <si>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</si>
  <si>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</si>
  <si>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</si>
  <si>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</si>
  <si>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</si>
  <si>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</si>
  <si>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</si>
  <si>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</si>
  <si>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</si>
  <si>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</si>
  <si>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</si>
  <si>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</si>
  <si>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</si>
  <si>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</si>
  <si>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</si>
  <si>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</si>
  <si>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</si>
  <si>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</si>
  <si>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</si>
  <si>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</si>
  <si>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</si>
  <si>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</si>
  <si>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</si>
  <si>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</si>
  <si>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</si>
  <si>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</si>
  <si>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</si>
  <si>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</si>
  <si>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</si>
  <si>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</si>
  <si>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</si>
  <si>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</si>
  <si>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</si>
  <si>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</si>
  <si>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</si>
  <si>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</si>
  <si>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</si>
  <si>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</si>
  <si>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</si>
  <si>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</si>
  <si>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</si>
  <si>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</si>
  <si>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</si>
  <si>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</si>
  <si>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</si>
  <si>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</si>
  <si>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</si>
  <si>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</si>
  <si>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</si>
  <si>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</si>
  <si>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</si>
  <si>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</si>
  <si>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</si>
  <si>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</si>
  <si>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</si>
  <si>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</si>
  <si>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</si>
  <si>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</si>
  <si>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</si>
  <si>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</si>
  <si>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</si>
  <si>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</si>
  <si>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</si>
  <si>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</si>
  <si>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</si>
  <si>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</si>
  <si>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</si>
  <si>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</si>
  <si>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</si>
  <si>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</si>
  <si>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</si>
  <si>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</si>
  <si>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</si>
  <si>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</si>
  <si>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</si>
  <si>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</si>
  <si>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</si>
  <si>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</si>
  <si>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</si>
  <si>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</si>
  <si>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</si>
  <si>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</si>
  <si>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</si>
  <si>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</si>
  <si>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</si>
  <si>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Abgeber</t>
  </si>
  <si>
    <t>Eigene Bemerkung</t>
  </si>
  <si>
    <t>Separiert - flüssig + nicht separierte Gülle</t>
  </si>
  <si>
    <t>Deklaration Wirtschaftsdünger</t>
  </si>
  <si>
    <t xml:space="preserve">Nährstoffgehalte </t>
  </si>
  <si>
    <t>in kg/m³ (flüssig) bzw. kg/t (fest)</t>
  </si>
  <si>
    <t xml:space="preserve">tierischer Anteil </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</si>
  <si>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</si>
  <si>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</si>
  <si>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</si>
  <si>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</si>
  <si>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</si>
  <si>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</si>
  <si>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</si>
  <si>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</si>
  <si>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</si>
  <si>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</si>
  <si>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</si>
  <si>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</si>
  <si>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</si>
  <si>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</si>
  <si>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</si>
  <si>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</si>
  <si>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</si>
  <si>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</si>
  <si>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</si>
  <si>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</si>
  <si>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</si>
  <si>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</si>
  <si>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</si>
  <si>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</si>
  <si>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</si>
  <si>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</si>
  <si>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</si>
  <si>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</si>
  <si>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</si>
  <si>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</si>
  <si>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</si>
  <si>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</si>
  <si>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</si>
  <si>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</si>
  <si>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</si>
  <si>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</si>
  <si>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</si>
  <si>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</si>
  <si>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</si>
  <si>
    <t>stand</t>
  </si>
  <si>
    <t>Verkaufsgewicht Ferkel (kg)</t>
  </si>
  <si>
    <t>Berechnet am:</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</si>
  <si>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"Nährstoffe und Lagerraum" eingegeben werden.</t>
  </si>
  <si>
    <r>
      <t>(bei den angegebenen Tieren und Flächen</t>
    </r>
    <r>
      <rPr>
        <vertAlign val="superscript"/>
        <sz val="10"/>
        <rFont val="Arial"/>
        <family val="2"/>
      </rPr>
      <t>2)</t>
    </r>
    <r>
      <rPr>
        <sz val="10"/>
        <rFont val="Arial"/>
        <family val="2"/>
      </rPr>
      <t xml:space="preserve">) </t>
    </r>
  </si>
  <si>
    <t>Geburtsdatum:</t>
  </si>
  <si>
    <t>Gesamtnährstoffe pro Jahr (kg/ha)</t>
  </si>
  <si>
    <t xml:space="preserve">Durchschnittliche organische Düngung: </t>
  </si>
  <si>
    <t>Jungsauenaufzucht, Standard</t>
  </si>
  <si>
    <t>Jungsauenaufzucht, N-/P-red.</t>
  </si>
  <si>
    <t xml:space="preserve">  Jungsauenaufzucht, N-/P-red.</t>
  </si>
  <si>
    <t xml:space="preserve">  Jungsauenaufzucht, Standard</t>
  </si>
  <si>
    <t xml:space="preserve">                  (Stand: 2023)</t>
  </si>
  <si>
    <t xml:space="preserve">                     (Stand: 2023)</t>
  </si>
  <si>
    <r>
      <t>Sonstige Wasserzugabe im Jahr</t>
    </r>
    <r>
      <rPr>
        <sz val="9"/>
        <rFont val="Arial"/>
        <family val="2"/>
      </rPr>
      <t xml:space="preserve"> </t>
    </r>
    <r>
      <rPr>
        <sz val="8"/>
        <rFont val="Arial"/>
        <family val="2"/>
      </rPr>
      <t>(z.B. Dachrinnenwasser, Waschwasser)</t>
    </r>
  </si>
  <si>
    <t>ha Stilllegung Acker</t>
  </si>
  <si>
    <t>ha Stilllegung GL</t>
  </si>
  <si>
    <t>Nährstoffanfall auf Weide</t>
  </si>
  <si>
    <r>
      <t xml:space="preserve">Nährstoffanfall auf Weide in kg </t>
    </r>
    <r>
      <rPr>
        <b/>
        <sz val="10"/>
        <rFont val="Arial"/>
        <family val="2"/>
      </rPr>
      <t>im Betrieb</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</si>
  <si>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</si>
  <si>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+++Rind+++</t>
  </si>
  <si>
    <t/>
  </si>
  <si>
    <t>m3</t>
  </si>
  <si>
    <t>+++Schwein+++</t>
  </si>
  <si>
    <t>Mastschweinegülle (5 % TM), Standardfutter</t>
  </si>
  <si>
    <t>Zuchtsauengülle (5 % TM), N-/P-red. Fütterung</t>
  </si>
  <si>
    <t>+++Geflügel+++</t>
  </si>
  <si>
    <t>Hühnerkot (50 % TM)</t>
  </si>
  <si>
    <t>+++sonstige tierische Herkunft+++</t>
  </si>
  <si>
    <t>+++sonstige pflanzliche Herkunft+++</t>
  </si>
  <si>
    <t>+++Rinder+++</t>
  </si>
  <si>
    <t>+++Schweine+++</t>
  </si>
  <si>
    <t>Zuchtsauen mit 25 Ferkel bis 8 kg, Standard</t>
  </si>
  <si>
    <t>Zuchtsauen mit 25 Ferkel bis 8 kg, N-/P-reduziert</t>
  </si>
  <si>
    <t>Zuchtsauen mit 28 Ferkel bis 8 kg, Standard</t>
  </si>
  <si>
    <t>Zuchtsauen mit 28 Ferkel bis 8 kg, N-/P-reduziert</t>
  </si>
  <si>
    <t>+++Sonstige+++</t>
  </si>
  <si>
    <t xml:space="preserve">notwendig </t>
  </si>
  <si>
    <t>Erläuterung zur Berechnung des Trockenkotanfalles</t>
  </si>
  <si>
    <t>wenn Geflügel</t>
  </si>
  <si>
    <t>Gesamtformel Beispiel Winter</t>
  </si>
  <si>
    <t>BF23=4</t>
  </si>
  <si>
    <t>AY23</t>
  </si>
  <si>
    <t>BB23</t>
  </si>
  <si>
    <t>minus</t>
  </si>
  <si>
    <t>D23</t>
  </si>
  <si>
    <t>Anzahl Tiere auf Gülle</t>
  </si>
  <si>
    <t>H23</t>
  </si>
  <si>
    <t xml:space="preserve"> % auf Weide</t>
  </si>
  <si>
    <t>(1-H23/100)</t>
  </si>
  <si>
    <t>Abzug Weideanteil</t>
  </si>
  <si>
    <t>Anzahl Tiere ohne Weide (Gülle + Mist)</t>
  </si>
  <si>
    <t>Ableitung Strohbedarf für Geflügel - Berechnung aus DüV</t>
  </si>
  <si>
    <t>Beispiel Legehennen:</t>
  </si>
  <si>
    <t>kg/Jahr</t>
  </si>
  <si>
    <t xml:space="preserve">Einsteumenge je 1000 Tierplätze </t>
  </si>
  <si>
    <t xml:space="preserve">Angabe DüV: </t>
  </si>
  <si>
    <t>Stallmistanfall in 6 Monaten</t>
  </si>
  <si>
    <t>Stallbelegeung in Tagen je Jahr</t>
  </si>
  <si>
    <t>GV je Tier</t>
  </si>
  <si>
    <t>Berechnung Einsteumenge in kg/GV je Jahr</t>
  </si>
  <si>
    <t>Berechnung Stallmistanfall in t/Jahr</t>
  </si>
  <si>
    <t>t/Jahr und Tier</t>
  </si>
  <si>
    <t>BZ23</t>
  </si>
  <si>
    <t>Einsteu je GV und Tag</t>
  </si>
  <si>
    <t>WENN(CQ23=FALSCH;0;WENN(V23=0;0;WENN(AY23+AV23=0;0;WENN(BF23=4;AY23*BB23-(D23*(1-H23/100)*BZ23*365*BJ23/1000/50*86)+DO23-DM23;AY23*BB23+DO23-DM23))))</t>
  </si>
  <si>
    <t>WENN(BF23=4;AY23*BB23-(D23*(1-H23/100)*BZ23*365*BJ23/1000/50*86)</t>
  </si>
  <si>
    <t>TS Gehalt im Hühnertrockenkot</t>
  </si>
  <si>
    <t>TS Gehalt Stroh bei Einstreu</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</si>
  <si>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</si>
  <si>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</si>
  <si>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</si>
  <si>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kg/Tag je mittlerer Jahresbestand (berechnet aus der gerundeten Einsteumenge je mittleren Jahresbestand</t>
  </si>
  <si>
    <t>2) LF abzüglich Stilllegung (Flächen ohne Nutzung und ohne Düngung), abzügl. Flächen mit Verbot der org. Düngung:</t>
  </si>
  <si>
    <t>ab 2020 Winter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</si>
</sst>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 _€_-;\-* #,##0.00\ _€_-;_-* &quot;-&quot;??\ _€_-;_-@_-"/>
    <numFmt numFmtId="165" formatCode="0.0000"/>
    <numFmt numFmtId="166" formatCode="0.000"/>
    <numFmt numFmtId="167" formatCode="0.0"/>
    <numFmt numFmtId="168" formatCode="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
      <sz val="10"/>
      <color indexed="81"/>
      <name val="Arial"/>
      <family val="2"/>
    </font>
    <font>
      <vertAlign val="subscript"/>
      <sz val="9"/>
      <color indexed="81"/>
      <name val="Segoe UI"/>
      <family val="2"/>
    </font>
    <font>
      <sz val="9"/>
      <color indexed="81"/>
      <name val="Segoe UI"/>
      <charset val="1"/>
    </font>
  </fonts>
  <fills count="5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s>
  <borders count="231">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1" applyNumberFormat="0" applyAlignment="0" applyProtection="0"/>
    <xf numFmtId="0" fontId="39" fillId="29" borderId="102" applyNumberFormat="0" applyAlignment="0" applyProtection="0"/>
    <xf numFmtId="0" fontId="40" fillId="30" borderId="102" applyNumberFormat="0" applyAlignment="0" applyProtection="0"/>
    <xf numFmtId="0" fontId="41" fillId="0" borderId="103"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164" fontId="13" fillId="0" borderId="0" applyFont="0" applyFill="0" applyBorder="0" applyAlignment="0" applyProtection="0"/>
    <xf numFmtId="164" fontId="35" fillId="0" borderId="0" applyFont="0" applyFill="0" applyBorder="0" applyAlignment="0" applyProtection="0"/>
    <xf numFmtId="0" fontId="44" fillId="32" borderId="0" applyNumberFormat="0" applyBorder="0" applyAlignment="0" applyProtection="0"/>
    <xf numFmtId="0" fontId="36" fillId="33" borderId="104"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5" applyNumberFormat="0" applyFill="0" applyAlignment="0" applyProtection="0"/>
    <xf numFmtId="0" fontId="48" fillId="0" borderId="106" applyNumberFormat="0" applyFill="0" applyAlignment="0" applyProtection="0"/>
    <xf numFmtId="0" fontId="49" fillId="0" borderId="107" applyNumberFormat="0" applyFill="0" applyAlignment="0" applyProtection="0"/>
    <xf numFmtId="0" fontId="49" fillId="0" borderId="0" applyNumberFormat="0" applyFill="0" applyBorder="0" applyAlignment="0" applyProtection="0"/>
    <xf numFmtId="0" fontId="50" fillId="0" borderId="108" applyNumberFormat="0" applyFill="0" applyAlignment="0" applyProtection="0"/>
    <xf numFmtId="0" fontId="51" fillId="0" borderId="0" applyNumberFormat="0" applyFill="0" applyBorder="0" applyAlignment="0" applyProtection="0"/>
    <xf numFmtId="0" fontId="52" fillId="35" borderId="109" applyNumberFormat="0" applyAlignment="0" applyProtection="0"/>
    <xf numFmtId="0" fontId="73" fillId="0" borderId="0" applyNumberFormat="0" applyFill="0" applyBorder="0" applyAlignment="0" applyProtection="0"/>
    <xf numFmtId="43"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691">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61" fillId="38" borderId="43" xfId="63" applyNumberFormat="1" applyFont="1" applyFill="1" applyBorder="1" applyAlignment="1">
      <alignment horizontal="center" vertical="center"/>
    </xf>
    <xf numFmtId="0" fontId="61" fillId="38" borderId="44" xfId="63" applyFont="1" applyFill="1" applyBorder="1" applyAlignment="1">
      <alignment vertical="center"/>
    </xf>
    <xf numFmtId="49" fontId="23" fillId="39" borderId="33" xfId="63" applyNumberFormat="1" applyFont="1" applyFill="1" applyBorder="1" applyAlignment="1">
      <alignmen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23" fillId="39" borderId="8" xfId="63" applyNumberFormat="1" applyFont="1" applyFill="1" applyBorder="1" applyAlignment="1">
      <alignment vertical="center"/>
    </xf>
    <xf numFmtId="49" fontId="61" fillId="38" borderId="39" xfId="63" applyNumberFormat="1" applyFont="1" applyFill="1" applyBorder="1" applyAlignment="1">
      <alignment horizontal="center" vertical="center"/>
    </xf>
    <xf numFmtId="0" fontId="61" fillId="38" borderId="40" xfId="63"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23" fillId="39" borderId="33"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10" fillId="0" borderId="4" xfId="0" applyFont="1" applyBorder="1" applyAlignment="1">
      <alignment vertical="top"/>
    </xf>
    <xf numFmtId="0" fontId="62" fillId="0" borderId="30" xfId="0" applyFont="1" applyBorder="1" applyAlignment="1">
      <alignment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2" xfId="0" applyFont="1" applyFill="1" applyBorder="1" applyAlignment="1" applyProtection="1">
      <alignment vertical="center"/>
    </xf>
    <xf numFmtId="0" fontId="13" fillId="0" borderId="70"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4" xfId="0" applyFill="1" applyBorder="1" applyAlignment="1" applyProtection="1">
      <alignment horizontal="center" vertical="center"/>
    </xf>
    <xf numFmtId="0" fontId="8" fillId="47" borderId="61" xfId="0" applyFont="1" applyFill="1" applyBorder="1" applyAlignment="1" applyProtection="1">
      <alignment horizontal="center" vertical="center"/>
    </xf>
    <xf numFmtId="0" fontId="13" fillId="47" borderId="75"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3" xfId="0" applyFont="1" applyFill="1" applyBorder="1" applyAlignment="1" applyProtection="1">
      <alignment horizontal="center" vertical="center"/>
    </xf>
    <xf numFmtId="0" fontId="5" fillId="48" borderId="51"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7" xfId="0" applyFont="1" applyFill="1" applyBorder="1" applyAlignment="1" applyProtection="1">
      <alignment horizontal="center" vertical="center"/>
    </xf>
    <xf numFmtId="0" fontId="5" fillId="48" borderId="62" xfId="0" applyFont="1" applyFill="1" applyBorder="1" applyAlignment="1" applyProtection="1">
      <alignment horizontal="center" vertical="center"/>
    </xf>
    <xf numFmtId="0" fontId="13" fillId="0" borderId="0" xfId="0" applyFont="1" applyAlignment="1" applyProtection="1">
      <alignment vertical="center"/>
    </xf>
    <xf numFmtId="0" fontId="5" fillId="0" borderId="78" xfId="0" applyFont="1" applyBorder="1" applyAlignment="1">
      <alignment horizontal="center"/>
    </xf>
    <xf numFmtId="0" fontId="5" fillId="0" borderId="79"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2"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7" xfId="43" applyNumberFormat="1" applyFont="1" applyFill="1" applyBorder="1" applyAlignment="1" applyProtection="1">
      <alignment horizontal="center" vertical="center"/>
      <protection hidden="1"/>
    </xf>
    <xf numFmtId="1" fontId="8" fillId="0" borderId="62"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4"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2"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2"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5" xfId="0" applyNumberFormat="1" applyFont="1" applyBorder="1" applyAlignment="1" applyProtection="1">
      <alignment horizontal="center" vertical="center"/>
      <protection hidden="1"/>
    </xf>
    <xf numFmtId="1" fontId="5" fillId="0" borderId="86" xfId="0" applyNumberFormat="1" applyFont="1" applyBorder="1" applyAlignment="1" applyProtection="1">
      <alignment horizontal="center" vertical="center"/>
      <protection hidden="1"/>
    </xf>
    <xf numFmtId="1" fontId="0" fillId="3" borderId="73"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2"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5"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1"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2"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5"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6"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2"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1"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2" xfId="0" applyNumberFormat="1" applyFont="1" applyFill="1" applyBorder="1" applyAlignment="1" applyProtection="1">
      <alignment horizontal="center" vertical="center"/>
      <protection locked="0" hidden="1"/>
    </xf>
    <xf numFmtId="1" fontId="8" fillId="0" borderId="72" xfId="0" applyNumberFormat="1" applyFont="1" applyFill="1" applyBorder="1" applyAlignment="1" applyProtection="1">
      <alignment horizontal="center" vertical="center"/>
      <protection locked="0" hidden="1"/>
    </xf>
    <xf numFmtId="1" fontId="8" fillId="0" borderId="5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2" xfId="0" applyFont="1" applyFill="1" applyBorder="1" applyAlignment="1" applyProtection="1">
      <alignment horizontal="center" vertical="center"/>
      <protection locked="0" hidden="1"/>
    </xf>
    <xf numFmtId="0" fontId="13" fillId="0" borderId="54"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0" xfId="0" applyNumberFormat="1" applyFont="1" applyFill="1" applyBorder="1" applyAlignment="1" applyProtection="1">
      <alignment horizontal="center" vertical="center"/>
      <protection locked="0" hidden="1"/>
    </xf>
    <xf numFmtId="1" fontId="5" fillId="0" borderId="73"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4"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0" xfId="0" applyFont="1" applyFill="1" applyBorder="1" applyAlignment="1" applyProtection="1">
      <alignment vertical="center"/>
    </xf>
    <xf numFmtId="0" fontId="5" fillId="47" borderId="71"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5"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0"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0"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5" xfId="43" applyFont="1" applyFill="1" applyBorder="1" applyAlignment="1" applyProtection="1">
      <alignment vertical="center"/>
    </xf>
    <xf numFmtId="2" fontId="13" fillId="0" borderId="88"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7" xfId="43" applyNumberFormat="1" applyFont="1" applyFill="1" applyBorder="1" applyAlignment="1" applyProtection="1">
      <alignment horizontal="center" vertical="center"/>
      <protection hidden="1"/>
    </xf>
    <xf numFmtId="2" fontId="4" fillId="0" borderId="88"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10" xfId="0" applyBorder="1" applyProtection="1">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1" xfId="0" applyFill="1" applyBorder="1" applyAlignment="1" applyProtection="1">
      <alignment horizontal="center" vertical="center"/>
    </xf>
    <xf numFmtId="0" fontId="13" fillId="0" borderId="88"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0" xfId="0" applyFont="1" applyFill="1" applyBorder="1" applyAlignment="1" applyProtection="1">
      <alignment horizontal="center" vertical="center"/>
      <protection hidden="1"/>
    </xf>
    <xf numFmtId="0" fontId="13" fillId="47" borderId="112"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3"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88" xfId="0" applyNumberFormat="1" applyFill="1" applyBorder="1" applyAlignment="1" applyProtection="1">
      <alignment horizontal="center" vertical="center"/>
      <protection hidden="1"/>
    </xf>
    <xf numFmtId="2" fontId="13" fillId="0" borderId="88" xfId="0" applyNumberFormat="1" applyFont="1" applyFill="1" applyBorder="1" applyAlignment="1" applyProtection="1">
      <alignment horizontal="center" vertical="center"/>
      <protection hidden="1"/>
    </xf>
    <xf numFmtId="2" fontId="0" fillId="0" borderId="83"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88" xfId="0" applyNumberFormat="1" applyFont="1" applyBorder="1" applyAlignment="1" applyProtection="1">
      <alignment horizontal="center" vertical="center"/>
      <protection hidden="1"/>
    </xf>
    <xf numFmtId="2" fontId="4" fillId="0" borderId="83" xfId="0" applyNumberFormat="1" applyFont="1" applyBorder="1" applyAlignment="1" applyProtection="1">
      <alignment horizontal="center" vertical="center"/>
      <protection hidden="1"/>
    </xf>
    <xf numFmtId="1" fontId="4" fillId="0" borderId="57" xfId="0" applyNumberFormat="1" applyFont="1" applyFill="1" applyBorder="1" applyAlignment="1" applyProtection="1">
      <alignment horizontal="center" vertical="center"/>
      <protection hidden="1"/>
    </xf>
    <xf numFmtId="2" fontId="4" fillId="0" borderId="83" xfId="0" applyNumberFormat="1" applyFont="1" applyFill="1" applyBorder="1" applyAlignment="1" applyProtection="1">
      <alignment horizontal="center" vertical="center"/>
      <protection hidden="1"/>
    </xf>
    <xf numFmtId="1" fontId="5" fillId="0" borderId="144" xfId="0" applyNumberFormat="1" applyFont="1" applyFill="1" applyBorder="1" applyAlignment="1" applyProtection="1">
      <alignment horizontal="center" vertical="center"/>
      <protection hidden="1"/>
    </xf>
    <xf numFmtId="0" fontId="0" fillId="0" borderId="147" xfId="0" applyFill="1" applyBorder="1" applyAlignment="1" applyProtection="1">
      <alignment horizontal="center" vertical="center"/>
    </xf>
    <xf numFmtId="1" fontId="5" fillId="0" borderId="148" xfId="0" applyNumberFormat="1" applyFont="1" applyFill="1" applyBorder="1" applyAlignment="1" applyProtection="1">
      <alignment horizontal="center" vertical="center"/>
      <protection hidden="1"/>
    </xf>
    <xf numFmtId="1" fontId="5" fillId="43" borderId="76" xfId="0" applyNumberFormat="1" applyFont="1" applyFill="1" applyBorder="1" applyAlignment="1" applyProtection="1">
      <alignment horizontal="center" vertical="center"/>
      <protection hidden="1"/>
    </xf>
    <xf numFmtId="1" fontId="5" fillId="43" borderId="86" xfId="0" applyNumberFormat="1" applyFont="1" applyFill="1" applyBorder="1" applyAlignment="1" applyProtection="1">
      <alignment horizontal="center" vertical="center"/>
      <protection hidden="1"/>
    </xf>
    <xf numFmtId="0" fontId="5" fillId="3" borderId="86"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5"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5" xfId="0" applyNumberFormat="1" applyFont="1" applyFill="1" applyBorder="1" applyAlignment="1" applyProtection="1">
      <alignment horizontal="center" vertical="center"/>
      <protection hidden="1"/>
    </xf>
    <xf numFmtId="1" fontId="5" fillId="0" borderId="63" xfId="0" applyNumberFormat="1" applyFont="1" applyFill="1" applyBorder="1" applyAlignment="1" applyProtection="1">
      <alignment horizontal="center" vertical="center"/>
      <protection hidden="1"/>
    </xf>
    <xf numFmtId="0" fontId="0" fillId="0" borderId="66" xfId="0" applyBorder="1"/>
    <xf numFmtId="0" fontId="4" fillId="0" borderId="172" xfId="0" applyFont="1" applyBorder="1"/>
    <xf numFmtId="0" fontId="0" fillId="0" borderId="172"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4"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1"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3" xfId="0" applyFont="1" applyFill="1" applyBorder="1" applyAlignment="1" applyProtection="1">
      <alignment vertical="center"/>
    </xf>
    <xf numFmtId="0" fontId="62" fillId="0" borderId="9" xfId="0" applyFont="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0"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88"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88"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19" xfId="0" applyFont="1" applyFill="1" applyBorder="1" applyAlignment="1">
      <alignment horizontal="center" vertical="center" wrapText="1"/>
    </xf>
    <xf numFmtId="0" fontId="41" fillId="47" borderId="120" xfId="0" applyFont="1" applyFill="1" applyBorder="1" applyAlignment="1">
      <alignment horizontal="center" vertical="center" wrapText="1"/>
    </xf>
    <xf numFmtId="1" fontId="41" fillId="47" borderId="72"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49" fontId="23" fillId="39" borderId="28" xfId="63" applyNumberFormat="1" applyFont="1" applyFill="1" applyBorder="1" applyAlignment="1">
      <alignment horizontal="left" vertical="center"/>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2"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vertical="center"/>
      <protection hidden="1"/>
    </xf>
    <xf numFmtId="0" fontId="5" fillId="0" borderId="53"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2"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69"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5"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7" xfId="0" applyFont="1" applyBorder="1" applyAlignment="1" applyProtection="1">
      <alignment horizontal="center" vertical="center"/>
      <protection hidden="1"/>
    </xf>
    <xf numFmtId="0" fontId="5" fillId="0" borderId="95"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3" fillId="0" borderId="0" xfId="0" applyFont="1" applyAlignment="1" applyProtection="1">
      <alignment horizontal="left" vertical="center"/>
      <protection hidden="1"/>
    </xf>
    <xf numFmtId="1" fontId="4" fillId="0" borderId="98" xfId="0" applyNumberFormat="1" applyFont="1" applyBorder="1" applyAlignment="1" applyProtection="1">
      <alignment horizontal="center" vertical="center"/>
      <protection hidden="1"/>
    </xf>
    <xf numFmtId="1" fontId="4" fillId="0" borderId="13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18"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0" xfId="43" applyFont="1" applyFill="1" applyBorder="1" applyAlignment="1" applyProtection="1">
      <alignment horizontal="center" vertical="center"/>
      <protection hidden="1"/>
    </xf>
    <xf numFmtId="0" fontId="13" fillId="47" borderId="81" xfId="43" applyFont="1" applyFill="1" applyBorder="1" applyAlignment="1" applyProtection="1">
      <alignment horizontal="center" vertical="center"/>
      <protection hidden="1"/>
    </xf>
    <xf numFmtId="0" fontId="13" fillId="47" borderId="111" xfId="43"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5" xfId="43" applyFont="1" applyFill="1" applyBorder="1" applyAlignment="1" applyProtection="1">
      <alignment horizontal="center" vertical="center"/>
      <protection hidden="1"/>
    </xf>
    <xf numFmtId="0" fontId="13" fillId="0" borderId="82" xfId="43" applyFont="1" applyFill="1" applyBorder="1" applyAlignment="1" applyProtection="1">
      <alignment vertical="center"/>
      <protection hidden="1"/>
    </xf>
    <xf numFmtId="1" fontId="13" fillId="0" borderId="84"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82"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3"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5"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88"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5" xfId="0" applyFont="1" applyBorder="1" applyAlignment="1" applyProtection="1">
      <alignment vertical="center"/>
      <protection hidden="1"/>
    </xf>
    <xf numFmtId="0" fontId="4" fillId="0" borderId="56" xfId="0" applyFont="1" applyBorder="1" applyAlignment="1" applyProtection="1">
      <alignment horizontal="center" vertical="center"/>
      <protection hidden="1"/>
    </xf>
    <xf numFmtId="0" fontId="4" fillId="0" borderId="91"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19" xfId="0" applyFont="1" applyBorder="1" applyProtection="1">
      <protection hidden="1"/>
    </xf>
    <xf numFmtId="0" fontId="4" fillId="0" borderId="12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1"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2"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0" xfId="0" applyFont="1" applyFill="1" applyBorder="1" applyAlignment="1" applyProtection="1">
      <alignment horizontal="center" vertical="center" shrinkToFit="1"/>
      <protection locked="0"/>
    </xf>
    <xf numFmtId="2" fontId="13" fillId="50" borderId="144" xfId="0" applyNumberFormat="1" applyFont="1" applyFill="1" applyBorder="1" applyAlignment="1" applyProtection="1">
      <alignment horizontal="center" vertical="center" shrinkToFit="1"/>
      <protection locked="0"/>
    </xf>
    <xf numFmtId="167" fontId="13" fillId="50" borderId="165" xfId="0" applyNumberFormat="1" applyFont="1" applyFill="1" applyBorder="1" applyAlignment="1" applyProtection="1">
      <alignment horizontal="center" vertical="center" shrinkToFit="1"/>
      <protection locked="0"/>
    </xf>
    <xf numFmtId="167" fontId="13" fillId="50" borderId="169" xfId="0" applyNumberFormat="1" applyFont="1" applyFill="1" applyBorder="1" applyAlignment="1" applyProtection="1">
      <alignment horizontal="center" vertical="center" shrinkToFit="1"/>
      <protection locked="0"/>
    </xf>
    <xf numFmtId="2" fontId="0" fillId="50" borderId="16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169" xfId="0" applyNumberFormat="1" applyFill="1" applyBorder="1" applyAlignment="1" applyProtection="1">
      <alignment horizontal="center" vertical="center" shrinkToFit="1"/>
      <protection locked="0"/>
    </xf>
    <xf numFmtId="2" fontId="13" fillId="50" borderId="148" xfId="0" applyNumberFormat="1" applyFont="1" applyFill="1" applyBorder="1" applyAlignment="1" applyProtection="1">
      <alignment horizontal="center" vertical="center" shrinkToFit="1"/>
      <protection locked="0"/>
    </xf>
    <xf numFmtId="167" fontId="13" fillId="50" borderId="116" xfId="0" applyNumberFormat="1" applyFont="1" applyFill="1" applyBorder="1" applyAlignment="1" applyProtection="1">
      <alignment horizontal="center" vertical="center" shrinkToFit="1"/>
      <protection locked="0"/>
    </xf>
    <xf numFmtId="167" fontId="13" fillId="50" borderId="97"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16" xfId="0" applyNumberFormat="1" applyFill="1" applyBorder="1" applyAlignment="1" applyProtection="1">
      <alignment horizontal="center" vertical="center" shrinkToFit="1"/>
      <protection locked="0"/>
    </xf>
    <xf numFmtId="2" fontId="0" fillId="50" borderId="97" xfId="0" applyNumberFormat="1" applyFill="1" applyBorder="1" applyAlignment="1" applyProtection="1">
      <alignment horizontal="center" vertical="center" shrinkToFit="1"/>
      <protection locked="0"/>
    </xf>
    <xf numFmtId="2" fontId="0" fillId="50" borderId="63" xfId="0" applyNumberForma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4"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3"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4"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1"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7" xfId="0" applyNumberFormat="1" applyBorder="1" applyAlignment="1" applyProtection="1">
      <alignment horizontal="center" vertical="center"/>
      <protection hidden="1"/>
    </xf>
    <xf numFmtId="167" fontId="0" fillId="0" borderId="94"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4" xfId="0" applyFont="1" applyBorder="1" applyAlignment="1">
      <alignment vertical="center"/>
    </xf>
    <xf numFmtId="0" fontId="8" fillId="0" borderId="113"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167" fontId="4" fillId="0" borderId="125" xfId="0" applyNumberFormat="1" applyFont="1" applyBorder="1" applyAlignment="1" applyProtection="1">
      <alignment horizontal="center" vertical="center" wrapText="1"/>
      <protection hidden="1"/>
    </xf>
    <xf numFmtId="167" fontId="4" fillId="0" borderId="155" xfId="0" applyNumberFormat="1" applyFont="1" applyBorder="1" applyAlignment="1" applyProtection="1">
      <alignment horizontal="center" vertical="center" wrapText="1"/>
      <protection hidden="1"/>
    </xf>
    <xf numFmtId="167" fontId="0" fillId="0" borderId="189" xfId="0" applyNumberFormat="1" applyBorder="1" applyAlignment="1" applyProtection="1">
      <alignment horizontal="center" vertical="center"/>
      <protection hidden="1"/>
    </xf>
    <xf numFmtId="0" fontId="4" fillId="4" borderId="164" xfId="0" applyFont="1" applyFill="1" applyBorder="1" applyAlignment="1">
      <alignment horizontal="center" vertical="center"/>
    </xf>
    <xf numFmtId="0" fontId="4" fillId="4" borderId="166" xfId="0" applyFont="1" applyFill="1" applyBorder="1" applyAlignment="1">
      <alignment horizontal="center" vertical="center"/>
    </xf>
    <xf numFmtId="0" fontId="0" fillId="47" borderId="191" xfId="0" applyFill="1" applyBorder="1" applyAlignment="1">
      <alignment horizontal="center"/>
    </xf>
    <xf numFmtId="0" fontId="0" fillId="47" borderId="17" xfId="0" applyFill="1" applyBorder="1" applyAlignment="1">
      <alignment horizontal="center" vertical="center"/>
    </xf>
    <xf numFmtId="0" fontId="4" fillId="47" borderId="188" xfId="0" applyFont="1" applyFill="1" applyBorder="1" applyAlignment="1">
      <alignment horizontal="center"/>
    </xf>
    <xf numFmtId="0" fontId="4" fillId="47" borderId="192" xfId="0" applyFont="1" applyFill="1" applyBorder="1" applyAlignment="1">
      <alignment horizontal="center"/>
    </xf>
    <xf numFmtId="0" fontId="4" fillId="47" borderId="194" xfId="0" applyFont="1" applyFill="1" applyBorder="1" applyAlignment="1">
      <alignment horizontal="center"/>
    </xf>
    <xf numFmtId="167" fontId="0" fillId="0" borderId="152"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7" xfId="0" applyNumberFormat="1" applyFont="1" applyFill="1" applyBorder="1" applyAlignment="1" applyProtection="1">
      <alignment horizontal="center" vertical="center" shrinkToFit="1"/>
      <protection locked="0"/>
    </xf>
    <xf numFmtId="0" fontId="5" fillId="0" borderId="208" xfId="0" applyFont="1" applyBorder="1" applyAlignment="1">
      <alignment horizontal="center"/>
    </xf>
    <xf numFmtId="2" fontId="0" fillId="50" borderId="152" xfId="0" applyNumberFormat="1" applyFill="1" applyBorder="1" applyAlignment="1" applyProtection="1">
      <alignment horizontal="center" vertical="center" shrinkToFit="1"/>
      <protection locked="0"/>
    </xf>
    <xf numFmtId="2" fontId="0" fillId="50" borderId="153" xfId="0" applyNumberFormat="1" applyFill="1" applyBorder="1" applyAlignment="1" applyProtection="1">
      <alignment horizontal="center" vertical="center" shrinkToFit="1"/>
      <protection locked="0"/>
    </xf>
    <xf numFmtId="2" fontId="0" fillId="50" borderId="188" xfId="0" applyNumberFormat="1" applyFill="1" applyBorder="1" applyAlignment="1" applyProtection="1">
      <alignment horizontal="center" vertical="center" shrinkToFit="1"/>
      <protection locked="0"/>
    </xf>
    <xf numFmtId="0" fontId="5" fillId="0" borderId="213" xfId="0" applyFont="1" applyBorder="1" applyAlignment="1">
      <alignment horizontal="center"/>
    </xf>
    <xf numFmtId="0" fontId="5" fillId="0" borderId="163" xfId="0" applyFont="1" applyBorder="1" applyAlignment="1">
      <alignment horizontal="center"/>
    </xf>
    <xf numFmtId="0" fontId="5" fillId="0" borderId="188" xfId="0" applyFont="1" applyBorder="1" applyAlignment="1">
      <alignment horizontal="center"/>
    </xf>
    <xf numFmtId="0" fontId="5" fillId="0" borderId="214" xfId="0" applyFont="1" applyBorder="1" applyAlignment="1">
      <alignment horizontal="center"/>
    </xf>
    <xf numFmtId="2" fontId="0" fillId="0" borderId="66" xfId="0" applyNumberFormat="1" applyBorder="1" applyAlignment="1">
      <alignment horizontal="center" vertical="center"/>
    </xf>
    <xf numFmtId="2" fontId="0" fillId="0" borderId="164" xfId="0" applyNumberFormat="1" applyBorder="1" applyAlignment="1">
      <alignment horizontal="center" vertical="center"/>
    </xf>
    <xf numFmtId="2" fontId="0" fillId="0" borderId="152" xfId="0" applyNumberFormat="1" applyBorder="1" applyAlignment="1">
      <alignment horizontal="center" vertical="center"/>
    </xf>
    <xf numFmtId="2" fontId="0" fillId="0" borderId="173" xfId="0" applyNumberFormat="1" applyBorder="1" applyAlignment="1">
      <alignment horizontal="center" vertical="center"/>
    </xf>
    <xf numFmtId="2" fontId="0" fillId="0" borderId="116" xfId="0" applyNumberFormat="1" applyBorder="1" applyAlignment="1">
      <alignment horizontal="center" vertical="center"/>
    </xf>
    <xf numFmtId="2" fontId="0" fillId="0" borderId="205" xfId="0" applyNumberFormat="1" applyBorder="1" applyAlignment="1">
      <alignment horizontal="center" vertical="center"/>
    </xf>
    <xf numFmtId="2" fontId="0" fillId="0" borderId="153" xfId="0" applyNumberFormat="1" applyBorder="1" applyAlignment="1">
      <alignment horizontal="center" vertical="center"/>
    </xf>
    <xf numFmtId="2" fontId="0" fillId="0" borderId="67" xfId="0" applyNumberFormat="1" applyBorder="1" applyAlignment="1">
      <alignment horizontal="center" vertical="center"/>
    </xf>
    <xf numFmtId="2" fontId="0" fillId="0" borderId="190" xfId="0" applyNumberFormat="1" applyBorder="1" applyAlignment="1">
      <alignment horizontal="center" vertical="center"/>
    </xf>
    <xf numFmtId="2" fontId="0" fillId="0" borderId="189" xfId="0" applyNumberFormat="1" applyBorder="1" applyAlignment="1">
      <alignment horizontal="center" vertical="center"/>
    </xf>
    <xf numFmtId="2" fontId="0" fillId="0" borderId="64" xfId="0" applyNumberFormat="1" applyBorder="1" applyAlignment="1">
      <alignment horizontal="center" vertical="center"/>
    </xf>
    <xf numFmtId="2" fontId="0" fillId="0" borderId="206" xfId="0" applyNumberFormat="1" applyBorder="1" applyAlignment="1">
      <alignment horizontal="center" vertical="center"/>
    </xf>
    <xf numFmtId="2" fontId="0" fillId="0" borderId="207"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1"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69" xfId="0" applyFont="1" applyBorder="1"/>
    <xf numFmtId="0" fontId="88" fillId="0" borderId="71"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69"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69"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15" xfId="0" applyFont="1" applyFill="1" applyBorder="1" applyAlignment="1">
      <alignment horizontal="center" vertical="center"/>
    </xf>
    <xf numFmtId="0" fontId="5" fillId="43" borderId="214" xfId="0" applyFont="1" applyFill="1" applyBorder="1" applyAlignment="1">
      <alignment horizontal="center" vertical="center"/>
    </xf>
    <xf numFmtId="0" fontId="5" fillId="43" borderId="208" xfId="0" applyFont="1" applyFill="1" applyBorder="1" applyAlignment="1">
      <alignment horizontal="center"/>
    </xf>
    <xf numFmtId="0" fontId="5" fillId="43" borderId="214"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3" xfId="0" applyFont="1" applyBorder="1" applyAlignment="1">
      <alignment horizontal="center" vertical="center"/>
    </xf>
    <xf numFmtId="0" fontId="0" fillId="50" borderId="117" xfId="0" applyFill="1" applyBorder="1" applyAlignment="1" applyProtection="1">
      <alignment horizontal="center" vertical="center"/>
      <protection locked="0"/>
    </xf>
    <xf numFmtId="0" fontId="4" fillId="0" borderId="185" xfId="0" applyFont="1" applyBorder="1" applyAlignment="1">
      <alignment horizontal="center" vertical="center"/>
    </xf>
    <xf numFmtId="0" fontId="4" fillId="0" borderId="186" xfId="0" applyFont="1" applyBorder="1" applyAlignment="1">
      <alignment horizontal="center" vertical="center"/>
    </xf>
    <xf numFmtId="0" fontId="5" fillId="0" borderId="182" xfId="0" applyFont="1" applyBorder="1" applyAlignment="1">
      <alignment vertical="center" wrapText="1"/>
    </xf>
    <xf numFmtId="0" fontId="0" fillId="0" borderId="185" xfId="0" applyBorder="1" applyAlignment="1">
      <alignment horizontal="center" vertical="center"/>
    </xf>
    <xf numFmtId="0" fontId="4" fillId="50" borderId="175" xfId="0" applyFont="1" applyFill="1" applyBorder="1" applyAlignment="1" applyProtection="1">
      <alignment horizontal="center" vertical="center"/>
      <protection locked="0"/>
    </xf>
    <xf numFmtId="0" fontId="0" fillId="0" borderId="200" xfId="0" applyBorder="1" applyAlignment="1">
      <alignment horizontal="center" vertical="center"/>
    </xf>
    <xf numFmtId="0" fontId="4" fillId="50" borderId="201" xfId="0" applyFont="1" applyFill="1" applyBorder="1" applyAlignment="1" applyProtection="1">
      <alignment horizontal="center" vertical="center"/>
      <protection locked="0"/>
    </xf>
    <xf numFmtId="0" fontId="0" fillId="0" borderId="190" xfId="0" applyBorder="1" applyAlignment="1">
      <alignment horizontal="center" vertical="center"/>
    </xf>
    <xf numFmtId="0" fontId="0" fillId="0" borderId="166" xfId="0" applyBorder="1" applyAlignment="1">
      <alignment horizontal="center" vertical="center"/>
    </xf>
    <xf numFmtId="0" fontId="0" fillId="50" borderId="116" xfId="0" applyFill="1" applyBorder="1" applyAlignment="1" applyProtection="1">
      <alignment horizontal="center" vertical="center"/>
      <protection locked="0"/>
    </xf>
    <xf numFmtId="0" fontId="0" fillId="0" borderId="186"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0"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0"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1"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4"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5" xfId="63" applyNumberFormat="1" applyFont="1" applyFill="1" applyBorder="1" applyAlignment="1">
      <alignment horizontal="center" vertical="center"/>
    </xf>
    <xf numFmtId="167" fontId="13" fillId="0" borderId="54"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49" fontId="13" fillId="0" borderId="30" xfId="63" applyNumberFormat="1" applyFont="1" applyFill="1" applyBorder="1" applyAlignment="1">
      <alignment horizontal="center" vertical="center"/>
    </xf>
    <xf numFmtId="49" fontId="13" fillId="0" borderId="70"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13" fillId="0" borderId="31" xfId="0"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2" xfId="0" applyFont="1" applyBorder="1" applyAlignment="1" applyProtection="1">
      <alignment vertical="center"/>
      <protection hidden="1"/>
    </xf>
    <xf numFmtId="0" fontId="0" fillId="0" borderId="53" xfId="0" applyBorder="1" applyAlignment="1" applyProtection="1">
      <alignment vertical="center"/>
      <protection hidden="1"/>
    </xf>
    <xf numFmtId="0" fontId="0" fillId="0" borderId="53" xfId="0" applyBorder="1" applyAlignment="1">
      <alignment vertical="center"/>
    </xf>
    <xf numFmtId="0" fontId="0" fillId="0" borderId="18" xfId="0" applyBorder="1" applyAlignment="1">
      <alignment vertical="center"/>
    </xf>
    <xf numFmtId="0" fontId="17" fillId="0" borderId="0" xfId="0" applyFont="1"/>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0" fontId="4" fillId="0" borderId="42" xfId="0" applyFont="1" applyBorder="1" applyAlignment="1" applyProtection="1">
      <alignment horizontal="center" vertical="center"/>
      <protection hidden="1"/>
    </xf>
    <xf numFmtId="2" fontId="0" fillId="0" borderId="166" xfId="0" applyNumberFormat="1" applyBorder="1" applyAlignment="1">
      <alignment horizontal="center" vertical="center"/>
    </xf>
    <xf numFmtId="2" fontId="0" fillId="0" borderId="193" xfId="0" applyNumberFormat="1" applyBorder="1" applyAlignment="1">
      <alignment horizontal="center" vertical="center"/>
    </xf>
    <xf numFmtId="0" fontId="0" fillId="0" borderId="51" xfId="0" applyBorder="1" applyAlignment="1" applyProtection="1">
      <alignment shrinkToFit="1"/>
      <protection hidden="1"/>
    </xf>
    <xf numFmtId="2" fontId="0" fillId="0" borderId="217" xfId="0" applyNumberFormat="1" applyBorder="1" applyAlignment="1">
      <alignment horizontal="center" vertical="center"/>
    </xf>
    <xf numFmtId="2" fontId="0" fillId="0" borderId="218" xfId="0" applyNumberFormat="1" applyBorder="1" applyAlignment="1">
      <alignment horizontal="center" vertical="center"/>
    </xf>
    <xf numFmtId="2" fontId="0" fillId="0" borderId="219" xfId="0" applyNumberFormat="1" applyBorder="1" applyAlignment="1">
      <alignment horizontal="center" vertical="center"/>
    </xf>
    <xf numFmtId="2" fontId="0" fillId="0" borderId="220" xfId="0" applyNumberFormat="1" applyBorder="1" applyAlignment="1">
      <alignment horizontal="center" vertical="center"/>
    </xf>
    <xf numFmtId="2" fontId="0" fillId="0" borderId="221" xfId="0" applyNumberFormat="1" applyBorder="1" applyAlignment="1">
      <alignment horizontal="center" vertical="center"/>
    </xf>
    <xf numFmtId="2" fontId="0" fillId="0" borderId="222" xfId="0" applyNumberFormat="1" applyBorder="1" applyAlignment="1">
      <alignment horizontal="center" vertical="center"/>
    </xf>
    <xf numFmtId="2" fontId="0" fillId="0" borderId="125" xfId="0" applyNumberFormat="1" applyBorder="1" applyAlignment="1">
      <alignment horizontal="center" vertical="center"/>
    </xf>
    <xf numFmtId="2" fontId="0" fillId="0" borderId="165" xfId="0" applyNumberFormat="1" applyBorder="1" applyAlignment="1">
      <alignment horizontal="center" vertical="center"/>
    </xf>
    <xf numFmtId="2" fontId="0" fillId="0" borderId="223"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4" xfId="0" applyFont="1" applyBorder="1" applyAlignment="1" applyProtection="1">
      <alignment shrinkToFit="1"/>
      <protection hidden="1"/>
    </xf>
    <xf numFmtId="167" fontId="4" fillId="0" borderId="125" xfId="0" applyNumberFormat="1" applyFont="1" applyBorder="1" applyAlignment="1">
      <alignment horizontal="center"/>
    </xf>
    <xf numFmtId="167" fontId="4" fillId="0" borderId="224" xfId="0" applyNumberFormat="1" applyFont="1" applyBorder="1" applyAlignment="1">
      <alignment horizontal="center"/>
    </xf>
    <xf numFmtId="167" fontId="4" fillId="0" borderId="150" xfId="0" applyNumberFormat="1" applyFont="1" applyBorder="1" applyAlignment="1">
      <alignment horizontal="center"/>
    </xf>
    <xf numFmtId="167" fontId="4" fillId="0" borderId="173" xfId="0" applyNumberFormat="1" applyFont="1" applyBorder="1" applyAlignment="1">
      <alignment horizontal="center"/>
    </xf>
    <xf numFmtId="167" fontId="4" fillId="0" borderId="223" xfId="0" applyNumberFormat="1" applyFont="1" applyBorder="1" applyAlignment="1">
      <alignment horizontal="center"/>
    </xf>
    <xf numFmtId="0" fontId="4" fillId="0" borderId="86" xfId="0" applyFont="1" applyBorder="1" applyAlignment="1" applyProtection="1">
      <alignment shrinkToFit="1"/>
      <protection hidden="1"/>
    </xf>
    <xf numFmtId="167" fontId="4" fillId="0" borderId="67" xfId="0" applyNumberFormat="1" applyFont="1" applyBorder="1" applyAlignment="1">
      <alignment horizontal="center"/>
    </xf>
    <xf numFmtId="167" fontId="0" fillId="0" borderId="225" xfId="0" applyNumberFormat="1" applyBorder="1" applyAlignment="1">
      <alignment horizontal="center"/>
    </xf>
    <xf numFmtId="167" fontId="0" fillId="0" borderId="139" xfId="0" applyNumberFormat="1" applyBorder="1" applyAlignment="1">
      <alignment horizontal="center"/>
    </xf>
    <xf numFmtId="167" fontId="0" fillId="0" borderId="64" xfId="0" applyNumberFormat="1" applyBorder="1" applyAlignment="1">
      <alignment horizontal="center"/>
    </xf>
    <xf numFmtId="167" fontId="0" fillId="0" borderId="67" xfId="0" applyNumberFormat="1" applyBorder="1" applyAlignment="1">
      <alignment horizontal="center"/>
    </xf>
    <xf numFmtId="167" fontId="0" fillId="0" borderId="207" xfId="0" applyNumberFormat="1" applyBorder="1" applyAlignment="1">
      <alignment horizontal="center"/>
    </xf>
    <xf numFmtId="167" fontId="4" fillId="0" borderId="64" xfId="0" applyNumberFormat="1" applyFont="1" applyBorder="1" applyAlignment="1">
      <alignment horizontal="center"/>
    </xf>
    <xf numFmtId="0" fontId="4" fillId="0" borderId="226" xfId="0" applyFont="1" applyBorder="1" applyAlignment="1" applyProtection="1">
      <alignment shrinkToFit="1"/>
      <protection hidden="1"/>
    </xf>
    <xf numFmtId="167" fontId="4" fillId="0" borderId="68" xfId="0" applyNumberFormat="1" applyFont="1" applyBorder="1" applyAlignment="1">
      <alignment horizontal="center"/>
    </xf>
    <xf numFmtId="167" fontId="4" fillId="0" borderId="181" xfId="0" applyNumberFormat="1" applyFont="1" applyBorder="1" applyAlignment="1">
      <alignment horizontal="center"/>
    </xf>
    <xf numFmtId="167" fontId="4" fillId="0" borderId="228" xfId="0" applyNumberFormat="1" applyFont="1" applyBorder="1" applyAlignment="1">
      <alignment horizontal="center"/>
    </xf>
    <xf numFmtId="167" fontId="4" fillId="0" borderId="179" xfId="0" applyNumberFormat="1" applyFont="1" applyBorder="1" applyAlignment="1">
      <alignment horizontal="center"/>
    </xf>
    <xf numFmtId="167" fontId="4" fillId="0" borderId="198" xfId="0" applyNumberFormat="1" applyFont="1" applyBorder="1" applyAlignment="1">
      <alignment horizontal="center"/>
    </xf>
    <xf numFmtId="0" fontId="4" fillId="0" borderId="144" xfId="0" applyFont="1" applyBorder="1" applyAlignment="1" applyProtection="1">
      <alignment horizontal="left"/>
      <protection hidden="1"/>
    </xf>
    <xf numFmtId="0" fontId="4" fillId="0" borderId="86" xfId="0" applyFont="1" applyBorder="1" applyAlignment="1" applyProtection="1">
      <alignment horizontal="left"/>
      <protection hidden="1"/>
    </xf>
    <xf numFmtId="0" fontId="4" fillId="0" borderId="226" xfId="0" applyFont="1" applyBorder="1" applyAlignment="1" applyProtection="1">
      <alignment horizontal="left"/>
      <protection hidden="1"/>
    </xf>
    <xf numFmtId="0" fontId="4" fillId="0" borderId="51"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5"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7"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0" xfId="0" applyFont="1" applyFill="1" applyBorder="1" applyAlignment="1" applyProtection="1">
      <alignment horizontal="center" vertical="center"/>
      <protection locked="0"/>
    </xf>
    <xf numFmtId="0" fontId="5" fillId="50" borderId="152"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149"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7" xfId="0" applyFont="1" applyFill="1" applyBorder="1" applyAlignment="1" applyProtection="1">
      <alignment horizontal="center" vertical="center"/>
      <protection locked="0"/>
    </xf>
    <xf numFmtId="0" fontId="5" fillId="50" borderId="75" xfId="0" applyFont="1" applyFill="1" applyBorder="1" applyAlignment="1" applyProtection="1">
      <alignment horizontal="center" vertical="center"/>
      <protection locked="0"/>
    </xf>
    <xf numFmtId="0" fontId="4" fillId="50" borderId="135" xfId="0" applyFont="1" applyFill="1" applyBorder="1" applyAlignment="1" applyProtection="1">
      <alignment horizontal="center" vertical="center"/>
      <protection locked="0"/>
    </xf>
    <xf numFmtId="0" fontId="4" fillId="50" borderId="138" xfId="0" applyFont="1" applyFill="1" applyBorder="1" applyAlignment="1" applyProtection="1">
      <alignment horizontal="center" vertical="center"/>
      <protection locked="0"/>
    </xf>
    <xf numFmtId="0" fontId="4" fillId="50" borderId="75" xfId="0" applyFont="1" applyFill="1" applyBorder="1" applyAlignment="1" applyProtection="1">
      <alignment horizontal="center" vertical="center"/>
      <protection locked="0"/>
    </xf>
    <xf numFmtId="0" fontId="5" fillId="50" borderId="72" xfId="43" applyFont="1" applyFill="1" applyBorder="1" applyAlignment="1" applyProtection="1">
      <alignment horizontal="center"/>
      <protection locked="0"/>
    </xf>
    <xf numFmtId="2" fontId="5" fillId="50" borderId="88" xfId="0" applyNumberFormat="1" applyFont="1" applyFill="1" applyBorder="1" applyAlignment="1" applyProtection="1">
      <alignment horizontal="center" vertical="center"/>
      <protection locked="0"/>
    </xf>
    <xf numFmtId="0" fontId="5" fillId="50" borderId="164"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16" xfId="0" applyFont="1" applyFill="1" applyBorder="1" applyAlignment="1" applyProtection="1">
      <alignment horizontal="center" vertical="center"/>
      <protection locked="0"/>
    </xf>
    <xf numFmtId="0" fontId="5" fillId="50" borderId="163" xfId="0" applyFont="1" applyFill="1" applyBorder="1" applyAlignment="1" applyProtection="1">
      <alignment horizontal="center" vertical="center"/>
      <protection locked="0"/>
    </xf>
    <xf numFmtId="0" fontId="5" fillId="50" borderId="74" xfId="0" applyFont="1" applyFill="1" applyBorder="1" applyAlignment="1" applyProtection="1">
      <alignment horizontal="center" vertical="center"/>
      <protection locked="0"/>
    </xf>
    <xf numFmtId="1" fontId="5" fillId="50" borderId="144" xfId="0" applyNumberFormat="1" applyFont="1" applyFill="1" applyBorder="1" applyAlignment="1" applyProtection="1">
      <alignment horizontal="center" vertical="center"/>
      <protection locked="0"/>
    </xf>
    <xf numFmtId="1" fontId="5" fillId="50" borderId="155" xfId="0" applyNumberFormat="1" applyFont="1" applyFill="1" applyBorder="1" applyAlignment="1" applyProtection="1">
      <alignment horizontal="center" vertical="center"/>
      <protection locked="0"/>
    </xf>
    <xf numFmtId="1" fontId="5" fillId="50" borderId="148" xfId="0" applyNumberFormat="1" applyFont="1" applyFill="1" applyBorder="1" applyAlignment="1" applyProtection="1">
      <alignment horizontal="center" vertical="center"/>
      <protection locked="0"/>
    </xf>
    <xf numFmtId="1" fontId="5" fillId="50" borderId="63"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0" xfId="0" applyNumberFormat="1" applyFont="1" applyFill="1" applyBorder="1" applyAlignment="1" applyProtection="1">
      <alignment horizontal="center" vertical="center"/>
      <protection locked="0"/>
    </xf>
    <xf numFmtId="1" fontId="5" fillId="50" borderId="145" xfId="0" applyNumberFormat="1" applyFont="1" applyFill="1" applyBorder="1" applyAlignment="1" applyProtection="1">
      <alignment horizontal="center" vertical="center"/>
      <protection locked="0"/>
    </xf>
    <xf numFmtId="1" fontId="5" fillId="50" borderId="50" xfId="0" applyNumberFormat="1" applyFont="1" applyFill="1" applyBorder="1" applyAlignment="1" applyProtection="1">
      <alignment horizontal="center" vertical="center"/>
      <protection locked="0"/>
    </xf>
    <xf numFmtId="1" fontId="0" fillId="50" borderId="173" xfId="0" applyNumberFormat="1" applyFill="1" applyBorder="1" applyAlignment="1" applyProtection="1">
      <alignment horizontal="center" vertical="center"/>
      <protection locked="0"/>
    </xf>
    <xf numFmtId="1" fontId="0" fillId="50" borderId="64" xfId="0" applyNumberFormat="1" applyFill="1" applyBorder="1" applyAlignment="1" applyProtection="1">
      <alignment horizontal="center" vertical="center"/>
      <protection locked="0"/>
    </xf>
    <xf numFmtId="1" fontId="0" fillId="50" borderId="190" xfId="0" applyNumberFormat="1" applyFill="1" applyBorder="1" applyAlignment="1" applyProtection="1">
      <alignment horizontal="center" vertical="center"/>
      <protection locked="0"/>
    </xf>
    <xf numFmtId="1" fontId="0" fillId="50" borderId="63" xfId="0" applyNumberFormat="1" applyFill="1" applyBorder="1" applyAlignment="1" applyProtection="1">
      <alignment horizontal="center" vertical="center"/>
      <protection locked="0"/>
    </xf>
    <xf numFmtId="1" fontId="0" fillId="50" borderId="166" xfId="0" applyNumberFormat="1" applyFill="1" applyBorder="1" applyAlignment="1" applyProtection="1">
      <alignment horizontal="center" vertical="center"/>
      <protection locked="0"/>
    </xf>
    <xf numFmtId="167" fontId="0" fillId="50" borderId="67" xfId="0" applyNumberFormat="1" applyFill="1" applyBorder="1" applyAlignment="1" applyProtection="1">
      <alignment horizontal="center" vertical="center"/>
      <protection locked="0"/>
    </xf>
    <xf numFmtId="167" fontId="0" fillId="50" borderId="189" xfId="0" applyNumberFormat="1" applyFill="1" applyBorder="1" applyAlignment="1" applyProtection="1">
      <alignment horizontal="center" vertical="center"/>
      <protection locked="0"/>
    </xf>
    <xf numFmtId="167" fontId="0" fillId="50" borderId="94" xfId="0" applyNumberFormat="1" applyFill="1" applyBorder="1" applyAlignment="1" applyProtection="1">
      <alignment horizontal="center" vertical="center"/>
      <protection locked="0"/>
    </xf>
    <xf numFmtId="1" fontId="0" fillId="50" borderId="186"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68" xfId="0" applyNumberFormat="1" applyFill="1" applyBorder="1" applyAlignment="1" applyProtection="1">
      <alignment horizontal="center" vertical="center"/>
      <protection locked="0"/>
    </xf>
    <xf numFmtId="167" fontId="0" fillId="50" borderId="178"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0" fontId="4" fillId="50" borderId="170" xfId="0" applyFont="1" applyFill="1" applyBorder="1" applyAlignment="1" applyProtection="1">
      <alignment horizontal="center" vertical="center"/>
      <protection locked="0"/>
    </xf>
    <xf numFmtId="0" fontId="13" fillId="50" borderId="170"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4" fillId="0" borderId="0" xfId="80" applyFont="1"/>
    <xf numFmtId="0" fontId="94" fillId="0" borderId="229" xfId="80" applyFont="1" applyFill="1" applyBorder="1" applyAlignment="1">
      <alignment horizontal="left"/>
    </xf>
    <xf numFmtId="0" fontId="96" fillId="4" borderId="229" xfId="80" applyFont="1" applyFill="1" applyBorder="1" applyAlignment="1">
      <alignment horizontal="center" wrapText="1"/>
    </xf>
    <xf numFmtId="0" fontId="96" fillId="4" borderId="229" xfId="80" applyFont="1" applyFill="1" applyBorder="1" applyAlignment="1">
      <alignment horizontal="center" vertical="center" wrapText="1"/>
    </xf>
    <xf numFmtId="0" fontId="96" fillId="0" borderId="229" xfId="80" applyFont="1" applyFill="1" applyBorder="1" applyAlignment="1">
      <alignment horizontal="center" vertical="center" wrapText="1"/>
    </xf>
    <xf numFmtId="0" fontId="96" fillId="4" borderId="230" xfId="80" applyFont="1" applyFill="1" applyBorder="1" applyAlignment="1">
      <alignment horizontal="center" vertical="center" wrapText="1"/>
    </xf>
    <xf numFmtId="0" fontId="94" fillId="0" borderId="28" xfId="80" applyFont="1" applyBorder="1"/>
    <xf numFmtId="0" fontId="94" fillId="0" borderId="7" xfId="80" applyFont="1" applyBorder="1"/>
    <xf numFmtId="0" fontId="94" fillId="0" borderId="229" xfId="80" applyFont="1" applyBorder="1"/>
    <xf numFmtId="0" fontId="18" fillId="47" borderId="7" xfId="0" applyFont="1" applyFill="1" applyBorder="1" applyAlignment="1">
      <alignment horizontal="center"/>
    </xf>
    <xf numFmtId="0" fontId="98" fillId="50" borderId="28" xfId="80" applyFont="1" applyFill="1" applyBorder="1" applyProtection="1">
      <protection locked="0"/>
    </xf>
    <xf numFmtId="0" fontId="98" fillId="50" borderId="28" xfId="80" applyFont="1" applyFill="1" applyBorder="1" applyAlignment="1" applyProtection="1">
      <alignment horizontal="center" vertical="center"/>
      <protection locked="0"/>
    </xf>
    <xf numFmtId="17" fontId="98" fillId="50" borderId="28" xfId="80" applyNumberFormat="1" applyFont="1" applyFill="1" applyBorder="1" applyAlignment="1" applyProtection="1">
      <alignment horizontal="center" vertical="center"/>
      <protection locked="0"/>
    </xf>
    <xf numFmtId="0" fontId="98" fillId="50" borderId="7" xfId="80" applyFont="1" applyFill="1" applyBorder="1" applyProtection="1">
      <protection locked="0"/>
    </xf>
    <xf numFmtId="0" fontId="98"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98" fillId="50" borderId="7" xfId="80" applyFont="1" applyFill="1" applyBorder="1" applyAlignment="1" applyProtection="1">
      <alignment vertical="center"/>
      <protection locked="0"/>
    </xf>
    <xf numFmtId="0" fontId="4" fillId="0" borderId="183" xfId="0" applyFont="1" applyBorder="1" applyAlignment="1">
      <alignment horizontal="center" vertical="center"/>
    </xf>
    <xf numFmtId="0" fontId="0" fillId="0" borderId="224" xfId="0" applyFill="1" applyBorder="1" applyAlignment="1" applyProtection="1">
      <alignment horizontal="center" vertical="center"/>
    </xf>
    <xf numFmtId="0" fontId="0" fillId="0" borderId="225" xfId="0" applyFill="1" applyBorder="1" applyAlignment="1" applyProtection="1">
      <alignment horizontal="center" vertical="center"/>
    </xf>
    <xf numFmtId="0" fontId="5" fillId="0" borderId="0" xfId="0" applyFont="1" applyAlignment="1"/>
    <xf numFmtId="0" fontId="95" fillId="0" borderId="6" xfId="80" applyFont="1" applyBorder="1" applyAlignment="1">
      <alignment horizontal="center"/>
    </xf>
    <xf numFmtId="0" fontId="54" fillId="0" borderId="0" xfId="76" applyFont="1" applyAlignment="1">
      <alignment vertical="center"/>
    </xf>
    <xf numFmtId="0" fontId="4" fillId="0" borderId="0" xfId="0" applyFont="1" applyFill="1" applyAlignment="1">
      <alignment vertical="center"/>
    </xf>
    <xf numFmtId="0" fontId="4" fillId="46" borderId="5" xfId="0" applyFont="1" applyFill="1" applyBorder="1" applyAlignment="1" applyProtection="1">
      <alignment horizontal="center" vertic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49" fontId="23" fillId="39" borderId="33" xfId="63" applyNumberFormat="1" applyFont="1" applyFill="1" applyBorder="1" applyAlignment="1">
      <alignment horizontal="left" vertical="center"/>
    </xf>
    <xf numFmtId="0" fontId="53" fillId="0" borderId="0" xfId="0" applyFont="1" applyAlignment="1" applyProtection="1">
      <alignment vertical="top"/>
      <protection hidden="1"/>
    </xf>
    <xf numFmtId="0" fontId="0" fillId="0" borderId="0" xfId="0" applyAlignment="1" applyProtection="1">
      <alignment vertical="top"/>
    </xf>
    <xf numFmtId="49" fontId="13" fillId="45" borderId="0" xfId="63" applyNumberFormat="1" applyFont="1" applyFill="1" applyBorder="1" applyAlignment="1">
      <alignment horizontal="left" vertical="center"/>
    </xf>
    <xf numFmtId="1" fontId="4" fillId="45" borderId="0" xfId="63" applyNumberFormat="1" applyFont="1" applyFill="1" applyBorder="1" applyAlignment="1">
      <alignment horizontal="center" vertical="center"/>
    </xf>
    <xf numFmtId="167" fontId="13" fillId="45" borderId="12" xfId="63" applyNumberFormat="1" applyFont="1" applyFill="1" applyBorder="1" applyAlignment="1">
      <alignment horizontal="center" vertical="center"/>
    </xf>
    <xf numFmtId="167" fontId="13" fillId="45" borderId="23" xfId="63" applyNumberFormat="1" applyFont="1" applyFill="1" applyBorder="1" applyAlignment="1">
      <alignment horizontal="center" vertical="center"/>
    </xf>
    <xf numFmtId="167" fontId="13" fillId="45" borderId="4" xfId="63" applyNumberFormat="1" applyFont="1" applyFill="1" applyBorder="1" applyAlignment="1">
      <alignment horizontal="center" vertical="center"/>
    </xf>
    <xf numFmtId="167" fontId="13" fillId="45" borderId="24" xfId="0" applyNumberFormat="1" applyFont="1" applyFill="1" applyBorder="1" applyAlignment="1">
      <alignment horizontal="center" vertical="center"/>
    </xf>
    <xf numFmtId="167" fontId="13" fillId="45" borderId="8" xfId="0" applyNumberFormat="1" applyFont="1" applyFill="1" applyBorder="1" applyAlignment="1">
      <alignment horizontal="center" vertical="center"/>
    </xf>
    <xf numFmtId="167" fontId="13" fillId="45" borderId="13" xfId="0" applyNumberFormat="1" applyFont="1" applyFill="1" applyBorder="1" applyAlignment="1">
      <alignment horizontal="center" vertical="center"/>
    </xf>
    <xf numFmtId="167" fontId="13" fillId="45" borderId="13" xfId="63" applyNumberFormat="1" applyFont="1" applyFill="1" applyBorder="1" applyAlignment="1">
      <alignment horizontal="center" vertical="center"/>
    </xf>
    <xf numFmtId="0" fontId="16" fillId="45" borderId="0" xfId="0" applyFont="1" applyFill="1" applyAlignment="1" applyProtection="1">
      <alignment horizontal="center" vertical="center"/>
      <protection locked="0"/>
    </xf>
    <xf numFmtId="0" fontId="16" fillId="45" borderId="24" xfId="0" applyFont="1" applyFill="1" applyBorder="1" applyAlignment="1" applyProtection="1">
      <alignment horizontal="center" vertical="center"/>
      <protection locked="0"/>
    </xf>
    <xf numFmtId="0" fontId="16" fillId="45" borderId="8" xfId="0" applyFont="1" applyFill="1" applyBorder="1" applyAlignment="1" applyProtection="1">
      <alignment horizontal="center" vertical="center"/>
      <protection locked="0"/>
    </xf>
    <xf numFmtId="0" fontId="16" fillId="45" borderId="13"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shrinkToFit="1"/>
      <protection locked="0"/>
    </xf>
    <xf numFmtId="0" fontId="53" fillId="47" borderId="5" xfId="0" applyFont="1" applyFill="1" applyBorder="1" applyAlignment="1" applyProtection="1">
      <alignment horizont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0" fontId="5" fillId="41" borderId="0" xfId="0" applyFont="1" applyFill="1"/>
    <xf numFmtId="0" fontId="0" fillId="41" borderId="0" xfId="0" applyFill="1"/>
    <xf numFmtId="0" fontId="4" fillId="41" borderId="0" xfId="0" applyFont="1" applyFill="1"/>
    <xf numFmtId="2" fontId="5" fillId="41" borderId="0" xfId="0" applyNumberFormat="1" applyFont="1" applyFill="1"/>
    <xf numFmtId="0" fontId="4" fillId="0" borderId="40" xfId="0" applyFont="1" applyFill="1" applyBorder="1" applyAlignment="1" applyProtection="1">
      <alignment horizontal="center" vertical="center"/>
      <protection locked="0" hidden="1"/>
    </xf>
    <xf numFmtId="1" fontId="0" fillId="0" borderId="188"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4" fillId="0" borderId="82" xfId="0" applyFont="1" applyBorder="1" applyAlignment="1" applyProtection="1">
      <alignment horizontal="left" vertical="center"/>
      <protection hidden="1"/>
    </xf>
    <xf numFmtId="0" fontId="4" fillId="0" borderId="37" xfId="0" applyFont="1" applyBorder="1" applyAlignment="1" applyProtection="1">
      <alignment horizontal="left" vertical="center"/>
      <protection hidden="1"/>
    </xf>
    <xf numFmtId="0" fontId="4" fillId="0" borderId="89" xfId="0" applyFont="1" applyBorder="1" applyAlignment="1" applyProtection="1">
      <alignment horizontal="left" vertical="center"/>
      <protection hidden="1"/>
    </xf>
    <xf numFmtId="0" fontId="16" fillId="50" borderId="67" xfId="0" applyFont="1" applyFill="1" applyBorder="1" applyAlignment="1" applyProtection="1">
      <alignment vertical="center"/>
      <protection locked="0"/>
    </xf>
    <xf numFmtId="0" fontId="16" fillId="50" borderId="94" xfId="0" applyFont="1" applyFill="1" applyBorder="1" applyAlignment="1" applyProtection="1">
      <alignment vertical="center"/>
      <protection locked="0"/>
    </xf>
    <xf numFmtId="1" fontId="5" fillId="0" borderId="128" xfId="0" applyNumberFormat="1" applyFont="1" applyBorder="1" applyAlignment="1" applyProtection="1">
      <alignment horizontal="center" vertical="center"/>
      <protection hidden="1"/>
    </xf>
    <xf numFmtId="1" fontId="5" fillId="0" borderId="123" xfId="0" applyNumberFormat="1" applyFont="1" applyBorder="1" applyAlignment="1" applyProtection="1">
      <alignment horizontal="center" vertical="center"/>
      <protection hidden="1"/>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2" xfId="0" applyNumberFormat="1" applyFont="1" applyBorder="1" applyAlignment="1" applyProtection="1">
      <alignment horizontal="center" vertical="center"/>
      <protection hidden="1"/>
    </xf>
    <xf numFmtId="1" fontId="5" fillId="0" borderId="187" xfId="0" applyNumberFormat="1" applyFont="1" applyBorder="1" applyAlignment="1" applyProtection="1">
      <alignment horizontal="center" vertical="center"/>
      <protection hidden="1"/>
    </xf>
    <xf numFmtId="1" fontId="5" fillId="0" borderId="163" xfId="0" applyNumberFormat="1" applyFont="1" applyBorder="1" applyAlignment="1" applyProtection="1">
      <alignment horizontal="center" vertical="center"/>
      <protection hidden="1"/>
    </xf>
    <xf numFmtId="1" fontId="5" fillId="0" borderId="214" xfId="0" applyNumberFormat="1" applyFont="1" applyBorder="1" applyAlignment="1" applyProtection="1">
      <alignment horizontal="center" vertical="center"/>
      <protection hidden="1"/>
    </xf>
    <xf numFmtId="0" fontId="16" fillId="0" borderId="56" xfId="0" applyFont="1" applyFill="1" applyBorder="1" applyAlignment="1" applyProtection="1">
      <alignment horizontal="left" vertical="center"/>
    </xf>
    <xf numFmtId="0" fontId="16" fillId="0" borderId="58" xfId="0" applyFont="1" applyFill="1" applyBorder="1" applyAlignment="1" applyProtection="1">
      <alignment horizontal="left" vertical="center"/>
    </xf>
    <xf numFmtId="1" fontId="5" fillId="0" borderId="67" xfId="0" applyNumberFormat="1" applyFont="1" applyBorder="1" applyAlignment="1" applyProtection="1">
      <alignment horizontal="center" vertical="center"/>
      <protection hidden="1"/>
    </xf>
    <xf numFmtId="1" fontId="5" fillId="0" borderId="95" xfId="0" applyNumberFormat="1" applyFont="1" applyBorder="1" applyAlignment="1" applyProtection="1">
      <alignment horizontal="center" vertical="center"/>
      <protection hidden="1"/>
    </xf>
    <xf numFmtId="1" fontId="5" fillId="0" borderId="126" xfId="0" applyNumberFormat="1" applyFont="1" applyBorder="1" applyAlignment="1" applyProtection="1">
      <alignment horizontal="center" vertical="center"/>
      <protection hidden="1"/>
    </xf>
    <xf numFmtId="1" fontId="5" fillId="0" borderId="127" xfId="0" applyNumberFormat="1" applyFont="1" applyBorder="1" applyAlignment="1" applyProtection="1">
      <alignment horizontal="center" vertical="center"/>
      <protection hidden="1"/>
    </xf>
    <xf numFmtId="0" fontId="5" fillId="50" borderId="160" xfId="0" applyFont="1" applyFill="1" applyBorder="1" applyAlignment="1" applyProtection="1">
      <alignment horizontal="center" vertical="center"/>
      <protection locked="0"/>
    </xf>
    <xf numFmtId="0" fontId="5" fillId="50" borderId="78" xfId="0" applyFont="1" applyFill="1" applyBorder="1" applyAlignment="1" applyProtection="1">
      <alignment horizontal="center" vertical="center"/>
      <protection locked="0"/>
    </xf>
    <xf numFmtId="0" fontId="5" fillId="50" borderId="131" xfId="0" applyFont="1" applyFill="1" applyBorder="1" applyAlignment="1" applyProtection="1">
      <alignment horizontal="center" vertical="center"/>
      <protection locked="0"/>
    </xf>
    <xf numFmtId="0" fontId="5" fillId="50" borderId="168" xfId="0" applyFont="1" applyFill="1" applyBorder="1" applyAlignment="1" applyProtection="1">
      <alignment horizontal="center" vertical="center"/>
      <protection locked="0"/>
    </xf>
    <xf numFmtId="0" fontId="5" fillId="50" borderId="132" xfId="0" applyFont="1" applyFill="1" applyBorder="1" applyAlignment="1" applyProtection="1">
      <alignment horizontal="center" vertical="center"/>
      <protection locked="0"/>
    </xf>
    <xf numFmtId="0" fontId="4" fillId="47" borderId="2" xfId="0" applyFont="1" applyFill="1" applyBorder="1" applyAlignment="1">
      <alignment horizontal="center" vertical="center"/>
    </xf>
    <xf numFmtId="0" fontId="4" fillId="47" borderId="3" xfId="0" applyFont="1" applyFill="1" applyBorder="1" applyAlignment="1">
      <alignment horizontal="center" vertical="center"/>
    </xf>
    <xf numFmtId="0" fontId="4" fillId="47" borderId="16" xfId="0" applyFont="1" applyFill="1" applyBorder="1" applyAlignment="1">
      <alignment horizontal="center" vertical="center"/>
    </xf>
    <xf numFmtId="0" fontId="5" fillId="50" borderId="124" xfId="0" applyFont="1" applyFill="1" applyBorder="1" applyAlignment="1" applyProtection="1">
      <alignment horizontal="center" vertical="center"/>
      <protection locked="0"/>
    </xf>
    <xf numFmtId="0" fontId="5" fillId="50" borderId="167" xfId="0" applyFont="1" applyFill="1" applyBorder="1" applyAlignment="1" applyProtection="1">
      <alignment horizontal="center" vertical="center"/>
      <protection locked="0"/>
    </xf>
    <xf numFmtId="0" fontId="5" fillId="50" borderId="143" xfId="0" applyFont="1" applyFill="1" applyBorder="1" applyAlignment="1" applyProtection="1">
      <alignment horizontal="center" vertical="center"/>
      <protection locked="0"/>
    </xf>
    <xf numFmtId="0" fontId="5" fillId="0" borderId="89" xfId="0" applyFont="1" applyFill="1" applyBorder="1" applyAlignment="1" applyProtection="1">
      <alignment horizontal="center" vertical="center"/>
    </xf>
    <xf numFmtId="0" fontId="5" fillId="0" borderId="84" xfId="0" applyFont="1" applyFill="1" applyBorder="1" applyAlignment="1" applyProtection="1">
      <alignment horizontal="center" vertical="center"/>
    </xf>
    <xf numFmtId="0" fontId="13" fillId="0" borderId="70" xfId="0" applyFont="1" applyBorder="1" applyAlignment="1" applyProtection="1">
      <alignment horizontal="left" vertical="center"/>
    </xf>
    <xf numFmtId="0" fontId="13" fillId="0" borderId="71" xfId="0" applyFont="1" applyBorder="1" applyAlignment="1" applyProtection="1">
      <alignment horizontal="left" vertical="center"/>
    </xf>
    <xf numFmtId="0" fontId="5" fillId="0" borderId="42" xfId="0" applyFont="1" applyFill="1" applyBorder="1" applyAlignment="1" applyProtection="1">
      <alignment horizontal="center" vertical="center"/>
    </xf>
    <xf numFmtId="0" fontId="5" fillId="0" borderId="69" xfId="0" applyFont="1" applyFill="1" applyBorder="1" applyAlignment="1" applyProtection="1">
      <alignment horizontal="center" vertical="center"/>
    </xf>
    <xf numFmtId="0" fontId="13" fillId="0" borderId="90"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5" fillId="50" borderId="162" xfId="0" applyFont="1" applyFill="1" applyBorder="1" applyAlignment="1" applyProtection="1">
      <alignment horizontal="center" vertical="center"/>
      <protection locked="0"/>
    </xf>
    <xf numFmtId="0" fontId="5" fillId="47" borderId="24" xfId="0" applyFont="1" applyFill="1" applyBorder="1" applyAlignment="1" applyProtection="1">
      <alignment horizontal="center" vertical="center"/>
    </xf>
    <xf numFmtId="0" fontId="5" fillId="47" borderId="0"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5" fillId="47" borderId="81" xfId="0" applyFont="1" applyFill="1" applyBorder="1" applyAlignment="1" applyProtection="1">
      <alignment horizontal="center" vertical="center"/>
    </xf>
    <xf numFmtId="0" fontId="5" fillId="47" borderId="92" xfId="0" applyFont="1" applyFill="1" applyBorder="1" applyAlignment="1" applyProtection="1">
      <alignment horizontal="center" vertical="center"/>
    </xf>
    <xf numFmtId="0" fontId="5" fillId="50" borderId="141" xfId="0" applyFont="1" applyFill="1" applyBorder="1" applyAlignment="1" applyProtection="1">
      <alignment horizontal="center" vertical="center"/>
      <protection locked="0"/>
    </xf>
    <xf numFmtId="0" fontId="5" fillId="47" borderId="13" xfId="0" applyFont="1" applyFill="1" applyBorder="1" applyAlignment="1" applyProtection="1">
      <alignment horizontal="center" vertical="center"/>
    </xf>
    <xf numFmtId="0" fontId="5" fillId="50" borderId="146" xfId="0" applyFont="1" applyFill="1" applyBorder="1" applyAlignment="1" applyProtection="1">
      <alignment horizontal="center" vertical="center"/>
      <protection locked="0"/>
    </xf>
    <xf numFmtId="0" fontId="13" fillId="0" borderId="55" xfId="0" applyFont="1" applyBorder="1" applyAlignment="1" applyProtection="1">
      <alignment horizontal="left" vertical="center"/>
    </xf>
    <xf numFmtId="0" fontId="13" fillId="0" borderId="56"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69"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69" xfId="0" applyFont="1" applyFill="1" applyBorder="1" applyAlignment="1" applyProtection="1">
      <alignment horizontal="left" vertical="center"/>
    </xf>
    <xf numFmtId="0" fontId="13" fillId="0" borderId="91" xfId="0" applyFont="1" applyBorder="1" applyAlignment="1" applyProtection="1">
      <alignment horizontal="left" vertical="center"/>
    </xf>
    <xf numFmtId="0" fontId="13" fillId="0" borderId="84" xfId="0" applyFont="1" applyBorder="1" applyAlignment="1" applyProtection="1">
      <alignment horizontal="left" vertical="center"/>
    </xf>
    <xf numFmtId="0" fontId="5" fillId="0" borderId="0" xfId="0" applyFont="1" applyBorder="1" applyAlignment="1" applyProtection="1">
      <alignment horizontal="center" textRotation="90"/>
      <protection locked="0" hidden="1"/>
    </xf>
    <xf numFmtId="0" fontId="5" fillId="50" borderId="125" xfId="0" applyFont="1" applyFill="1" applyBorder="1" applyAlignment="1" applyProtection="1">
      <alignment horizontal="center" vertical="center"/>
      <protection locked="0"/>
    </xf>
    <xf numFmtId="0" fontId="5" fillId="50" borderId="169"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6" xfId="0" applyFont="1" applyFill="1" applyBorder="1" applyAlignment="1" applyProtection="1">
      <alignment horizontal="center" vertical="center"/>
      <protection locked="0"/>
    </xf>
    <xf numFmtId="0" fontId="5" fillId="50" borderId="97"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158" xfId="0" applyFont="1" applyFill="1" applyBorder="1" applyAlignment="1" applyProtection="1">
      <alignment horizontal="center" vertical="center"/>
      <protection locked="0"/>
    </xf>
    <xf numFmtId="0" fontId="5" fillId="50" borderId="79" xfId="0" applyFont="1" applyFill="1" applyBorder="1" applyAlignment="1" applyProtection="1">
      <alignment horizontal="center" vertical="center"/>
      <protection locked="0"/>
    </xf>
    <xf numFmtId="0" fontId="13" fillId="0" borderId="82" xfId="0" applyFont="1" applyBorder="1" applyAlignment="1" applyProtection="1">
      <alignment horizontal="left" vertical="center"/>
    </xf>
    <xf numFmtId="0" fontId="13" fillId="0" borderId="37" xfId="0" applyFont="1" applyBorder="1" applyAlignment="1" applyProtection="1">
      <alignment horizontal="left" vertical="center"/>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5" xfId="43" applyFont="1" applyFill="1" applyBorder="1" applyAlignment="1" applyProtection="1">
      <alignment horizontal="center" vertical="center"/>
    </xf>
    <xf numFmtId="0" fontId="13" fillId="0" borderId="56" xfId="43" applyFont="1" applyFill="1" applyBorder="1" applyAlignment="1" applyProtection="1">
      <alignment horizontal="center" vertical="center"/>
    </xf>
    <xf numFmtId="0" fontId="4" fillId="0" borderId="70"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13" fillId="0" borderId="58" xfId="0" applyFont="1" applyBorder="1" applyAlignment="1" applyProtection="1">
      <alignment horizontal="left" vertical="center"/>
    </xf>
    <xf numFmtId="0" fontId="4" fillId="0" borderId="82" xfId="0" applyFont="1" applyBorder="1" applyAlignment="1" applyProtection="1">
      <alignment horizontal="center" vertical="center"/>
      <protection hidden="1"/>
    </xf>
    <xf numFmtId="0" fontId="4" fillId="0" borderId="89" xfId="0" applyFont="1" applyBorder="1" applyAlignment="1" applyProtection="1">
      <alignment horizontal="center" vertical="center"/>
      <protection hidden="1"/>
    </xf>
    <xf numFmtId="0" fontId="5" fillId="50" borderId="161" xfId="0" applyFont="1" applyFill="1" applyBorder="1" applyAlignment="1" applyProtection="1">
      <alignment horizontal="center" vertical="center"/>
      <protection locked="0"/>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2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4" fillId="0" borderId="34" xfId="0" applyFont="1" applyFill="1" applyBorder="1" applyAlignment="1" applyProtection="1">
      <alignment horizontal="center" vertical="center"/>
      <protection locked="0" hidden="1"/>
    </xf>
    <xf numFmtId="0" fontId="13" fillId="0" borderId="70" xfId="0" applyFont="1" applyBorder="1" applyAlignment="1" applyProtection="1">
      <alignment horizontal="left" vertical="center"/>
      <protection hidden="1"/>
    </xf>
    <xf numFmtId="0" fontId="13" fillId="0" borderId="71"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0" fillId="0" borderId="0" xfId="0"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28" fillId="0" borderId="0" xfId="0" applyFont="1" applyAlignment="1" applyProtection="1">
      <alignment horizontal="center" vertical="center"/>
    </xf>
    <xf numFmtId="49" fontId="4" fillId="50" borderId="71" xfId="0" applyNumberFormat="1" applyFont="1" applyFill="1" applyBorder="1" applyAlignment="1" applyProtection="1">
      <alignment horizontal="left" vertical="center"/>
      <protection locked="0"/>
    </xf>
    <xf numFmtId="49" fontId="0" fillId="50" borderId="71" xfId="0" applyNumberFormat="1" applyFill="1" applyBorder="1" applyAlignment="1" applyProtection="1">
      <alignment horizontal="left" vertical="center"/>
      <protection locked="0"/>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14" fontId="4" fillId="50" borderId="6" xfId="0" applyNumberFormat="1" applyFont="1" applyFill="1" applyBorder="1" applyAlignment="1" applyProtection="1">
      <alignment horizontal="left" vertical="center"/>
      <protection locked="0"/>
    </xf>
    <xf numFmtId="14" fontId="0" fillId="50" borderId="6" xfId="0" applyNumberFormat="1" applyFill="1" applyBorder="1" applyAlignment="1" applyProtection="1">
      <alignment horizontal="left" vertical="center"/>
      <protection locked="0"/>
    </xf>
    <xf numFmtId="0" fontId="4" fillId="50" borderId="67" xfId="0" applyFont="1" applyFill="1" applyBorder="1" applyAlignment="1" applyProtection="1">
      <alignment horizontal="center" vertical="center"/>
      <protection locked="0"/>
    </xf>
    <xf numFmtId="0" fontId="4" fillId="50" borderId="94"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1"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0"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0"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98"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2"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1" xfId="0" applyFont="1" applyFill="1" applyBorder="1" applyAlignment="1" applyProtection="1">
      <alignment horizontal="center" vertical="center" wrapText="1"/>
    </xf>
    <xf numFmtId="0" fontId="16" fillId="47" borderId="92" xfId="0" applyFont="1" applyFill="1" applyBorder="1" applyAlignment="1" applyProtection="1">
      <alignment horizontal="center" vertical="center" wrapText="1"/>
    </xf>
    <xf numFmtId="0" fontId="16" fillId="47" borderId="65"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3" xfId="0" applyFont="1" applyFill="1" applyBorder="1" applyAlignment="1" applyProtection="1">
      <alignment horizontal="center" vertical="center"/>
      <protection locked="0"/>
    </xf>
    <xf numFmtId="0" fontId="4" fillId="50" borderId="134" xfId="0" applyFont="1" applyFill="1" applyBorder="1" applyAlignment="1" applyProtection="1">
      <alignment horizontal="center" vertical="center"/>
      <protection locked="0"/>
    </xf>
    <xf numFmtId="0" fontId="4" fillId="47" borderId="81" xfId="0" applyFont="1" applyFill="1" applyBorder="1" applyAlignment="1" applyProtection="1">
      <alignment horizontal="center" vertical="center"/>
      <protection hidden="1"/>
    </xf>
    <xf numFmtId="0" fontId="13" fillId="47" borderId="92" xfId="0" applyFont="1" applyFill="1" applyBorder="1" applyAlignment="1" applyProtection="1">
      <alignment horizontal="center" vertical="center"/>
      <protection hidden="1"/>
    </xf>
    <xf numFmtId="0" fontId="4" fillId="47" borderId="65"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98"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37"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4" fillId="0" borderId="70" xfId="0" applyFont="1" applyBorder="1" applyAlignment="1" applyProtection="1">
      <alignment horizontal="left" vertical="center"/>
      <protection hidden="1"/>
    </xf>
    <xf numFmtId="0" fontId="32" fillId="0" borderId="69"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5" fillId="50" borderId="159" xfId="0" applyFont="1" applyFill="1" applyBorder="1" applyAlignment="1" applyProtection="1">
      <alignment horizontal="center" vertical="center"/>
      <protection locked="0"/>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4" xfId="0" applyNumberFormat="1" applyFont="1" applyBorder="1" applyAlignment="1" applyProtection="1">
      <alignment horizontal="center" vertical="center"/>
      <protection hidden="1"/>
    </xf>
    <xf numFmtId="1" fontId="5" fillId="0" borderId="115"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1" xfId="0" applyNumberFormat="1" applyFont="1" applyBorder="1" applyAlignment="1" applyProtection="1">
      <alignment horizontal="center" vertical="center"/>
      <protection hidden="1"/>
    </xf>
    <xf numFmtId="0" fontId="4" fillId="0" borderId="70"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xf>
    <xf numFmtId="0" fontId="5" fillId="0" borderId="58" xfId="0" applyFont="1" applyFill="1" applyBorder="1" applyAlignment="1" applyProtection="1">
      <alignment horizontal="center" vertical="center"/>
    </xf>
    <xf numFmtId="0" fontId="16" fillId="0" borderId="36" xfId="0" applyFont="1" applyFill="1" applyBorder="1" applyAlignment="1" applyProtection="1">
      <alignment horizontal="left" vertical="center"/>
    </xf>
    <xf numFmtId="0" fontId="16" fillId="0" borderId="84" xfId="0" applyFont="1" applyFill="1" applyBorder="1" applyAlignment="1" applyProtection="1">
      <alignment horizontal="left" vertical="center"/>
    </xf>
    <xf numFmtId="0" fontId="13" fillId="0" borderId="52" xfId="0" applyFont="1" applyBorder="1" applyAlignment="1" applyProtection="1">
      <alignment horizontal="left" vertical="center"/>
    </xf>
    <xf numFmtId="0" fontId="13" fillId="0" borderId="53"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16" xfId="0" applyFont="1" applyFill="1" applyBorder="1" applyAlignment="1">
      <alignment horizontal="center" vertical="center"/>
    </xf>
    <xf numFmtId="0" fontId="4" fillId="47" borderId="192" xfId="0" applyFont="1" applyFill="1" applyBorder="1" applyAlignment="1">
      <alignment horizontal="center" vertical="center"/>
    </xf>
    <xf numFmtId="1" fontId="0" fillId="0" borderId="21" xfId="0" applyNumberForma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left" vertical="center"/>
    </xf>
    <xf numFmtId="0" fontId="5" fillId="47" borderId="5" xfId="0" applyFont="1" applyFill="1" applyBorder="1" applyAlignment="1">
      <alignment horizontal="left" vertical="center"/>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29" xfId="0" applyNumberFormat="1" applyFont="1" applyBorder="1" applyAlignment="1" applyProtection="1">
      <alignment horizontal="center" vertical="center"/>
      <protection hidden="1"/>
    </xf>
    <xf numFmtId="1" fontId="5" fillId="0" borderId="130" xfId="0" applyNumberFormat="1"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0"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0"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2" xfId="43" applyFont="1" applyFill="1" applyBorder="1" applyAlignment="1" applyProtection="1">
      <alignment horizontal="center" vertical="center"/>
    </xf>
    <xf numFmtId="0" fontId="4" fillId="0" borderId="59" xfId="43" applyFont="1" applyFill="1" applyBorder="1" applyAlignment="1" applyProtection="1">
      <alignment horizontal="center" vertical="center"/>
    </xf>
    <xf numFmtId="0" fontId="4" fillId="0" borderId="0" xfId="0" applyFont="1" applyAlignment="1" applyProtection="1">
      <alignment horizontal="center" vertical="center"/>
      <protection hidden="1"/>
    </xf>
    <xf numFmtId="0" fontId="16" fillId="50" borderId="68"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67" xfId="0" applyFont="1" applyBorder="1" applyAlignment="1" applyProtection="1">
      <alignment horizontal="center" vertical="center" wrapText="1"/>
      <protection hidden="1"/>
    </xf>
    <xf numFmtId="0" fontId="4" fillId="0" borderId="94" xfId="0" applyFont="1" applyBorder="1" applyAlignment="1" applyProtection="1">
      <alignment horizontal="center" vertical="center" wrapText="1"/>
      <protection hidden="1"/>
    </xf>
    <xf numFmtId="0" fontId="16" fillId="50" borderId="66" xfId="0" applyFont="1" applyFill="1" applyBorder="1" applyAlignment="1" applyProtection="1">
      <alignment vertical="center"/>
      <protection locked="0"/>
    </xf>
    <xf numFmtId="0" fontId="16" fillId="50" borderId="97"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2" xfId="0" applyFont="1" applyFill="1" applyBorder="1" applyAlignment="1" applyProtection="1">
      <alignment horizontal="center" vertical="center"/>
      <protection hidden="1"/>
    </xf>
    <xf numFmtId="0" fontId="5" fillId="0" borderId="53" xfId="0" applyFont="1" applyFill="1" applyBorder="1" applyAlignment="1" applyProtection="1">
      <alignment horizontal="center" vertical="center"/>
      <protection hidden="1"/>
    </xf>
    <xf numFmtId="0" fontId="5" fillId="0" borderId="60" xfId="0" applyFont="1" applyFill="1" applyBorder="1" applyAlignment="1" applyProtection="1">
      <alignment horizontal="center" vertical="center"/>
      <protection hidden="1"/>
    </xf>
    <xf numFmtId="0" fontId="62" fillId="43" borderId="24" xfId="0" applyFont="1" applyFill="1" applyBorder="1" applyAlignment="1">
      <alignment horizontal="center"/>
    </xf>
    <xf numFmtId="0" fontId="62" fillId="43" borderId="0" xfId="0" applyFont="1" applyFill="1" applyBorder="1" applyAlignment="1">
      <alignment horizontal="center"/>
    </xf>
    <xf numFmtId="0" fontId="62" fillId="43" borderId="9" xfId="0" applyFont="1" applyFill="1" applyBorder="1" applyAlignment="1">
      <alignment horizont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5" xfId="0" applyNumberFormat="1" applyFont="1" applyBorder="1" applyAlignment="1">
      <alignment horizontal="center" vertical="center"/>
    </xf>
    <xf numFmtId="167" fontId="4" fillId="0" borderId="169" xfId="0" applyNumberFormat="1" applyFont="1" applyBorder="1" applyAlignment="1">
      <alignment horizontal="center" vertical="center"/>
    </xf>
    <xf numFmtId="167" fontId="4" fillId="0" borderId="67" xfId="0" applyNumberFormat="1" applyFont="1" applyBorder="1" applyAlignment="1">
      <alignment horizontal="center" vertical="center"/>
    </xf>
    <xf numFmtId="167" fontId="4" fillId="0" borderId="94" xfId="0" applyNumberFormat="1" applyFont="1" applyBorder="1" applyAlignment="1">
      <alignment horizontal="center" vertical="center"/>
    </xf>
    <xf numFmtId="167" fontId="4" fillId="0" borderId="68"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223" xfId="0" applyNumberFormat="1" applyFont="1" applyBorder="1" applyAlignment="1">
      <alignment horizontal="center" vertical="center"/>
    </xf>
    <xf numFmtId="167" fontId="4" fillId="0" borderId="155" xfId="0" applyNumberFormat="1" applyFont="1" applyBorder="1" applyAlignment="1">
      <alignment horizontal="center" vertical="center"/>
    </xf>
    <xf numFmtId="167" fontId="4" fillId="0" borderId="207" xfId="0" applyNumberFormat="1" applyFont="1" applyBorder="1" applyAlignment="1">
      <alignment horizontal="center" vertical="center"/>
    </xf>
    <xf numFmtId="167" fontId="4" fillId="0" borderId="95" xfId="0" applyNumberFormat="1" applyFont="1" applyBorder="1" applyAlignment="1">
      <alignment horizontal="center" vertical="center"/>
    </xf>
    <xf numFmtId="167" fontId="4" fillId="0" borderId="198" xfId="0" applyNumberFormat="1" applyFont="1" applyBorder="1" applyAlignment="1">
      <alignment horizontal="center" vertical="center"/>
    </xf>
    <xf numFmtId="167" fontId="4" fillId="0" borderId="227" xfId="0" applyNumberFormat="1"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13" xfId="0" applyFont="1" applyFill="1" applyBorder="1" applyAlignment="1">
      <alignment horizontal="center"/>
    </xf>
    <xf numFmtId="0" fontId="4" fillId="0" borderId="198" xfId="0" applyFont="1" applyFill="1" applyBorder="1" applyAlignment="1" applyProtection="1">
      <alignment horizontal="center" vertical="center"/>
    </xf>
    <xf numFmtId="0" fontId="0" fillId="0" borderId="96" xfId="0" applyFill="1" applyBorder="1" applyAlignment="1" applyProtection="1">
      <alignment horizontal="center" vertical="center"/>
    </xf>
    <xf numFmtId="0" fontId="0" fillId="0" borderId="117" xfId="0" applyFill="1" applyBorder="1" applyAlignment="1" applyProtection="1">
      <alignment horizontal="center" vertic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5" fillId="0" borderId="199"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0" fontId="0" fillId="50" borderId="198"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117" xfId="0" applyFill="1" applyBorder="1" applyAlignment="1" applyProtection="1">
      <alignment horizontal="center" vertical="center"/>
      <protection locked="0"/>
    </xf>
    <xf numFmtId="0" fontId="0" fillId="0" borderId="1" xfId="0" applyBorder="1" applyAlignment="1">
      <alignment horizontal="center"/>
    </xf>
    <xf numFmtId="0" fontId="0" fillId="0" borderId="5" xfId="0" applyBorder="1" applyAlignment="1">
      <alignment horizontal="center"/>
    </xf>
    <xf numFmtId="0" fontId="0" fillId="0" borderId="209" xfId="0" applyBorder="1" applyAlignment="1">
      <alignment horizontal="center"/>
    </xf>
    <xf numFmtId="0" fontId="5" fillId="0" borderId="126" xfId="0" applyFont="1" applyBorder="1" applyAlignment="1">
      <alignment horizontal="center" vertical="center"/>
    </xf>
    <xf numFmtId="0" fontId="5" fillId="0" borderId="158" xfId="0" applyFont="1" applyBorder="1" applyAlignment="1">
      <alignment horizontal="center" vertical="center"/>
    </xf>
    <xf numFmtId="0" fontId="5" fillId="0" borderId="210" xfId="0" applyFont="1" applyBorder="1" applyAlignment="1">
      <alignment horizontal="center" vertical="center"/>
    </xf>
    <xf numFmtId="0" fontId="5" fillId="0" borderId="79" xfId="0" applyFont="1" applyBorder="1" applyAlignment="1">
      <alignment horizontal="center" vertical="center"/>
    </xf>
    <xf numFmtId="0" fontId="5" fillId="0" borderId="127" xfId="0" applyFont="1" applyBorder="1" applyAlignment="1">
      <alignment horizontal="center" vertical="center"/>
    </xf>
    <xf numFmtId="0" fontId="5" fillId="0" borderId="78" xfId="0" applyFont="1" applyBorder="1" applyAlignment="1">
      <alignment horizontal="center" vertical="center"/>
    </xf>
    <xf numFmtId="0" fontId="5" fillId="0" borderId="211" xfId="0" applyFont="1" applyBorder="1" applyAlignment="1">
      <alignment horizontal="center" vertical="center"/>
    </xf>
    <xf numFmtId="0" fontId="5" fillId="0" borderId="159"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08"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2" xfId="0" applyFont="1" applyBorder="1" applyAlignment="1">
      <alignment horizontal="center" vertical="center"/>
    </xf>
    <xf numFmtId="0" fontId="5" fillId="0" borderId="174" xfId="0" applyFont="1" applyBorder="1" applyAlignment="1">
      <alignment horizontal="center" vertical="center"/>
    </xf>
    <xf numFmtId="0" fontId="0" fillId="50" borderId="176" xfId="0" applyFill="1" applyBorder="1" applyAlignment="1" applyProtection="1">
      <alignment horizontal="center" vertical="center"/>
      <protection locked="0"/>
    </xf>
    <xf numFmtId="0" fontId="0" fillId="50" borderId="180" xfId="0" applyFill="1" applyBorder="1" applyAlignment="1" applyProtection="1">
      <alignment horizontal="center" vertical="center"/>
      <protection locked="0"/>
    </xf>
    <xf numFmtId="0" fontId="4" fillId="0" borderId="183" xfId="0" applyFont="1" applyBorder="1" applyAlignment="1">
      <alignment horizontal="center" wrapText="1"/>
    </xf>
    <xf numFmtId="0" fontId="4" fillId="0" borderId="184" xfId="0" applyFont="1" applyBorder="1" applyAlignment="1">
      <alignment horizontal="center" wrapText="1"/>
    </xf>
    <xf numFmtId="0" fontId="4" fillId="0" borderId="183" xfId="0" applyFont="1" applyBorder="1" applyAlignment="1">
      <alignment horizontal="center" vertical="center"/>
    </xf>
    <xf numFmtId="0" fontId="4" fillId="0" borderId="195" xfId="0" applyFont="1" applyBorder="1" applyAlignment="1">
      <alignment horizontal="center" vertical="center"/>
    </xf>
    <xf numFmtId="0" fontId="4" fillId="0" borderId="53" xfId="0" applyFont="1" applyBorder="1" applyAlignment="1">
      <alignment horizontal="center" vertical="center"/>
    </xf>
    <xf numFmtId="0" fontId="4" fillId="0" borderId="196" xfId="0" applyFont="1" applyBorder="1" applyAlignment="1">
      <alignment horizontal="center" vertical="center"/>
    </xf>
    <xf numFmtId="0" fontId="0" fillId="50" borderId="197" xfId="0" applyFill="1" applyBorder="1" applyAlignment="1" applyProtection="1">
      <alignment horizontal="center" vertical="center"/>
      <protection locked="0"/>
    </xf>
    <xf numFmtId="0" fontId="0" fillId="50" borderId="134"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0" fillId="50" borderId="178" xfId="0" applyFill="1" applyBorder="1" applyAlignment="1" applyProtection="1">
      <alignment horizontal="center" vertical="center"/>
      <protection locked="0"/>
    </xf>
    <xf numFmtId="0" fontId="0" fillId="50" borderId="181"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4" fillId="0" borderId="56" xfId="0" applyFont="1" applyBorder="1" applyAlignment="1" applyProtection="1">
      <alignment horizontal="center" vertical="center"/>
      <protection hidden="1"/>
    </xf>
    <xf numFmtId="0" fontId="0" fillId="0" borderId="57"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4" fillId="0" borderId="120" xfId="0" applyFont="1"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50" borderId="170" xfId="0" applyFill="1" applyBorder="1" applyAlignment="1" applyProtection="1">
      <alignment horizontal="center" vertical="center"/>
      <protection locked="0"/>
    </xf>
    <xf numFmtId="0" fontId="0" fillId="50" borderId="145" xfId="0" applyFill="1" applyBorder="1" applyAlignment="1" applyProtection="1">
      <alignment horizontal="center" vertical="center"/>
      <protection locked="0"/>
    </xf>
    <xf numFmtId="0" fontId="0" fillId="0" borderId="170" xfId="0" applyBorder="1" applyAlignment="1" applyProtection="1">
      <alignment horizontal="center" vertical="center"/>
      <protection hidden="1"/>
    </xf>
    <xf numFmtId="0" fontId="0" fillId="0" borderId="145"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0" fillId="50" borderId="139" xfId="0" applyFill="1" applyBorder="1" applyAlignment="1" applyProtection="1">
      <alignment horizontal="center" vertical="center"/>
      <protection locked="0"/>
    </xf>
    <xf numFmtId="0" fontId="0" fillId="50" borderId="137" xfId="0" applyFill="1" applyBorder="1" applyAlignment="1" applyProtection="1">
      <alignment horizontal="center" vertical="center"/>
      <protection locked="0"/>
    </xf>
    <xf numFmtId="0" fontId="0" fillId="0" borderId="21" xfId="0"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4" fillId="0" borderId="121" xfId="0" applyFont="1"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0" borderId="150"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58" xfId="0" applyFont="1" applyBorder="1" applyAlignment="1" applyProtection="1">
      <alignment horizontal="center" vertical="center"/>
      <protection hidden="1"/>
    </xf>
    <xf numFmtId="0" fontId="4" fillId="0" borderId="59"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4" xfId="0" applyBorder="1" applyAlignment="1" applyProtection="1">
      <alignment horizontal="center"/>
      <protection hidden="1"/>
    </xf>
    <xf numFmtId="0" fontId="4" fillId="0" borderId="1" xfId="0" applyFont="1" applyBorder="1" applyAlignment="1">
      <alignment horizontal="center"/>
    </xf>
    <xf numFmtId="0" fontId="0" fillId="0" borderId="11" xfId="0"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83" xfId="0" applyFont="1" applyBorder="1" applyAlignment="1" applyProtection="1">
      <alignment horizontal="center" vertical="center"/>
      <protection hidden="1"/>
    </xf>
    <xf numFmtId="0" fontId="4" fillId="0" borderId="187" xfId="0" applyFont="1" applyBorder="1" applyAlignment="1" applyProtection="1">
      <alignment horizontal="center" vertical="center"/>
      <protection hidden="1"/>
    </xf>
    <xf numFmtId="0" fontId="0" fillId="50" borderId="189" xfId="0" applyFill="1" applyBorder="1" applyAlignment="1" applyProtection="1">
      <alignment horizontal="center" vertical="center"/>
      <protection locked="0"/>
    </xf>
    <xf numFmtId="0" fontId="0" fillId="50" borderId="207" xfId="0" applyFill="1" applyBorder="1" applyAlignment="1" applyProtection="1">
      <alignment horizontal="center" vertical="center"/>
      <protection locked="0"/>
    </xf>
    <xf numFmtId="0" fontId="0" fillId="50" borderId="94"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50" borderId="64" xfId="0" applyFill="1" applyBorder="1" applyAlignment="1" applyProtection="1">
      <alignment horizontal="center" vertical="center"/>
      <protection locked="0"/>
    </xf>
    <xf numFmtId="0" fontId="0" fillId="50" borderId="153" xfId="0" applyFill="1" applyBorder="1" applyAlignment="1" applyProtection="1">
      <alignment horizontal="center" vertical="center"/>
      <protection locked="0"/>
    </xf>
    <xf numFmtId="0" fontId="0" fillId="50" borderId="193" xfId="0" applyFill="1" applyBorder="1" applyAlignment="1" applyProtection="1">
      <alignment horizontal="center" vertical="center"/>
      <protection locked="0"/>
    </xf>
    <xf numFmtId="0" fontId="0" fillId="50" borderId="177" xfId="0" applyFill="1" applyBorder="1" applyAlignment="1" applyProtection="1">
      <alignment horizontal="center" vertical="center"/>
      <protection locked="0"/>
    </xf>
    <xf numFmtId="0" fontId="0" fillId="50" borderId="203" xfId="0" applyFill="1" applyBorder="1" applyAlignment="1" applyProtection="1">
      <alignment horizontal="center" vertical="center"/>
      <protection locked="0"/>
    </xf>
    <xf numFmtId="0" fontId="0" fillId="50" borderId="204" xfId="0" applyFill="1" applyBorder="1" applyAlignment="1" applyProtection="1">
      <alignment horizontal="center" vertical="center"/>
      <protection locked="0"/>
    </xf>
    <xf numFmtId="0" fontId="0" fillId="50" borderId="179" xfId="0" applyFill="1" applyBorder="1" applyAlignment="1" applyProtection="1">
      <alignment horizontal="center" vertical="center"/>
      <protection locked="0"/>
    </xf>
    <xf numFmtId="0" fontId="4" fillId="0" borderId="195" xfId="0" applyFont="1" applyBorder="1" applyAlignment="1"/>
    <xf numFmtId="0" fontId="4" fillId="0" borderId="53" xfId="0" applyFont="1" applyBorder="1" applyAlignment="1"/>
    <xf numFmtId="0" fontId="4" fillId="0" borderId="196" xfId="0" applyFont="1" applyBorder="1" applyAlignment="1"/>
    <xf numFmtId="0" fontId="4" fillId="0" borderId="197" xfId="0" applyFont="1" applyFill="1" applyBorder="1" applyAlignment="1" applyProtection="1">
      <alignment horizontal="center" vertical="center"/>
    </xf>
    <xf numFmtId="0" fontId="0" fillId="0" borderId="134" xfId="0" applyFill="1" applyBorder="1" applyAlignment="1" applyProtection="1">
      <alignment horizontal="center" vertical="center"/>
    </xf>
    <xf numFmtId="0" fontId="0" fillId="0" borderId="175"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7" fillId="0" borderId="0" xfId="0" applyFont="1" applyFill="1" applyBorder="1" applyAlignment="1" applyProtection="1">
      <alignment horizontal="left" vertical="center"/>
    </xf>
    <xf numFmtId="0" fontId="0" fillId="50" borderId="202" xfId="0" applyFill="1" applyBorder="1" applyAlignment="1" applyProtection="1">
      <alignment horizontal="center" vertical="center"/>
      <protection locked="0"/>
    </xf>
    <xf numFmtId="0" fontId="0" fillId="50" borderId="113" xfId="0" applyFill="1" applyBorder="1" applyAlignment="1" applyProtection="1">
      <alignment horizontal="center" vertical="center"/>
      <protection locked="0"/>
    </xf>
    <xf numFmtId="0" fontId="0" fillId="50" borderId="201"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0" fillId="0" borderId="0" xfId="0" applyAlignment="1">
      <alignment horizontal="center"/>
    </xf>
    <xf numFmtId="0" fontId="86" fillId="51" borderId="69" xfId="0" applyFont="1" applyFill="1" applyBorder="1" applyAlignment="1" applyProtection="1">
      <alignment horizontal="center" vertical="center"/>
      <protection hidden="1"/>
    </xf>
    <xf numFmtId="0" fontId="86" fillId="51" borderId="71"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6" fillId="51" borderId="69" xfId="0" applyFont="1" applyFill="1" applyBorder="1" applyAlignment="1" applyProtection="1">
      <alignment horizontal="center"/>
      <protection hidden="1"/>
    </xf>
    <xf numFmtId="0" fontId="86" fillId="51" borderId="71"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8" fillId="54" borderId="0" xfId="0" applyFont="1" applyFill="1" applyAlignment="1">
      <alignment horizontal="center"/>
    </xf>
    <xf numFmtId="0" fontId="88" fillId="0" borderId="0" xfId="0" applyFont="1" applyAlignment="1">
      <alignment horizontal="center"/>
    </xf>
    <xf numFmtId="0" fontId="41" fillId="51" borderId="69" xfId="0" applyFont="1" applyFill="1" applyBorder="1" applyAlignment="1">
      <alignment horizontal="center"/>
    </xf>
    <xf numFmtId="0" fontId="41" fillId="51" borderId="42" xfId="0" applyFont="1" applyFill="1" applyBorder="1" applyAlignment="1">
      <alignment horizontal="center"/>
    </xf>
    <xf numFmtId="0" fontId="86" fillId="51" borderId="69" xfId="0" applyFont="1" applyFill="1" applyBorder="1" applyAlignment="1">
      <alignment horizontal="left" vertical="center"/>
    </xf>
    <xf numFmtId="0" fontId="86" fillId="51" borderId="42" xfId="0" applyFont="1" applyFill="1" applyBorder="1" applyAlignment="1">
      <alignment horizontal="left" vertical="center"/>
    </xf>
    <xf numFmtId="0" fontId="92" fillId="0" borderId="31" xfId="0" applyFont="1" applyBorder="1" applyAlignment="1">
      <alignment horizontal="center"/>
    </xf>
    <xf numFmtId="1" fontId="92" fillId="0" borderId="31" xfId="0" applyNumberFormat="1" applyFont="1" applyBorder="1" applyAlignment="1">
      <alignment horizontal="center" vertical="center"/>
    </xf>
    <xf numFmtId="0" fontId="88" fillId="0" borderId="69" xfId="0" applyFont="1" applyBorder="1" applyAlignment="1">
      <alignment horizontal="center"/>
    </xf>
    <xf numFmtId="0" fontId="88" fillId="0" borderId="71" xfId="0" applyFont="1" applyBorder="1" applyAlignment="1">
      <alignment horizontal="center"/>
    </xf>
    <xf numFmtId="0" fontId="88" fillId="0" borderId="42" xfId="0" applyFont="1" applyBorder="1" applyAlignment="1">
      <alignment horizontal="center"/>
    </xf>
    <xf numFmtId="0" fontId="10" fillId="0" borderId="4" xfId="63" applyFont="1" applyFill="1" applyBorder="1" applyAlignment="1">
      <alignment horizontal="center" vertical="center"/>
    </xf>
    <xf numFmtId="0" fontId="10" fillId="0" borderId="0" xfId="63" applyFont="1" applyFill="1" applyBorder="1" applyAlignment="1">
      <alignment horizontal="center" vertic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0" xfId="0" applyFont="1" applyFill="1" applyBorder="1" applyAlignment="1">
      <alignment horizontal="center" vertical="center"/>
    </xf>
    <xf numFmtId="0" fontId="4" fillId="0" borderId="9" xfId="0" applyFont="1" applyFill="1" applyBorder="1" applyAlignment="1">
      <alignment horizontal="center" vertic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10" fillId="0" borderId="2" xfId="63" applyFont="1" applyFill="1" applyBorder="1" applyAlignment="1">
      <alignment horizontal="center" vertical="center"/>
    </xf>
    <xf numFmtId="0" fontId="10" fillId="0" borderId="16" xfId="63" applyFont="1" applyFill="1" applyBorder="1" applyAlignment="1">
      <alignment horizontal="center" vertical="center"/>
    </xf>
    <xf numFmtId="0" fontId="10" fillId="0" borderId="9" xfId="63" applyFont="1" applyFill="1" applyBorder="1" applyAlignment="1">
      <alignment horizontal="center" vertical="center"/>
    </xf>
    <xf numFmtId="0" fontId="0" fillId="0" borderId="0" xfId="0" applyFill="1" applyAlignment="1">
      <alignment horizontal="center" vertic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49" fontId="61" fillId="38" borderId="43"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58" fillId="37" borderId="98" xfId="63" applyFont="1" applyFill="1" applyBorder="1" applyAlignment="1">
      <alignment horizontal="center" vertical="center"/>
    </xf>
    <xf numFmtId="0" fontId="59" fillId="0" borderId="46" xfId="63" applyFont="1" applyFill="1" applyBorder="1" applyAlignment="1">
      <alignment horizont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vertical="center"/>
    </xf>
    <xf numFmtId="0" fontId="61" fillId="38" borderId="40" xfId="63" applyFont="1" applyFill="1" applyBorder="1" applyAlignment="1">
      <alignment vertical="center"/>
    </xf>
    <xf numFmtId="0" fontId="61" fillId="38" borderId="44" xfId="63" applyFont="1" applyFill="1" applyBorder="1" applyAlignment="1">
      <alignment horizontal="left" vertical="center"/>
    </xf>
    <xf numFmtId="0" fontId="61" fillId="38" borderId="40" xfId="63" applyFont="1" applyFill="1" applyBorder="1" applyAlignment="1">
      <alignment horizontal="left" vertical="center"/>
    </xf>
    <xf numFmtId="49" fontId="23" fillId="38" borderId="99" xfId="63" applyNumberFormat="1" applyFont="1" applyFill="1" applyBorder="1" applyAlignment="1">
      <alignment vertical="center"/>
    </xf>
    <xf numFmtId="0" fontId="57" fillId="0" borderId="100" xfId="63" applyFont="1" applyFill="1" applyBorder="1" applyAlignment="1">
      <alignment vertical="center"/>
    </xf>
    <xf numFmtId="0" fontId="57" fillId="0" borderId="40" xfId="63" applyFont="1" applyFill="1" applyBorder="1" applyAlignment="1">
      <alignmen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0" fontId="17" fillId="0" borderId="0" xfId="76" applyFont="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5"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5"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69" xfId="0" applyFont="1" applyFill="1" applyBorder="1" applyAlignment="1" applyProtection="1">
      <alignment horizontal="center"/>
      <protection locked="0"/>
    </xf>
    <xf numFmtId="0" fontId="4" fillId="50" borderId="42"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8" fillId="0" borderId="0" xfId="0" applyFont="1" applyAlignment="1">
      <alignment horizontal="center" vertical="center"/>
    </xf>
    <xf numFmtId="0" fontId="94" fillId="0" borderId="0" xfId="80" applyFont="1" applyAlignment="1">
      <alignment horizontal="left" wrapText="1"/>
    </xf>
    <xf numFmtId="0" fontId="95" fillId="0" borderId="0" xfId="80" applyFont="1" applyBorder="1" applyAlignment="1">
      <alignment horizontal="center"/>
    </xf>
    <xf numFmtId="0" fontId="96" fillId="47" borderId="33" xfId="80" applyFont="1" applyFill="1" applyBorder="1" applyAlignment="1">
      <alignment horizontal="center" wrapText="1"/>
    </xf>
    <xf numFmtId="0" fontId="96" fillId="47" borderId="28" xfId="80" applyFont="1" applyFill="1" applyBorder="1" applyAlignment="1">
      <alignment horizontal="center" wrapText="1"/>
    </xf>
    <xf numFmtId="0" fontId="96" fillId="47" borderId="34" xfId="80" applyFont="1" applyFill="1" applyBorder="1" applyAlignment="1">
      <alignment horizontal="center" wrapText="1"/>
    </xf>
    <xf numFmtId="0" fontId="96" fillId="47" borderId="65" xfId="80" applyFont="1" applyFill="1" applyBorder="1" applyAlignment="1">
      <alignment horizontal="center" wrapText="1"/>
    </xf>
    <xf numFmtId="0" fontId="96" fillId="47" borderId="28" xfId="80" applyFont="1" applyFill="1" applyBorder="1" applyAlignment="1">
      <alignment horizontal="center"/>
    </xf>
    <xf numFmtId="0" fontId="94" fillId="47" borderId="33" xfId="80" applyFont="1" applyFill="1" applyBorder="1" applyAlignment="1">
      <alignment horizontal="center"/>
    </xf>
    <xf numFmtId="0" fontId="94" fillId="47" borderId="28" xfId="80" applyFont="1" applyFill="1" applyBorder="1" applyAlignment="1">
      <alignment horizontal="center"/>
    </xf>
    <xf numFmtId="0" fontId="95" fillId="0" borderId="0" xfId="80" applyFont="1" applyAlignment="1">
      <alignment horizontal="center" wrapText="1"/>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xr:uid="{00000000-0005-0000-0000-00001E000000}"/>
    <cellStyle name="Komma 3" xfId="32" xr:uid="{00000000-0005-0000-0000-00001F000000}"/>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Prozent 5" xfId="41" xr:uid="{00000000-0005-0000-0000-000028000000}"/>
    <cellStyle name="Schlecht" xfId="42" builtinId="27" customBuiltin="1"/>
    <cellStyle name="Standard" xfId="0" builtinId="0"/>
    <cellStyle name="Standard 2" xfId="43" xr:uid="{00000000-0005-0000-0000-00002B000000}"/>
    <cellStyle name="Standard 2 2" xfId="44" xr:uid="{00000000-0005-0000-0000-00002C000000}"/>
    <cellStyle name="Standard 2 3" xfId="45" xr:uid="{00000000-0005-0000-0000-00002D000000}"/>
    <cellStyle name="Standard 2 3 2" xfId="46" xr:uid="{00000000-0005-0000-0000-00002E000000}"/>
    <cellStyle name="Standard 2 3 2 2" xfId="47" xr:uid="{00000000-0005-0000-0000-00002F000000}"/>
    <cellStyle name="Standard 2 3 2 3" xfId="48" xr:uid="{00000000-0005-0000-0000-000030000000}"/>
    <cellStyle name="Standard 2 3 2 4" xfId="49" xr:uid="{00000000-0005-0000-0000-000031000000}"/>
    <cellStyle name="Standard 2 3 2 4 2" xfId="50" xr:uid="{00000000-0005-0000-0000-000032000000}"/>
    <cellStyle name="Standard 2 3 3" xfId="51" xr:uid="{00000000-0005-0000-0000-000033000000}"/>
    <cellStyle name="Standard 2 3 4" xfId="52" xr:uid="{00000000-0005-0000-0000-000034000000}"/>
    <cellStyle name="Standard 2 3 5" xfId="53" xr:uid="{00000000-0005-0000-0000-000035000000}"/>
    <cellStyle name="Standard 2 4" xfId="54" xr:uid="{00000000-0005-0000-0000-000036000000}"/>
    <cellStyle name="Standard 2 4 2" xfId="55" xr:uid="{00000000-0005-0000-0000-000037000000}"/>
    <cellStyle name="Standard 2 4 3" xfId="56" xr:uid="{00000000-0005-0000-0000-000038000000}"/>
    <cellStyle name="Standard 2 4 4" xfId="57" xr:uid="{00000000-0005-0000-0000-000039000000}"/>
    <cellStyle name="Standard 2 4 4 2" xfId="58" xr:uid="{00000000-0005-0000-0000-00003A000000}"/>
    <cellStyle name="Standard 2 5" xfId="59" xr:uid="{00000000-0005-0000-0000-00003B000000}"/>
    <cellStyle name="Standard 2 6" xfId="60" xr:uid="{00000000-0005-0000-0000-00003C000000}"/>
    <cellStyle name="Standard 2 7" xfId="61" xr:uid="{00000000-0005-0000-0000-00003D000000}"/>
    <cellStyle name="Standard 2 8" xfId="62" xr:uid="{00000000-0005-0000-0000-00003E000000}"/>
    <cellStyle name="Standard 28" xfId="79" xr:uid="{DC7E5B81-46BA-4953-98EE-F83052B363E2}"/>
    <cellStyle name="Standard 3" xfId="63" xr:uid="{00000000-0005-0000-0000-00003F000000}"/>
    <cellStyle name="Standard 3 2" xfId="64" xr:uid="{00000000-0005-0000-0000-000040000000}"/>
    <cellStyle name="Standard 3 3" xfId="78" xr:uid="{1B32EEAD-E711-4BAB-8706-614C379C25B9}"/>
    <cellStyle name="Standard 4" xfId="65" xr:uid="{00000000-0005-0000-0000-000041000000}"/>
    <cellStyle name="Standard 5" xfId="76" xr:uid="{7CBE4BA4-8EAF-41B0-B8C2-AECCD24F995E}"/>
    <cellStyle name="Standard 6" xfId="77" xr:uid="{368999BD-160B-4AE5-AC7E-AF4BB5DF65D0}"/>
    <cellStyle name="Standard 7" xfId="80" xr:uid="{0C8FE0AC-C6E1-4452-8CBD-861AF69FF8F9}"/>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9">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5" dropStyle="combo" dx="22" fmlaLink="$BH$24" fmlaRange="Tiere!$B$30:$B$112" noThreeD="1" sel="1" val="0"/>
</file>

<file path=xl/ctrlProps/ctrlProp10.xml><?xml version="1.0" encoding="utf-8"?>
<formControlPr xmlns="http://schemas.microsoft.com/office/spreadsheetml/2009/9/main" objectType="Drop" dropLines="15" dropStyle="combo" dx="22" fmlaLink="$BH$33" fmlaRange="Tiere!$B$30:$B$112" noThreeD="1" sel="1" val="0"/>
</file>

<file path=xl/ctrlProps/ctrlProp11.xml><?xml version="1.0" encoding="utf-8"?>
<formControlPr xmlns="http://schemas.microsoft.com/office/spreadsheetml/2009/9/main" objectType="Drop" dropLines="15" dropStyle="combo" dx="22" fmlaLink="$BH$34" fmlaRange="Tiere!$B$30:$B$112"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12"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12"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12"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40" noThreeD="1" sel="1" val="0"/>
</file>

<file path=xl/ctrlProps/ctrlProp35.xml><?xml version="1.0" encoding="utf-8"?>
<formControlPr xmlns="http://schemas.microsoft.com/office/spreadsheetml/2009/9/main" objectType="Drop" dropLines="20" dropStyle="combo" dx="16" fmlaLink="$L$181" fmlaRange="'org Dünger'!$B$8:$B$40" noThreeD="1" sel="1" val="0"/>
</file>

<file path=xl/ctrlProps/ctrlProp36.xml><?xml version="1.0" encoding="utf-8"?>
<formControlPr xmlns="http://schemas.microsoft.com/office/spreadsheetml/2009/9/main" objectType="Drop" dropLines="20" dropStyle="combo" dx="16" fmlaLink="$L$182" fmlaRange="'org Dünger'!$B$8:$B$40" noThreeD="1" sel="1" val="13"/>
</file>

<file path=xl/ctrlProps/ctrlProp37.xml><?xml version="1.0" encoding="utf-8"?>
<formControlPr xmlns="http://schemas.microsoft.com/office/spreadsheetml/2009/9/main" objectType="Drop" dropLines="20" dropStyle="combo" dx="16" fmlaLink="$L$183" fmlaRange="'org Dünger'!$B$8:$B$40" noThreeD="1" sel="1" val="0"/>
</file>

<file path=xl/ctrlProps/ctrlProp38.xml><?xml version="1.0" encoding="utf-8"?>
<formControlPr xmlns="http://schemas.microsoft.com/office/spreadsheetml/2009/9/main" objectType="Drop" dropLines="20" dropStyle="combo" dx="16" fmlaLink="$L$184" fmlaRange="'org Dünger'!$B$8:$B$40" noThreeD="1" sel="1" val="12"/>
</file>

<file path=xl/ctrlProps/ctrlProp39.xml><?xml version="1.0" encoding="utf-8"?>
<formControlPr xmlns="http://schemas.microsoft.com/office/spreadsheetml/2009/9/main" objectType="Drop" dropLines="15" dropStyle="combo" dx="22" fmlaLink="$BH$35" fmlaRange="Tiere!$B$30:$B$112" noThreeD="1" sel="1" val="50"/>
</file>

<file path=xl/ctrlProps/ctrlProp4.xml><?xml version="1.0" encoding="utf-8"?>
<formControlPr xmlns="http://schemas.microsoft.com/office/spreadsheetml/2009/9/main" objectType="Drop" dropLines="15" dropStyle="combo" dx="22" fmlaLink="$BH$27" fmlaRange="Tiere!$B$30:$B$112" noThreeD="1" sel="1" val="0"/>
</file>

<file path=xl/ctrlProps/ctrlProp40.xml><?xml version="1.0" encoding="utf-8"?>
<formControlPr xmlns="http://schemas.microsoft.com/office/spreadsheetml/2009/9/main" objectType="Drop" dropLines="15" dropStyle="combo" dx="22" fmlaLink="$BH$36" fmlaRange="Tiere!$B$30:$B$112" noThreeD="1" sel="1" val="0"/>
</file>

<file path=xl/ctrlProps/ctrlProp41.xml><?xml version="1.0" encoding="utf-8"?>
<formControlPr xmlns="http://schemas.microsoft.com/office/spreadsheetml/2009/9/main" objectType="Drop" dropLines="15" dropStyle="combo" dx="22" fmlaLink="$BH$37" fmlaRange="Tiere!$B$30:$B$112" noThreeD="1" sel="1" val="50"/>
</file>

<file path=xl/ctrlProps/ctrlProp42.xml><?xml version="1.0" encoding="utf-8"?>
<formControlPr xmlns="http://schemas.microsoft.com/office/spreadsheetml/2009/9/main" objectType="Drop" dropLines="15" dropStyle="combo" dx="22" fmlaLink="$BH$38" fmlaRange="Tiere!$B$30:$B$112"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23:$E$127" noThreeD="1" sel="1" val="0"/>
</file>

<file path=xl/ctrlProps/ctrlProp48.xml><?xml version="1.0" encoding="utf-8"?>
<formControlPr xmlns="http://schemas.microsoft.com/office/spreadsheetml/2009/9/main" objectType="Drop" dropLines="5" dropStyle="combo" dx="22" fmlaLink="$U$28" fmlaRange="Tiere!$E$123:$E$127" noThreeD="1" sel="1" val="0"/>
</file>

<file path=xl/ctrlProps/ctrlProp49.xml><?xml version="1.0" encoding="utf-8"?>
<formControlPr xmlns="http://schemas.microsoft.com/office/spreadsheetml/2009/9/main" objectType="Drop" dropStyle="combo" dx="22" fmlaLink="'Abweichende Werte'!$U$29" fmlaRange="Tiere!$E$123:$E$127" noThreeD="1" sel="1" val="0"/>
</file>

<file path=xl/ctrlProps/ctrlProp5.xml><?xml version="1.0" encoding="utf-8"?>
<formControlPr xmlns="http://schemas.microsoft.com/office/spreadsheetml/2009/9/main" objectType="Drop" dropLines="15" dropStyle="combo" dx="22" fmlaLink="$BH$28" fmlaRange="Tiere!$B$30:$B$112" noThreeD="1" sel="1" val="42"/>
</file>

<file path=xl/ctrlProps/ctrlProp50.xml><?xml version="1.0" encoding="utf-8"?>
<formControlPr xmlns="http://schemas.microsoft.com/office/spreadsheetml/2009/9/main" objectType="CheckBox" checked="Checked" fmlaLink="$R$27" lockText="1" noThreeD="1"/>
</file>

<file path=xl/ctrlProps/ctrlProp51.xml><?xml version="1.0" encoding="utf-8"?>
<formControlPr xmlns="http://schemas.microsoft.com/office/spreadsheetml/2009/9/main" objectType="CheckBox" checked="Checked" fmlaLink="$R$28" lockText="1" noThreeD="1"/>
</file>

<file path=xl/ctrlProps/ctrlProp52.xml><?xml version="1.0" encoding="utf-8"?>
<formControlPr xmlns="http://schemas.microsoft.com/office/spreadsheetml/2009/9/main" objectType="CheckBox" checked="Checked" fmlaLink="$R$29" lockText="1" noThreeD="1"/>
</file>

<file path=xl/ctrlProps/ctrlProp53.xml><?xml version="1.0" encoding="utf-8"?>
<formControlPr xmlns="http://schemas.microsoft.com/office/spreadsheetml/2009/9/main" objectType="CheckBox" checked="Checked" fmlaLink="$R$30" lockText="1" noThreeD="1"/>
</file>

<file path=xl/ctrlProps/ctrlProp54.xml><?xml version="1.0" encoding="utf-8"?>
<formControlPr xmlns="http://schemas.microsoft.com/office/spreadsheetml/2009/9/main" objectType="CheckBox" checked="Checked" fmlaLink="$R$31" lockText="1" noThreeD="1"/>
</file>

<file path=xl/ctrlProps/ctrlProp6.xml><?xml version="1.0" encoding="utf-8"?>
<formControlPr xmlns="http://schemas.microsoft.com/office/spreadsheetml/2009/9/main" objectType="Drop" dropLines="15" dropStyle="combo" dx="22" fmlaLink="$BH$29" fmlaRange="Tiere!$B$30:$B$112" noThreeD="1" sel="1" val="0"/>
</file>

<file path=xl/ctrlProps/ctrlProp7.xml><?xml version="1.0" encoding="utf-8"?>
<formControlPr xmlns="http://schemas.microsoft.com/office/spreadsheetml/2009/9/main" objectType="Drop" dropLines="15" dropStyle="combo" dx="22" fmlaLink="$BH$30" fmlaRange="Tiere!$B$30:$B$112" noThreeD="1" sel="1" val="0"/>
</file>

<file path=xl/ctrlProps/ctrlProp8.xml><?xml version="1.0" encoding="utf-8"?>
<formControlPr xmlns="http://schemas.microsoft.com/office/spreadsheetml/2009/9/main" objectType="Drop" dropLines="15" dropStyle="combo" dx="22" fmlaLink="$BH$31" fmlaRange="Tiere!$B$30:$B$112" noThreeD="1" sel="1" val="0"/>
</file>

<file path=xl/ctrlProps/ctrlProp9.xml><?xml version="1.0" encoding="utf-8"?>
<formControlPr xmlns="http://schemas.microsoft.com/office/spreadsheetml/2009/9/main" objectType="Drop" dropLines="15" dropStyle="combo" dx="22" fmlaLink="$BH$32" fmlaRange="Tiere!$B$30:$B$11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2</xdr:col>
          <xdr:colOff>857250</xdr:colOff>
          <xdr:row>24</xdr:row>
          <xdr:rowOff>9525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0</xdr:rowOff>
        </xdr:from>
        <xdr:to>
          <xdr:col>2</xdr:col>
          <xdr:colOff>857250</xdr:colOff>
          <xdr:row>24</xdr:row>
          <xdr:rowOff>200025</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200025</xdr:rowOff>
        </xdr:from>
        <xdr:to>
          <xdr:col>2</xdr:col>
          <xdr:colOff>857250</xdr:colOff>
          <xdr:row>26</xdr:row>
          <xdr:rowOff>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0</xdr:rowOff>
        </xdr:from>
        <xdr:to>
          <xdr:col>2</xdr:col>
          <xdr:colOff>857250</xdr:colOff>
          <xdr:row>27</xdr:row>
          <xdr:rowOff>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2</xdr:col>
          <xdr:colOff>857250</xdr:colOff>
          <xdr:row>27</xdr:row>
          <xdr:rowOff>200025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200025</xdr:rowOff>
        </xdr:from>
        <xdr:to>
          <xdr:col>2</xdr:col>
          <xdr:colOff>857250</xdr:colOff>
          <xdr:row>28</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200025</xdr:rowOff>
        </xdr:from>
        <xdr:to>
          <xdr:col>2</xdr:col>
          <xdr:colOff>857250</xdr:colOff>
          <xdr:row>30</xdr:row>
          <xdr:rowOff>9525</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2</xdr:col>
          <xdr:colOff>857250</xdr:colOff>
          <xdr:row>31</xdr:row>
          <xdr:rowOff>9525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2</xdr:col>
          <xdr:colOff>857250</xdr:colOff>
          <xdr:row>32</xdr:row>
          <xdr:rowOff>9525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2</xdr:col>
          <xdr:colOff>857250</xdr:colOff>
          <xdr:row>33</xdr:row>
          <xdr:rowOff>9525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3</xdr:col>
          <xdr:colOff>0</xdr:colOff>
          <xdr:row>34</xdr:row>
          <xdr:rowOff>9525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2</xdr:col>
          <xdr:colOff>857250</xdr:colOff>
          <xdr:row>23</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9525</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9525</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9525</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9525</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9525</xdr:rowOff>
        </xdr:from>
        <xdr:to>
          <xdr:col>5</xdr:col>
          <xdr:colOff>504825</xdr:colOff>
          <xdr:row>29</xdr:row>
          <xdr:rowOff>180975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6</xdr:col>
          <xdr:colOff>0</xdr:colOff>
          <xdr:row>30</xdr:row>
          <xdr:rowOff>190500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9525</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9525</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209550</xdr:rowOff>
        </xdr:from>
        <xdr:to>
          <xdr:col>4</xdr:col>
          <xdr:colOff>28575</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28575</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28575</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28575</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400050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179</xdr:row>
          <xdr:rowOff>0</xdr:rowOff>
        </xdr:from>
        <xdr:to>
          <xdr:col>2</xdr:col>
          <xdr:colOff>847725</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180</xdr:row>
          <xdr:rowOff>0</xdr:rowOff>
        </xdr:from>
        <xdr:to>
          <xdr:col>2</xdr:col>
          <xdr:colOff>847725</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181</xdr:row>
          <xdr:rowOff>0</xdr:rowOff>
        </xdr:from>
        <xdr:to>
          <xdr:col>2</xdr:col>
          <xdr:colOff>847725</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19050</xdr:colOff>
          <xdr:row>182</xdr:row>
          <xdr:rowOff>0</xdr:rowOff>
        </xdr:from>
        <xdr:to>
          <xdr:col>2</xdr:col>
          <xdr:colOff>847725</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183</xdr:row>
          <xdr:rowOff>0</xdr:rowOff>
        </xdr:from>
        <xdr:to>
          <xdr:col>2</xdr:col>
          <xdr:colOff>847725</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3</xdr:col>
          <xdr:colOff>0</xdr:colOff>
          <xdr:row>35</xdr:row>
          <xdr:rowOff>9525</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9525</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9525</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9525</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9525</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27</xdr:row>
          <xdr:rowOff>9525</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400049</xdr:colOff>
      <xdr:row>1</xdr:row>
      <xdr:rowOff>536524</xdr:rowOff>
    </xdr:to>
    <xdr:pic>
      <xdr:nvPicPr>
        <xdr:cNvPr id="6" name="Picture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800-000002000000}"/>
            </a:ext>
          </a:extLst>
        </xdr:cNvPr>
        <xdr:cNvSpPr txBox="1">
          <a:spLocks/>
        </xdr:cNvSpPr>
      </xdr:nvSpPr>
      <xdr:spPr>
        <a:xfrm>
          <a:off x="3134508" y="425387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122149" name="Gerade Verbindung mit Pfeil 200">
          <a:extLst>
            <a:ext uri="{FF2B5EF4-FFF2-40B4-BE49-F238E27FC236}">
              <a16:creationId xmlns:a16="http://schemas.microsoft.com/office/drawing/2014/main" id="{00000000-0008-0000-0800-000025DD0100}"/>
            </a:ext>
          </a:extLst>
        </xdr:cNvPr>
        <xdr:cNvCxnSpPr>
          <a:cxnSpLocks noChangeShapeType="1"/>
        </xdr:cNvCxnSpPr>
      </xdr:nvCxnSpPr>
      <xdr:spPr bwMode="auto">
        <a:xfrm flipH="1">
          <a:off x="2828925" y="4457700"/>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8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8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8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8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122154" name="Eingekerbter Pfeil nach rechts 205">
          <a:extLst>
            <a:ext uri="{FF2B5EF4-FFF2-40B4-BE49-F238E27FC236}">
              <a16:creationId xmlns:a16="http://schemas.microsoft.com/office/drawing/2014/main" id="{00000000-0008-0000-08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8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8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22157" name="Eingekerbter Pfeil nach rechts 208">
          <a:extLst>
            <a:ext uri="{FF2B5EF4-FFF2-40B4-BE49-F238E27FC236}">
              <a16:creationId xmlns:a16="http://schemas.microsoft.com/office/drawing/2014/main" id="{00000000-0008-0000-0800-00002DDD0100}"/>
            </a:ext>
          </a:extLst>
        </xdr:cNvPr>
        <xdr:cNvSpPr>
          <a:spLocks noChangeArrowheads="1"/>
        </xdr:cNvSpPr>
      </xdr:nvSpPr>
      <xdr:spPr bwMode="auto">
        <a:xfrm rot="-1560000">
          <a:off x="3086101" y="5362575"/>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8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8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22160" name="Eingekerbter Pfeil nach rechts 211">
          <a:extLst>
            <a:ext uri="{FF2B5EF4-FFF2-40B4-BE49-F238E27FC236}">
              <a16:creationId xmlns:a16="http://schemas.microsoft.com/office/drawing/2014/main" id="{00000000-0008-0000-08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22161" name="Eingekerbter Pfeil nach rechts 212">
          <a:extLst>
            <a:ext uri="{FF2B5EF4-FFF2-40B4-BE49-F238E27FC236}">
              <a16:creationId xmlns:a16="http://schemas.microsoft.com/office/drawing/2014/main" id="{00000000-0008-0000-08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22162" name="Eingekerbter Pfeil nach rechts 213">
          <a:extLst>
            <a:ext uri="{FF2B5EF4-FFF2-40B4-BE49-F238E27FC236}">
              <a16:creationId xmlns:a16="http://schemas.microsoft.com/office/drawing/2014/main" id="{00000000-0008-0000-08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22163" name="Eingekerbter Pfeil nach rechts 214">
          <a:extLst>
            <a:ext uri="{FF2B5EF4-FFF2-40B4-BE49-F238E27FC236}">
              <a16:creationId xmlns:a16="http://schemas.microsoft.com/office/drawing/2014/main" id="{00000000-0008-0000-08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22164" name="Eingekerbter Pfeil nach rechts 215">
          <a:extLst>
            <a:ext uri="{FF2B5EF4-FFF2-40B4-BE49-F238E27FC236}">
              <a16:creationId xmlns:a16="http://schemas.microsoft.com/office/drawing/2014/main" id="{00000000-0008-0000-08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8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8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8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8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8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8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8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122172" name="Eingekerbter Pfeil nach rechts 223">
          <a:extLst>
            <a:ext uri="{FF2B5EF4-FFF2-40B4-BE49-F238E27FC236}">
              <a16:creationId xmlns:a16="http://schemas.microsoft.com/office/drawing/2014/main" id="{00000000-0008-0000-0800-00003CDD0100}"/>
            </a:ext>
          </a:extLst>
        </xdr:cNvPr>
        <xdr:cNvSpPr>
          <a:spLocks noChangeArrowheads="1"/>
        </xdr:cNvSpPr>
      </xdr:nvSpPr>
      <xdr:spPr bwMode="auto">
        <a:xfrm rot="19377272">
          <a:off x="3036994" y="5197082"/>
          <a:ext cx="676275"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122173" name="Eingekerbter Pfeil nach rechts 224">
          <a:extLst>
            <a:ext uri="{FF2B5EF4-FFF2-40B4-BE49-F238E27FC236}">
              <a16:creationId xmlns:a16="http://schemas.microsoft.com/office/drawing/2014/main" id="{00000000-0008-0000-0800-00003DDD0100}"/>
            </a:ext>
          </a:extLst>
        </xdr:cNvPr>
        <xdr:cNvSpPr>
          <a:spLocks noChangeArrowheads="1"/>
        </xdr:cNvSpPr>
      </xdr:nvSpPr>
      <xdr:spPr bwMode="auto">
        <a:xfrm rot="-240000">
          <a:off x="3105150" y="5638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122174" name="Eingekerbter Pfeil nach rechts 225">
          <a:extLst>
            <a:ext uri="{FF2B5EF4-FFF2-40B4-BE49-F238E27FC236}">
              <a16:creationId xmlns:a16="http://schemas.microsoft.com/office/drawing/2014/main" id="{00000000-0008-0000-08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122175" name="Eingekerbter Pfeil nach rechts 226">
          <a:extLst>
            <a:ext uri="{FF2B5EF4-FFF2-40B4-BE49-F238E27FC236}">
              <a16:creationId xmlns:a16="http://schemas.microsoft.com/office/drawing/2014/main" id="{00000000-0008-0000-0800-00003FDD0100}"/>
            </a:ext>
          </a:extLst>
        </xdr:cNvPr>
        <xdr:cNvSpPr>
          <a:spLocks noChangeArrowheads="1"/>
        </xdr:cNvSpPr>
      </xdr:nvSpPr>
      <xdr:spPr bwMode="auto">
        <a:xfrm rot="420000">
          <a:off x="3114675" y="58007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122176" name="Eingekerbter Pfeil nach rechts 227">
          <a:extLst>
            <a:ext uri="{FF2B5EF4-FFF2-40B4-BE49-F238E27FC236}">
              <a16:creationId xmlns:a16="http://schemas.microsoft.com/office/drawing/2014/main" id="{00000000-0008-0000-08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122177" name="Eingekerbter Pfeil nach rechts 228">
          <a:extLst>
            <a:ext uri="{FF2B5EF4-FFF2-40B4-BE49-F238E27FC236}">
              <a16:creationId xmlns:a16="http://schemas.microsoft.com/office/drawing/2014/main" id="{00000000-0008-0000-0800-000041DD0100}"/>
            </a:ext>
          </a:extLst>
        </xdr:cNvPr>
        <xdr:cNvSpPr>
          <a:spLocks noChangeArrowheads="1"/>
        </xdr:cNvSpPr>
      </xdr:nvSpPr>
      <xdr:spPr bwMode="auto">
        <a:xfrm rot="2567144">
          <a:off x="3005459" y="6190350"/>
          <a:ext cx="685800"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122178" name="Eingekerbter Pfeil nach rechts 229">
          <a:extLst>
            <a:ext uri="{FF2B5EF4-FFF2-40B4-BE49-F238E27FC236}">
              <a16:creationId xmlns:a16="http://schemas.microsoft.com/office/drawing/2014/main" id="{00000000-0008-0000-08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8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122180" name="Eingekerbter Pfeil nach rechts 231">
          <a:extLst>
            <a:ext uri="{FF2B5EF4-FFF2-40B4-BE49-F238E27FC236}">
              <a16:creationId xmlns:a16="http://schemas.microsoft.com/office/drawing/2014/main" id="{00000000-0008-0000-08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122181" name="Eingekerbter Pfeil nach rechts 232">
          <a:extLst>
            <a:ext uri="{FF2B5EF4-FFF2-40B4-BE49-F238E27FC236}">
              <a16:creationId xmlns:a16="http://schemas.microsoft.com/office/drawing/2014/main" id="{00000000-0008-0000-08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122182" name="Eingekerbter Pfeil nach rechts 233">
          <a:extLst>
            <a:ext uri="{FF2B5EF4-FFF2-40B4-BE49-F238E27FC236}">
              <a16:creationId xmlns:a16="http://schemas.microsoft.com/office/drawing/2014/main" id="{00000000-0008-0000-08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122183" name="Eingekerbter Pfeil nach rechts 234">
          <a:extLst>
            <a:ext uri="{FF2B5EF4-FFF2-40B4-BE49-F238E27FC236}">
              <a16:creationId xmlns:a16="http://schemas.microsoft.com/office/drawing/2014/main" id="{00000000-0008-0000-08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122184" name="Eingekerbter Pfeil nach rechts 235">
          <a:extLst>
            <a:ext uri="{FF2B5EF4-FFF2-40B4-BE49-F238E27FC236}">
              <a16:creationId xmlns:a16="http://schemas.microsoft.com/office/drawing/2014/main" id="{00000000-0008-0000-08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122185" name="Eingekerbter Pfeil nach rechts 236">
          <a:extLst>
            <a:ext uri="{FF2B5EF4-FFF2-40B4-BE49-F238E27FC236}">
              <a16:creationId xmlns:a16="http://schemas.microsoft.com/office/drawing/2014/main" id="{00000000-0008-0000-08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122186" name="Eingekerbter Pfeil nach rechts 237">
          <a:extLst>
            <a:ext uri="{FF2B5EF4-FFF2-40B4-BE49-F238E27FC236}">
              <a16:creationId xmlns:a16="http://schemas.microsoft.com/office/drawing/2014/main" id="{00000000-0008-0000-08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122187" name="Eingekerbter Pfeil nach rechts 238">
          <a:extLst>
            <a:ext uri="{FF2B5EF4-FFF2-40B4-BE49-F238E27FC236}">
              <a16:creationId xmlns:a16="http://schemas.microsoft.com/office/drawing/2014/main" id="{00000000-0008-0000-0800-00004BDD0100}"/>
            </a:ext>
          </a:extLst>
        </xdr:cNvPr>
        <xdr:cNvSpPr>
          <a:spLocks noChangeArrowheads="1"/>
        </xdr:cNvSpPr>
      </xdr:nvSpPr>
      <xdr:spPr bwMode="auto">
        <a:xfrm>
          <a:off x="3219450" y="76066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122188" name="Eingekerbter Pfeil nach rechts 239">
          <a:extLst>
            <a:ext uri="{FF2B5EF4-FFF2-40B4-BE49-F238E27FC236}">
              <a16:creationId xmlns:a16="http://schemas.microsoft.com/office/drawing/2014/main" id="{00000000-0008-0000-0800-00004CDD0100}"/>
            </a:ext>
          </a:extLst>
        </xdr:cNvPr>
        <xdr:cNvSpPr>
          <a:spLocks noChangeArrowheads="1"/>
        </xdr:cNvSpPr>
      </xdr:nvSpPr>
      <xdr:spPr bwMode="auto">
        <a:xfrm rot="-780000">
          <a:off x="3183255" y="75018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122189" name="Eingekerbter Pfeil nach rechts 240">
          <a:extLst>
            <a:ext uri="{FF2B5EF4-FFF2-40B4-BE49-F238E27FC236}">
              <a16:creationId xmlns:a16="http://schemas.microsoft.com/office/drawing/2014/main" id="{00000000-0008-0000-0800-00004DDD0100}"/>
            </a:ext>
          </a:extLst>
        </xdr:cNvPr>
        <xdr:cNvSpPr>
          <a:spLocks noChangeArrowheads="1"/>
        </xdr:cNvSpPr>
      </xdr:nvSpPr>
      <xdr:spPr bwMode="auto">
        <a:xfrm rot="840000">
          <a:off x="3221341" y="77521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122190" name="Eingekerbter Pfeil nach rechts 241">
          <a:extLst>
            <a:ext uri="{FF2B5EF4-FFF2-40B4-BE49-F238E27FC236}">
              <a16:creationId xmlns:a16="http://schemas.microsoft.com/office/drawing/2014/main" id="{00000000-0008-0000-08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122191" name="Eingekerbter Pfeil nach rechts 242">
          <a:extLst>
            <a:ext uri="{FF2B5EF4-FFF2-40B4-BE49-F238E27FC236}">
              <a16:creationId xmlns:a16="http://schemas.microsoft.com/office/drawing/2014/main" id="{00000000-0008-0000-0800-00004FDD0100}"/>
            </a:ext>
          </a:extLst>
        </xdr:cNvPr>
        <xdr:cNvSpPr>
          <a:spLocks noChangeArrowheads="1"/>
        </xdr:cNvSpPr>
      </xdr:nvSpPr>
      <xdr:spPr bwMode="auto">
        <a:xfrm rot="-1560000">
          <a:off x="3181350" y="73780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122192" name="Gerade Verbindung mit Pfeil 243">
          <a:extLst>
            <a:ext uri="{FF2B5EF4-FFF2-40B4-BE49-F238E27FC236}">
              <a16:creationId xmlns:a16="http://schemas.microsoft.com/office/drawing/2014/main" id="{00000000-0008-0000-0800-000050DD0100}"/>
            </a:ext>
          </a:extLst>
        </xdr:cNvPr>
        <xdr:cNvCxnSpPr>
          <a:cxnSpLocks noChangeShapeType="1"/>
        </xdr:cNvCxnSpPr>
      </xdr:nvCxnSpPr>
      <xdr:spPr bwMode="auto">
        <a:xfrm>
          <a:off x="3505200" y="4743450"/>
          <a:ext cx="32385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122193" name="Geschweifte Klammer rechts 244">
          <a:extLst>
            <a:ext uri="{FF2B5EF4-FFF2-40B4-BE49-F238E27FC236}">
              <a16:creationId xmlns:a16="http://schemas.microsoft.com/office/drawing/2014/main" id="{00000000-0008-0000-0800-000051DD0100}"/>
            </a:ext>
          </a:extLst>
        </xdr:cNvPr>
        <xdr:cNvSpPr>
          <a:spLocks/>
        </xdr:cNvSpPr>
      </xdr:nvSpPr>
      <xdr:spPr bwMode="auto">
        <a:xfrm>
          <a:off x="66046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122194" name="Gerade Verbindung 245">
          <a:extLst>
            <a:ext uri="{FF2B5EF4-FFF2-40B4-BE49-F238E27FC236}">
              <a16:creationId xmlns:a16="http://schemas.microsoft.com/office/drawing/2014/main" id="{00000000-0008-0000-0800-000052DD0100}"/>
            </a:ext>
          </a:extLst>
        </xdr:cNvPr>
        <xdr:cNvCxnSpPr>
          <a:cxnSpLocks noChangeShapeType="1"/>
        </xdr:cNvCxnSpPr>
      </xdr:nvCxnSpPr>
      <xdr:spPr bwMode="auto">
        <a:xfrm>
          <a:off x="682180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122195" name="Geschweifte Klammer rechts 246">
          <a:extLst>
            <a:ext uri="{FF2B5EF4-FFF2-40B4-BE49-F238E27FC236}">
              <a16:creationId xmlns:a16="http://schemas.microsoft.com/office/drawing/2014/main" id="{00000000-0008-0000-0800-000053DD0100}"/>
            </a:ext>
          </a:extLst>
        </xdr:cNvPr>
        <xdr:cNvSpPr>
          <a:spLocks/>
        </xdr:cNvSpPr>
      </xdr:nvSpPr>
      <xdr:spPr bwMode="auto">
        <a:xfrm>
          <a:off x="3076575" y="73152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122196" name="Eingekerbter Pfeil nach rechts 247">
          <a:extLst>
            <a:ext uri="{FF2B5EF4-FFF2-40B4-BE49-F238E27FC236}">
              <a16:creationId xmlns:a16="http://schemas.microsoft.com/office/drawing/2014/main" id="{00000000-0008-0000-08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122197" name="Eingekerbter Pfeil nach rechts 248">
          <a:extLst>
            <a:ext uri="{FF2B5EF4-FFF2-40B4-BE49-F238E27FC236}">
              <a16:creationId xmlns:a16="http://schemas.microsoft.com/office/drawing/2014/main" id="{00000000-0008-0000-08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122198" name="Eingekerbter Pfeil nach rechts 249">
          <a:extLst>
            <a:ext uri="{FF2B5EF4-FFF2-40B4-BE49-F238E27FC236}">
              <a16:creationId xmlns:a16="http://schemas.microsoft.com/office/drawing/2014/main" id="{00000000-0008-0000-08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122199" name="Eingekerbter Pfeil nach rechts 250">
          <a:extLst>
            <a:ext uri="{FF2B5EF4-FFF2-40B4-BE49-F238E27FC236}">
              <a16:creationId xmlns:a16="http://schemas.microsoft.com/office/drawing/2014/main" id="{00000000-0008-0000-08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122200" name="Eingekerbter Pfeil nach rechts 251">
          <a:extLst>
            <a:ext uri="{FF2B5EF4-FFF2-40B4-BE49-F238E27FC236}">
              <a16:creationId xmlns:a16="http://schemas.microsoft.com/office/drawing/2014/main" id="{00000000-0008-0000-08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122201" name="Eingekerbter Pfeil nach rechts 252">
          <a:extLst>
            <a:ext uri="{FF2B5EF4-FFF2-40B4-BE49-F238E27FC236}">
              <a16:creationId xmlns:a16="http://schemas.microsoft.com/office/drawing/2014/main" id="{00000000-0008-0000-08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122202" name="Eingekerbter Pfeil nach rechts 253">
          <a:extLst>
            <a:ext uri="{FF2B5EF4-FFF2-40B4-BE49-F238E27FC236}">
              <a16:creationId xmlns:a16="http://schemas.microsoft.com/office/drawing/2014/main" id="{00000000-0008-0000-0800-00005ADD0100}"/>
            </a:ext>
          </a:extLst>
        </xdr:cNvPr>
        <xdr:cNvSpPr>
          <a:spLocks noChangeArrowheads="1"/>
        </xdr:cNvSpPr>
      </xdr:nvSpPr>
      <xdr:spPr bwMode="auto">
        <a:xfrm>
          <a:off x="3533775"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8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122204" name="Gerade Verbindung mit Pfeil 255">
          <a:extLst>
            <a:ext uri="{FF2B5EF4-FFF2-40B4-BE49-F238E27FC236}">
              <a16:creationId xmlns:a16="http://schemas.microsoft.com/office/drawing/2014/main" id="{00000000-0008-0000-0800-00005CDD0100}"/>
            </a:ext>
          </a:extLst>
        </xdr:cNvPr>
        <xdr:cNvCxnSpPr>
          <a:cxnSpLocks noChangeShapeType="1"/>
        </xdr:cNvCxnSpPr>
      </xdr:nvCxnSpPr>
      <xdr:spPr bwMode="auto">
        <a:xfrm flipV="1">
          <a:off x="6607368" y="6439645"/>
          <a:ext cx="175592"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122205" name="Eingekerbter Pfeil nach rechts 256">
          <a:extLst>
            <a:ext uri="{FF2B5EF4-FFF2-40B4-BE49-F238E27FC236}">
              <a16:creationId xmlns:a16="http://schemas.microsoft.com/office/drawing/2014/main" id="{00000000-0008-0000-08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1" name="Eingekerbter Pfeil nach rechts 239">
          <a:extLst>
            <a:ext uri="{FF2B5EF4-FFF2-40B4-BE49-F238E27FC236}">
              <a16:creationId xmlns:a16="http://schemas.microsoft.com/office/drawing/2014/main" id="{00000000-0008-0000-08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2" name="Eingekerbter Pfeil nach rechts 239">
          <a:extLst>
            <a:ext uri="{FF2B5EF4-FFF2-40B4-BE49-F238E27FC236}">
              <a16:creationId xmlns:a16="http://schemas.microsoft.com/office/drawing/2014/main" id="{00000000-0008-0000-0800-00003E000000}"/>
            </a:ext>
          </a:extLst>
        </xdr:cNvPr>
        <xdr:cNvSpPr>
          <a:spLocks noChangeArrowheads="1"/>
        </xdr:cNvSpPr>
      </xdr:nvSpPr>
      <xdr:spPr bwMode="auto">
        <a:xfrm rot="19452879" flipV="1">
          <a:off x="3142556" y="73072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3" name="Eingekerbter Pfeil nach rechts 239">
          <a:extLst>
            <a:ext uri="{FF2B5EF4-FFF2-40B4-BE49-F238E27FC236}">
              <a16:creationId xmlns:a16="http://schemas.microsoft.com/office/drawing/2014/main" id="{00000000-0008-0000-08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4" name="Eingekerbter Pfeil nach rechts 239">
          <a:extLst>
            <a:ext uri="{FF2B5EF4-FFF2-40B4-BE49-F238E27FC236}">
              <a16:creationId xmlns:a16="http://schemas.microsoft.com/office/drawing/2014/main" id="{00000000-0008-0000-08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8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8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7" name="Eingekerbter Pfeil nach rechts 253">
          <a:extLst>
            <a:ext uri="{FF2B5EF4-FFF2-40B4-BE49-F238E27FC236}">
              <a16:creationId xmlns:a16="http://schemas.microsoft.com/office/drawing/2014/main" id="{00000000-0008-0000-0800-000043000000}"/>
            </a:ext>
          </a:extLst>
        </xdr:cNvPr>
        <xdr:cNvSpPr>
          <a:spLocks noChangeArrowheads="1"/>
        </xdr:cNvSpPr>
      </xdr:nvSpPr>
      <xdr:spPr bwMode="auto">
        <a:xfrm rot="1898123">
          <a:off x="3465308"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8" name="Eingekerbter Pfeil nach rechts 253">
          <a:extLst>
            <a:ext uri="{FF2B5EF4-FFF2-40B4-BE49-F238E27FC236}">
              <a16:creationId xmlns:a16="http://schemas.microsoft.com/office/drawing/2014/main" id="{00000000-0008-0000-0800-000044000000}"/>
            </a:ext>
          </a:extLst>
        </xdr:cNvPr>
        <xdr:cNvSpPr>
          <a:spLocks noChangeArrowheads="1"/>
        </xdr:cNvSpPr>
      </xdr:nvSpPr>
      <xdr:spPr bwMode="auto">
        <a:xfrm rot="2253640">
          <a:off x="3535159" y="4733146"/>
          <a:ext cx="216000" cy="2753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57150</xdr:colOff>
          <xdr:row>27</xdr:row>
          <xdr:rowOff>9525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B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180975</xdr:rowOff>
        </xdr:from>
        <xdr:to>
          <xdr:col>13</xdr:col>
          <xdr:colOff>57150</xdr:colOff>
          <xdr:row>28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B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57150</xdr:colOff>
          <xdr:row>29</xdr:row>
          <xdr:rowOff>9525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B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57150</xdr:colOff>
          <xdr:row>30</xdr:row>
          <xdr:rowOff>9525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B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190500</xdr:rowOff>
        </xdr:from>
        <xdr:to>
          <xdr:col>13</xdr:col>
          <xdr:colOff>57150</xdr:colOff>
          <xdr:row>31</xdr:row>
          <xdr:rowOff>9525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B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133525</xdr:rowOff>
    </xdr:to>
    <xdr:pic>
      <xdr:nvPicPr>
        <xdr:cNvPr id="8" name="Picture 3">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C00-000004000000}"/>
            </a:ext>
          </a:extLst>
        </xdr:cNvPr>
        <xdr:cNvGrpSpPr/>
      </xdr:nvGrpSpPr>
      <xdr:grpSpPr>
        <a:xfrm>
          <a:off x="7077075" y="1811654"/>
          <a:ext cx="0" cy="6507480"/>
          <a:chOff x="10904723" y="2336436"/>
          <a:chExt cx="3764280" cy="6902752"/>
        </a:xfrm>
      </xdr:grpSpPr>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C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C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C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C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C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209550</xdr:colOff>
      <xdr:row>2</xdr:row>
      <xdr:rowOff>164005</xdr:rowOff>
    </xdr:to>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2.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C000"/>
  </sheetPr>
  <dimension ref="A1:EP240"/>
  <sheetViews>
    <sheetView showGridLines="0" tabSelected="1" zoomScaleNormal="100" workbookViewId="0">
      <selection activeCell="B5" sqref="B5"/>
    </sheetView>
  </sheetViews>
  <sheetFormatPr baseColWidth="10" defaultColWidth="11.42578125" defaultRowHeight="12.75" x14ac:dyDescent="0.2"/>
  <cols>
    <col min="1" max="1" width="14.7109375" style="4" customWidth="1"/>
    <col min="2" max="2" width="14" style="4" customWidth="1"/>
    <col min="3" max="3" width="12.85546875" style="4" customWidth="1"/>
    <col min="4" max="6" width="7.5703125" style="4" customWidth="1"/>
    <col min="7" max="8" width="6.140625" style="4" customWidth="1"/>
    <col min="9" max="10" width="9.7109375" style="4" customWidth="1"/>
    <col min="11" max="11" width="0.85546875" style="4" customWidth="1"/>
    <col min="12" max="12" width="4.85546875" style="139" hidden="1" customWidth="1"/>
    <col min="13" max="13" width="12.42578125" style="228" hidden="1" customWidth="1"/>
    <col min="14" max="14" width="8.85546875" style="228" hidden="1" customWidth="1"/>
    <col min="15" max="15" width="2.7109375" style="228" hidden="1" customWidth="1"/>
    <col min="16" max="20" width="9.42578125" style="228" hidden="1" customWidth="1"/>
    <col min="21" max="21" width="8.140625" style="228" hidden="1" customWidth="1"/>
    <col min="22" max="23" width="12.28515625" style="228" hidden="1" customWidth="1"/>
    <col min="24" max="25" width="6.140625" style="228" hidden="1" customWidth="1"/>
    <col min="26" max="26" width="7.140625" style="228" hidden="1" customWidth="1"/>
    <col min="27" max="27" width="6.140625" style="228" hidden="1" customWidth="1"/>
    <col min="28" max="28" width="7.140625" style="228" hidden="1" customWidth="1"/>
    <col min="29" max="29" width="6.140625" style="228" hidden="1" customWidth="1"/>
    <col min="30" max="30" width="6.28515625" style="228" hidden="1" customWidth="1"/>
    <col min="31" max="31" width="7.28515625" style="228" hidden="1" customWidth="1"/>
    <col min="32" max="32" width="6.28515625" style="228" hidden="1" customWidth="1"/>
    <col min="33" max="34" width="7" style="228" hidden="1" customWidth="1"/>
    <col min="35" max="38" width="6.28515625" style="228" hidden="1" customWidth="1"/>
    <col min="39" max="39" width="10.28515625" style="228" hidden="1" customWidth="1"/>
    <col min="40" max="40" width="5.7109375" style="228" hidden="1" customWidth="1"/>
    <col min="41" max="41" width="7.28515625" style="228" hidden="1" customWidth="1"/>
    <col min="42" max="42" width="12.85546875" style="228" hidden="1" customWidth="1"/>
    <col min="43" max="44" width="13.42578125" style="228" hidden="1" customWidth="1"/>
    <col min="45" max="45" width="6.28515625" style="228" hidden="1" customWidth="1"/>
    <col min="46" max="47" width="9.85546875" style="228" hidden="1" customWidth="1"/>
    <col min="48" max="50" width="5.7109375" style="228" hidden="1" customWidth="1"/>
    <col min="51" max="51" width="7" style="228" hidden="1" customWidth="1"/>
    <col min="52" max="61" width="5.7109375" style="228" hidden="1" customWidth="1"/>
    <col min="62" max="62" width="11" style="228" hidden="1" customWidth="1"/>
    <col min="63" max="69" width="11.85546875" style="228" hidden="1" customWidth="1"/>
    <col min="70" max="73" width="11.85546875" style="229" hidden="1" customWidth="1"/>
    <col min="74" max="74" width="11.85546875" style="228" hidden="1" customWidth="1"/>
    <col min="75" max="75" width="12.42578125" style="228" hidden="1" customWidth="1"/>
    <col min="76" max="82" width="11.85546875" style="228" hidden="1" customWidth="1"/>
    <col min="83" max="95" width="11.85546875" style="139" hidden="1" customWidth="1"/>
    <col min="96" max="119" width="11.42578125" style="139" hidden="1" customWidth="1"/>
    <col min="120" max="120" width="10.140625" style="139" hidden="1" customWidth="1"/>
    <col min="121" max="146" width="11.42578125" style="139" hidden="1" customWidth="1"/>
    <col min="147" max="147" width="11.42578125" style="139" customWidth="1"/>
    <col min="148" max="16384" width="11.42578125" style="139"/>
  </cols>
  <sheetData>
    <row r="1" spans="1:93" ht="20.25" customHeight="1" x14ac:dyDescent="0.2">
      <c r="A1" s="1278" t="s">
        <v>524</v>
      </c>
      <c r="B1" s="1278"/>
      <c r="C1" s="1278"/>
      <c r="D1" s="1278"/>
      <c r="E1" s="1278"/>
      <c r="F1" s="1278"/>
      <c r="G1" s="1278"/>
      <c r="H1" s="1278"/>
      <c r="I1" s="3"/>
      <c r="J1" s="2"/>
      <c r="BR1" s="228"/>
      <c r="BS1" s="228"/>
      <c r="BT1" s="228"/>
      <c r="BU1" s="228"/>
      <c r="BV1" s="229"/>
      <c r="BW1" s="229"/>
      <c r="BX1" s="229"/>
      <c r="BY1" s="229"/>
      <c r="CE1" s="228"/>
      <c r="CF1" s="228"/>
      <c r="CG1" s="228"/>
      <c r="CH1" s="228"/>
      <c r="CI1" s="228"/>
      <c r="CJ1" s="228"/>
      <c r="CK1" s="228"/>
    </row>
    <row r="2" spans="1:93" ht="15.75" customHeight="1" x14ac:dyDescent="0.2">
      <c r="A2" s="1282" t="s">
        <v>562</v>
      </c>
      <c r="B2" s="1282"/>
      <c r="C2" s="1282"/>
      <c r="D2" s="1282"/>
      <c r="E2" s="1282"/>
      <c r="F2" s="1282"/>
      <c r="G2" s="1282"/>
      <c r="H2" s="1282"/>
      <c r="I2" s="5"/>
      <c r="J2" s="2"/>
      <c r="BR2" s="228"/>
      <c r="BS2" s="228"/>
      <c r="BT2" s="228"/>
      <c r="BU2" s="228"/>
      <c r="BV2" s="229"/>
      <c r="BW2" s="229"/>
      <c r="BX2" s="229"/>
      <c r="BY2" s="229"/>
      <c r="CE2" s="228"/>
      <c r="CF2" s="228"/>
      <c r="CG2" s="228"/>
      <c r="CH2" s="228"/>
      <c r="CI2" s="228"/>
      <c r="CJ2" s="228"/>
      <c r="CK2" s="228"/>
    </row>
    <row r="3" spans="1:93" ht="15" customHeight="1" x14ac:dyDescent="0.2">
      <c r="A3" s="1281" t="s">
        <v>353</v>
      </c>
      <c r="B3" s="1281"/>
      <c r="C3" s="1281"/>
      <c r="D3" s="1281"/>
      <c r="E3" s="1281"/>
      <c r="F3" s="1281"/>
      <c r="G3" s="1281"/>
      <c r="H3" s="190"/>
      <c r="I3" s="190"/>
      <c r="J3" s="2"/>
      <c r="BR3" s="228"/>
      <c r="BS3" s="228"/>
      <c r="BT3" s="228"/>
      <c r="BU3" s="228"/>
      <c r="BV3" s="229"/>
      <c r="BW3" s="229"/>
      <c r="BX3" s="229"/>
      <c r="BY3" s="229"/>
      <c r="CE3" s="228"/>
      <c r="CF3" s="228"/>
      <c r="CG3" s="228"/>
      <c r="CH3" s="228"/>
      <c r="CI3" s="228"/>
      <c r="CJ3" s="228"/>
      <c r="CK3" s="228"/>
    </row>
    <row r="4" spans="1:93" x14ac:dyDescent="0.2">
      <c r="A4" s="2"/>
      <c r="B4" s="2"/>
      <c r="C4" s="2"/>
      <c r="D4" s="2"/>
      <c r="E4" s="2"/>
      <c r="G4" s="2"/>
      <c r="H4" s="2"/>
      <c r="I4" s="6"/>
      <c r="J4" s="2"/>
      <c r="M4" s="228" t="s">
        <v>549</v>
      </c>
      <c r="P4" s="228" t="s">
        <v>460</v>
      </c>
      <c r="BR4" s="228"/>
      <c r="BS4" s="228"/>
      <c r="BT4" s="228"/>
      <c r="BU4" s="228"/>
      <c r="BV4" s="229"/>
      <c r="BW4" s="229"/>
      <c r="BX4" s="229"/>
      <c r="BY4" s="229"/>
      <c r="CE4" s="228"/>
      <c r="CF4" s="228"/>
      <c r="CG4" s="228"/>
      <c r="CH4" s="228"/>
      <c r="CI4" s="228"/>
      <c r="CJ4" s="228"/>
      <c r="CK4" s="228"/>
    </row>
    <row r="5" spans="1:93" ht="21" customHeight="1" x14ac:dyDescent="0.2">
      <c r="A5" s="7" t="s">
        <v>12</v>
      </c>
      <c r="B5" s="1022"/>
      <c r="C5" s="8" t="s">
        <v>17</v>
      </c>
      <c r="D5" s="115">
        <v>2024</v>
      </c>
      <c r="E5" s="9"/>
      <c r="F5" s="1023"/>
      <c r="G5" s="11" t="s">
        <v>356</v>
      </c>
      <c r="H5" s="2"/>
      <c r="I5" s="2"/>
      <c r="M5" s="10">
        <f>IF(F5=0,0.000001,F5)</f>
        <v>9.9999999999999995E-7</v>
      </c>
      <c r="P5" s="359">
        <f>+B5</f>
        <v>0</v>
      </c>
      <c r="Q5" s="228" t="str">
        <f>LEFT(P5,3)</f>
        <v>0</v>
      </c>
      <c r="R5" s="228">
        <f>IF(Q5=Niederschläge!A2:A97,Niederschläge!D2:D97,0)</f>
        <v>0</v>
      </c>
      <c r="BR5" s="228"/>
      <c r="BS5" s="228"/>
      <c r="BT5" s="228"/>
      <c r="BU5" s="228"/>
      <c r="BV5" s="229"/>
      <c r="BW5" s="229"/>
      <c r="BX5" s="229"/>
      <c r="BY5" s="229"/>
      <c r="CE5" s="228"/>
      <c r="CF5" s="228"/>
      <c r="CG5" s="228"/>
      <c r="CH5" s="228"/>
      <c r="CI5" s="228"/>
      <c r="CJ5" s="228"/>
      <c r="CK5" s="228"/>
    </row>
    <row r="6" spans="1:93" ht="21" customHeight="1" x14ac:dyDescent="0.2">
      <c r="A6" s="7" t="s">
        <v>13</v>
      </c>
      <c r="B6" s="1283"/>
      <c r="C6" s="1284"/>
      <c r="D6" s="1284"/>
      <c r="E6" s="123"/>
      <c r="F6" s="1023"/>
      <c r="G6" s="11" t="s">
        <v>22</v>
      </c>
      <c r="H6" s="2"/>
      <c r="I6" s="2"/>
      <c r="BR6" s="228"/>
      <c r="BS6" s="228"/>
      <c r="BT6" s="228"/>
      <c r="BU6" s="228"/>
      <c r="BV6" s="229"/>
      <c r="BW6" s="229"/>
      <c r="BX6" s="229"/>
      <c r="BY6" s="229"/>
      <c r="CE6" s="228"/>
      <c r="CF6" s="228"/>
      <c r="CG6" s="228"/>
      <c r="CH6" s="228"/>
      <c r="CI6" s="228"/>
      <c r="CJ6" s="228"/>
      <c r="CK6" s="228"/>
    </row>
    <row r="7" spans="1:93" ht="21" customHeight="1" x14ac:dyDescent="0.2">
      <c r="A7" s="1102" t="s">
        <v>7932</v>
      </c>
      <c r="B7" s="1288"/>
      <c r="C7" s="1289"/>
      <c r="D7" s="1289"/>
      <c r="E7" s="123"/>
      <c r="F7" s="2"/>
      <c r="G7" s="1023"/>
      <c r="H7" s="523" t="s">
        <v>531</v>
      </c>
      <c r="I7" s="194"/>
      <c r="BR7" s="228"/>
      <c r="BS7" s="228"/>
      <c r="BT7" s="228"/>
      <c r="BU7" s="228"/>
      <c r="BV7" s="229"/>
      <c r="BW7" s="229"/>
      <c r="BX7" s="229"/>
      <c r="BY7" s="229"/>
      <c r="CE7" s="228"/>
      <c r="CF7" s="228"/>
      <c r="CG7" s="228"/>
      <c r="CH7" s="228"/>
      <c r="CI7" s="228"/>
      <c r="CJ7" s="228"/>
      <c r="CK7" s="228"/>
    </row>
    <row r="8" spans="1:93" ht="21" customHeight="1" x14ac:dyDescent="0.2">
      <c r="A8" s="7" t="s">
        <v>14</v>
      </c>
      <c r="B8" s="1279"/>
      <c r="C8" s="1280"/>
      <c r="D8" s="1280"/>
      <c r="E8" s="123"/>
      <c r="G8" s="1023"/>
      <c r="H8" s="430" t="s">
        <v>7942</v>
      </c>
      <c r="I8" s="2"/>
      <c r="M8" s="228" t="s">
        <v>550</v>
      </c>
      <c r="BR8" s="228"/>
      <c r="BS8" s="228"/>
      <c r="BT8" s="228"/>
      <c r="BU8" s="228"/>
      <c r="BV8" s="229"/>
      <c r="BW8" s="229"/>
      <c r="BX8" s="229"/>
      <c r="BY8" s="229"/>
      <c r="CE8" s="228"/>
      <c r="CF8" s="228"/>
      <c r="CG8" s="228"/>
      <c r="CH8" s="228"/>
      <c r="CI8" s="228"/>
      <c r="CJ8" s="228"/>
      <c r="CK8" s="228"/>
    </row>
    <row r="9" spans="1:93" ht="21" customHeight="1" x14ac:dyDescent="0.2">
      <c r="A9" s="7" t="s">
        <v>15</v>
      </c>
      <c r="B9" s="1279"/>
      <c r="C9" s="1280"/>
      <c r="D9" s="1280"/>
      <c r="E9" s="123"/>
      <c r="F9" s="1023"/>
      <c r="G9" s="11" t="s">
        <v>23</v>
      </c>
      <c r="H9" s="2"/>
      <c r="M9" s="10">
        <f>IF(AND(F9=0,M5=0.000001,F6=0),0.000001,F9)</f>
        <v>9.9999999999999995E-7</v>
      </c>
      <c r="BR9" s="228"/>
      <c r="BS9" s="228"/>
      <c r="BT9" s="228"/>
      <c r="BU9" s="228"/>
      <c r="BV9" s="229"/>
      <c r="BW9" s="229"/>
      <c r="BX9" s="229"/>
      <c r="BY9" s="229"/>
      <c r="CE9" s="228"/>
      <c r="CF9" s="228"/>
      <c r="CG9" s="228"/>
      <c r="CH9" s="228"/>
      <c r="CI9" s="228"/>
      <c r="CJ9" s="228"/>
      <c r="CK9" s="228"/>
    </row>
    <row r="10" spans="1:93" ht="21" customHeight="1" x14ac:dyDescent="0.2">
      <c r="A10" s="7" t="s">
        <v>16</v>
      </c>
      <c r="B10" s="1279"/>
      <c r="C10" s="1280"/>
      <c r="D10" s="1280"/>
      <c r="E10" s="216"/>
      <c r="G10" s="1023"/>
      <c r="H10" s="523" t="s">
        <v>531</v>
      </c>
      <c r="I10" s="194"/>
      <c r="R10" s="228" t="s">
        <v>201</v>
      </c>
      <c r="BR10" s="228"/>
      <c r="BS10" s="228"/>
      <c r="BT10" s="228"/>
      <c r="BU10" s="228"/>
      <c r="BV10" s="229"/>
      <c r="BW10" s="229"/>
      <c r="BX10" s="229"/>
      <c r="BY10" s="229"/>
      <c r="CE10" s="228"/>
      <c r="CF10" s="228"/>
      <c r="CG10" s="228"/>
      <c r="CH10" s="228"/>
      <c r="CI10" s="228"/>
      <c r="CJ10" s="228"/>
      <c r="CK10" s="228"/>
    </row>
    <row r="11" spans="1:93" ht="21" customHeight="1" thickBot="1" x14ac:dyDescent="0.25">
      <c r="A11" s="195"/>
      <c r="B11" s="447" t="str">
        <f>IF(BH39=2,IF(B12&lt;3000,"Milchleistung nicht plausibel"," ")," ")</f>
        <v xml:space="preserve"> </v>
      </c>
      <c r="C11" s="216"/>
      <c r="D11" s="216"/>
      <c r="E11" s="216"/>
      <c r="G11" s="1023"/>
      <c r="H11" s="430" t="s">
        <v>7943</v>
      </c>
      <c r="I11" s="2"/>
      <c r="J11" s="28"/>
      <c r="BR11" s="228"/>
      <c r="BS11" s="228"/>
      <c r="BT11" s="228"/>
      <c r="BU11" s="228"/>
      <c r="BV11" s="229"/>
      <c r="BW11" s="229"/>
      <c r="BX11" s="229"/>
      <c r="BY11" s="229"/>
      <c r="CE11" s="228"/>
      <c r="CF11" s="228"/>
      <c r="CG11" s="228"/>
      <c r="CH11" s="228"/>
      <c r="CI11" s="228"/>
      <c r="CJ11" s="228"/>
      <c r="CK11" s="228"/>
    </row>
    <row r="12" spans="1:93" ht="21" customHeight="1" thickBot="1" x14ac:dyDescent="0.25">
      <c r="A12" s="7" t="s">
        <v>18</v>
      </c>
      <c r="B12" s="1024"/>
      <c r="C12" s="139" t="s">
        <v>19</v>
      </c>
      <c r="D12" s="2"/>
      <c r="E12" s="195"/>
      <c r="F12" s="1023"/>
      <c r="G12" s="1286" t="s">
        <v>555</v>
      </c>
      <c r="H12" s="1287"/>
      <c r="I12" s="1287"/>
      <c r="J12" s="1287"/>
      <c r="N12" s="230" t="s">
        <v>309</v>
      </c>
      <c r="T12" s="231">
        <f>IF(W12=1,0,100)</f>
        <v>0</v>
      </c>
      <c r="W12" s="228">
        <v>1</v>
      </c>
      <c r="X12" s="232" t="s">
        <v>334</v>
      </c>
      <c r="BD12" s="233">
        <f>IF(M5=0,0,+(M9-G11)/(M5-G8-G11))</f>
        <v>1</v>
      </c>
      <c r="BE12" s="233"/>
      <c r="BF12" s="233"/>
      <c r="BG12" s="233"/>
      <c r="BH12" s="228" t="s">
        <v>26</v>
      </c>
      <c r="BR12" s="228"/>
      <c r="BS12" s="228"/>
      <c r="BT12" s="228"/>
      <c r="BU12" s="228"/>
      <c r="BV12" s="229"/>
      <c r="BW12" s="229"/>
      <c r="BX12" s="229"/>
      <c r="BY12" s="229"/>
      <c r="CE12" s="228"/>
      <c r="CF12" s="228"/>
      <c r="CG12" s="228"/>
      <c r="CH12" s="228"/>
      <c r="CI12" s="228"/>
      <c r="CJ12" s="228"/>
      <c r="CK12" s="228"/>
    </row>
    <row r="13" spans="1:93" ht="18.75" customHeight="1" x14ac:dyDescent="0.2">
      <c r="A13" s="7" t="s">
        <v>24</v>
      </c>
      <c r="B13" s="1025"/>
      <c r="C13" s="499">
        <f>IF(B13&gt;0,B13,+Niederschläge!L98)</f>
        <v>0</v>
      </c>
      <c r="D13" s="385" t="s">
        <v>530</v>
      </c>
      <c r="E13" s="384"/>
      <c r="F13" s="18"/>
      <c r="G13" s="139"/>
      <c r="H13" s="1285" t="s">
        <v>487</v>
      </c>
      <c r="I13" s="1285"/>
      <c r="J13" s="1285"/>
      <c r="X13" s="232" t="s">
        <v>333</v>
      </c>
      <c r="BR13" s="228"/>
      <c r="BS13" s="228"/>
      <c r="BT13" s="228"/>
      <c r="BU13" s="228"/>
      <c r="BV13" s="229"/>
      <c r="BW13" s="229"/>
      <c r="BX13" s="229"/>
      <c r="BY13" s="229"/>
      <c r="CE13" s="228"/>
      <c r="CF13" s="228"/>
      <c r="CG13" s="228"/>
      <c r="CH13" s="228"/>
      <c r="CI13" s="228"/>
      <c r="CJ13" s="228"/>
      <c r="CK13" s="228"/>
    </row>
    <row r="14" spans="1:93" ht="4.5" customHeight="1" x14ac:dyDescent="0.2">
      <c r="A14" s="28"/>
      <c r="B14" s="155"/>
      <c r="E14" s="2"/>
      <c r="F14" s="1116"/>
      <c r="G14" s="2"/>
      <c r="H14" s="2"/>
      <c r="I14" s="2"/>
      <c r="J14" s="2"/>
      <c r="BR14" s="228"/>
      <c r="BS14" s="228"/>
      <c r="BT14" s="228"/>
      <c r="BU14" s="228"/>
      <c r="BV14" s="229"/>
      <c r="BW14" s="229"/>
      <c r="BX14" s="229"/>
      <c r="BY14" s="229"/>
      <c r="CE14" s="228"/>
      <c r="CF14" s="228"/>
      <c r="CG14" s="228"/>
      <c r="CH14" s="228"/>
      <c r="CI14" s="228"/>
      <c r="CJ14" s="228"/>
      <c r="CK14" s="228"/>
    </row>
    <row r="15" spans="1:93" ht="12.75" customHeight="1" thickBot="1" x14ac:dyDescent="0.25">
      <c r="A15" s="219" t="str">
        <f>IF((G40+G41+G42)&gt;1,IF(C13&lt;10,"Bitte Niederschlag oder Betriebsnummer eingeben"," ")," ")</f>
        <v xml:space="preserve"> </v>
      </c>
      <c r="C15" s="7"/>
      <c r="D15" s="2"/>
      <c r="E15" s="2"/>
      <c r="F15" s="1115" t="str">
        <f>IF(F6+M9&lt;&gt;M5,"Flächenangaben nicht plausibel",IF(G8+G7&gt;F6,"Flächenangaben nicht plausibel",IF(G11+G10&gt;M9,"Flächenangaben nicht plausibel"," ")))</f>
        <v xml:space="preserve"> </v>
      </c>
      <c r="G15" s="12"/>
      <c r="H15" s="2"/>
      <c r="I15" s="2"/>
      <c r="J15" s="2"/>
      <c r="P15" s="229"/>
      <c r="Q15" s="229"/>
      <c r="R15" s="229"/>
      <c r="S15" s="229"/>
      <c r="AI15" s="234"/>
      <c r="AJ15" s="234"/>
      <c r="AK15" s="234"/>
      <c r="AL15" s="234"/>
      <c r="BR15" s="228"/>
      <c r="BS15" s="228"/>
      <c r="BT15" s="228"/>
      <c r="BU15" s="228"/>
      <c r="BV15" s="229"/>
      <c r="BW15" s="229"/>
      <c r="BX15" s="229"/>
      <c r="BY15" s="229"/>
      <c r="CE15" s="228"/>
      <c r="CF15" s="228"/>
      <c r="CG15" s="228"/>
      <c r="CH15" s="228"/>
      <c r="CI15" s="228"/>
      <c r="CJ15" s="228"/>
      <c r="CK15" s="228"/>
    </row>
    <row r="16" spans="1:93" s="140" customFormat="1" ht="15.75" thickBot="1" x14ac:dyDescent="0.25">
      <c r="A16" s="183" t="s">
        <v>330</v>
      </c>
      <c r="B16" s="184"/>
      <c r="C16" s="184"/>
      <c r="D16" s="184"/>
      <c r="E16" s="184"/>
      <c r="F16" s="184"/>
      <c r="G16" s="184"/>
      <c r="H16" s="184"/>
      <c r="I16" s="184"/>
      <c r="J16" s="185"/>
      <c r="K16" s="14"/>
      <c r="M16" s="235"/>
      <c r="N16" s="235"/>
      <c r="O16" s="235"/>
      <c r="P16" s="235"/>
      <c r="Q16" s="235"/>
      <c r="R16" s="235"/>
      <c r="S16" s="235"/>
      <c r="T16" s="235"/>
      <c r="U16" s="235"/>
      <c r="V16" s="235"/>
      <c r="W16" s="241" t="s">
        <v>246</v>
      </c>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6"/>
      <c r="CA16" s="236"/>
      <c r="CB16" s="236"/>
      <c r="CC16" s="236"/>
      <c r="CD16" s="236"/>
      <c r="CE16" s="236"/>
      <c r="CF16" s="236"/>
      <c r="CG16" s="236"/>
      <c r="CH16" s="236"/>
      <c r="CI16" s="236"/>
      <c r="CJ16" s="235"/>
      <c r="CK16" s="235"/>
      <c r="CL16" s="235"/>
      <c r="CM16" s="235"/>
      <c r="CN16" s="235"/>
      <c r="CO16" s="235"/>
    </row>
    <row r="17" spans="1:123" s="140" customFormat="1" ht="0.75" customHeight="1" x14ac:dyDescent="0.2">
      <c r="A17" s="1"/>
      <c r="B17" s="13"/>
      <c r="C17" s="13"/>
      <c r="D17" s="13"/>
      <c r="E17" s="13"/>
      <c r="F17" s="13"/>
      <c r="G17" s="13"/>
      <c r="H17" s="13"/>
      <c r="I17" s="13"/>
      <c r="J17" s="13"/>
      <c r="K17" s="14"/>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6"/>
      <c r="CA17" s="236"/>
      <c r="CB17" s="236"/>
      <c r="CC17" s="236"/>
      <c r="CD17" s="236"/>
      <c r="CE17" s="236"/>
      <c r="CF17" s="236"/>
      <c r="CG17" s="236"/>
      <c r="CH17" s="236"/>
      <c r="CI17" s="236"/>
      <c r="CJ17" s="235"/>
      <c r="CK17" s="235"/>
      <c r="CL17" s="235"/>
      <c r="CM17" s="235"/>
      <c r="CN17" s="235"/>
      <c r="CO17" s="235"/>
    </row>
    <row r="18" spans="1:123" s="141" customFormat="1" ht="6.75" customHeight="1" thickBot="1" x14ac:dyDescent="0.25">
      <c r="A18" s="15"/>
      <c r="B18" s="1"/>
      <c r="C18" s="1"/>
      <c r="D18" s="1"/>
      <c r="E18" s="1"/>
      <c r="F18" s="1"/>
      <c r="G18" s="1"/>
      <c r="H18" s="1"/>
      <c r="I18" s="1"/>
      <c r="J18" s="1"/>
      <c r="K18" s="15"/>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8"/>
      <c r="CA18" s="238"/>
      <c r="CB18" s="238"/>
      <c r="CC18" s="238"/>
      <c r="CD18" s="238"/>
      <c r="CE18" s="238"/>
      <c r="CF18" s="238"/>
      <c r="CG18" s="238"/>
      <c r="CH18" s="238"/>
      <c r="CI18" s="238"/>
      <c r="CJ18" s="237"/>
      <c r="CK18" s="237"/>
      <c r="CL18" s="237"/>
      <c r="CM18" s="237"/>
      <c r="CN18" s="237"/>
      <c r="CO18" s="237"/>
    </row>
    <row r="19" spans="1:123" x14ac:dyDescent="0.2">
      <c r="A19" s="1185" t="s">
        <v>34</v>
      </c>
      <c r="B19" s="1190"/>
      <c r="C19" s="1186"/>
      <c r="D19" s="1190" t="s">
        <v>268</v>
      </c>
      <c r="E19" s="1190"/>
      <c r="F19" s="1190"/>
      <c r="G19" s="1190"/>
      <c r="H19" s="1190"/>
      <c r="I19" s="1185" t="s">
        <v>46</v>
      </c>
      <c r="J19" s="1186"/>
      <c r="K19" s="16"/>
      <c r="L19" s="18"/>
      <c r="M19" s="239"/>
      <c r="N19" s="240" t="s">
        <v>239</v>
      </c>
      <c r="O19" s="239"/>
      <c r="P19" s="1267" t="s">
        <v>469</v>
      </c>
      <c r="Q19" s="1267"/>
      <c r="R19" s="1267"/>
      <c r="S19" s="1267"/>
      <c r="T19" s="239"/>
      <c r="U19" s="239"/>
      <c r="V19" s="239"/>
      <c r="W19" s="1250" t="s">
        <v>251</v>
      </c>
      <c r="X19" s="1251"/>
      <c r="Y19" s="1251"/>
      <c r="Z19" s="1251"/>
      <c r="AA19" s="1251"/>
      <c r="AB19" s="1251"/>
      <c r="AC19" s="1251"/>
      <c r="AD19" s="1252"/>
      <c r="AE19" s="242"/>
      <c r="AF19" s="242"/>
      <c r="AG19" s="242"/>
      <c r="AH19" s="242"/>
      <c r="AI19" s="242"/>
      <c r="AJ19" s="242"/>
      <c r="AK19" s="239"/>
      <c r="AL19" s="239"/>
      <c r="AM19" s="239"/>
      <c r="AN19" s="239"/>
      <c r="AO19" s="239"/>
      <c r="AP19" s="239"/>
      <c r="AQ19" s="239"/>
      <c r="AR19" s="239"/>
      <c r="AS19" s="239"/>
      <c r="AT19" s="239"/>
      <c r="AU19" s="239"/>
      <c r="AV19" s="239"/>
      <c r="AW19" s="239"/>
      <c r="AX19" s="239"/>
      <c r="AY19" s="239"/>
      <c r="AZ19" s="239"/>
      <c r="BB19" s="239"/>
      <c r="BC19" s="239"/>
      <c r="BD19" s="239"/>
      <c r="BE19" s="239"/>
      <c r="BF19" s="239"/>
      <c r="BG19" s="389"/>
      <c r="BH19" s="239"/>
      <c r="BI19" s="239"/>
      <c r="BJ19" s="239"/>
      <c r="BK19" s="239"/>
      <c r="BL19" s="239"/>
      <c r="BM19" s="239"/>
      <c r="BN19" s="239"/>
      <c r="BO19" s="239"/>
      <c r="BP19" s="239"/>
      <c r="BQ19" s="239"/>
      <c r="BR19" s="239"/>
      <c r="BS19" s="239"/>
      <c r="BT19" s="239"/>
      <c r="BU19" s="239"/>
      <c r="BV19" s="239"/>
      <c r="BW19" s="239"/>
      <c r="BX19" s="239"/>
      <c r="BY19" s="239"/>
      <c r="BZ19" s="239"/>
      <c r="CA19" s="422"/>
      <c r="CB19" s="422"/>
      <c r="CC19" s="422"/>
      <c r="CD19" s="239"/>
      <c r="CE19" s="239"/>
      <c r="CF19" s="239"/>
      <c r="CG19" s="422"/>
      <c r="CH19" s="422"/>
      <c r="CI19" s="422"/>
      <c r="CJ19" s="239"/>
      <c r="CK19" s="239"/>
      <c r="CL19" s="239"/>
      <c r="CM19" s="239"/>
      <c r="CN19" s="239"/>
      <c r="CO19" s="239"/>
      <c r="CP19" s="239"/>
      <c r="CQ19" s="239"/>
      <c r="CR19" s="239"/>
      <c r="CS19" s="239"/>
      <c r="CT19" s="18"/>
      <c r="CU19" s="18"/>
      <c r="CV19" s="18"/>
      <c r="CW19" s="18"/>
      <c r="CX19" s="18"/>
      <c r="CY19" s="18"/>
      <c r="CZ19" s="18"/>
      <c r="DA19" s="18"/>
    </row>
    <row r="20" spans="1:123" x14ac:dyDescent="0.2">
      <c r="A20" s="1259"/>
      <c r="B20" s="1189"/>
      <c r="C20" s="1260"/>
      <c r="D20" s="424" t="s">
        <v>0</v>
      </c>
      <c r="E20" s="1189" t="s">
        <v>49</v>
      </c>
      <c r="F20" s="1194"/>
      <c r="G20" s="1188" t="s">
        <v>37</v>
      </c>
      <c r="H20" s="1260"/>
      <c r="I20" s="163" t="s">
        <v>45</v>
      </c>
      <c r="J20" s="163" t="s">
        <v>43</v>
      </c>
      <c r="K20" s="16"/>
      <c r="L20" s="18"/>
      <c r="M20" s="239"/>
      <c r="N20" s="240" t="s">
        <v>270</v>
      </c>
      <c r="O20" s="239"/>
      <c r="P20" s="1254" t="s">
        <v>466</v>
      </c>
      <c r="Q20" s="1268"/>
      <c r="R20" s="1250" t="s">
        <v>467</v>
      </c>
      <c r="S20" s="1251"/>
      <c r="T20" s="1252"/>
      <c r="U20" s="365" t="s">
        <v>310</v>
      </c>
      <c r="V20" s="366"/>
      <c r="W20" s="1254" t="s">
        <v>466</v>
      </c>
      <c r="X20" s="1255"/>
      <c r="Y20" s="1255"/>
      <c r="Z20" s="1255"/>
      <c r="AA20" s="1255" t="s">
        <v>467</v>
      </c>
      <c r="AB20" s="1255"/>
      <c r="AC20" s="1255"/>
      <c r="AD20" s="1255"/>
      <c r="AE20" s="247" t="s">
        <v>0</v>
      </c>
      <c r="AF20" s="247" t="s">
        <v>8</v>
      </c>
      <c r="AG20" s="1246" t="s">
        <v>247</v>
      </c>
      <c r="AH20" s="1246"/>
      <c r="AI20" s="1246"/>
      <c r="AJ20" s="1246"/>
      <c r="AK20" s="1246"/>
      <c r="AL20" s="1247"/>
      <c r="AM20" s="247" t="s">
        <v>247</v>
      </c>
      <c r="AN20" s="1246" t="s">
        <v>238</v>
      </c>
      <c r="AO20" s="1246"/>
      <c r="AP20" s="1246"/>
      <c r="AQ20" s="1246"/>
      <c r="AR20" s="1246"/>
      <c r="AS20" s="1247"/>
      <c r="AT20" s="239"/>
      <c r="AU20" s="1256" t="s">
        <v>243</v>
      </c>
      <c r="AV20" s="1257"/>
      <c r="AW20" s="1257"/>
      <c r="AX20" s="1257"/>
      <c r="AY20" s="1257"/>
      <c r="AZ20" s="1258"/>
      <c r="BA20" s="244" t="s">
        <v>239</v>
      </c>
      <c r="BB20" s="246" t="s">
        <v>239</v>
      </c>
      <c r="BC20" s="244"/>
      <c r="BD20" s="245"/>
      <c r="BE20" s="246"/>
      <c r="BF20" s="249"/>
      <c r="BG20" s="393"/>
      <c r="BH20" s="250"/>
      <c r="BI20" s="250"/>
      <c r="BJ20" s="250"/>
      <c r="BK20" s="250"/>
      <c r="BL20" s="250"/>
      <c r="BM20" s="1245" t="s">
        <v>254</v>
      </c>
      <c r="BN20" s="1246"/>
      <c r="BO20" s="1247"/>
      <c r="BP20" s="239"/>
      <c r="BQ20" s="239"/>
      <c r="BR20" s="239"/>
      <c r="BS20" s="239"/>
      <c r="BT20" s="239"/>
      <c r="BU20" s="239"/>
      <c r="BV20" s="239"/>
      <c r="BW20" s="239"/>
      <c r="BX20" s="239"/>
      <c r="BY20" s="239"/>
      <c r="BZ20" s="239"/>
      <c r="CA20" s="422"/>
      <c r="CB20" s="422"/>
      <c r="CC20" s="422"/>
      <c r="CD20" s="239"/>
      <c r="CE20" s="239"/>
      <c r="CF20" s="239"/>
      <c r="CG20" s="422"/>
      <c r="CH20" s="422"/>
      <c r="CI20" s="422"/>
      <c r="CJ20" s="239"/>
      <c r="CK20" s="239"/>
      <c r="CL20" s="239"/>
      <c r="CM20" s="239"/>
      <c r="CN20" s="239"/>
      <c r="CO20" s="239"/>
      <c r="CP20" s="239"/>
      <c r="CQ20" s="239"/>
      <c r="CR20" s="239"/>
      <c r="CS20" s="239"/>
      <c r="CT20" s="18"/>
      <c r="CU20" s="18"/>
      <c r="CV20" s="18"/>
      <c r="CW20" s="18"/>
      <c r="CX20" s="378"/>
      <c r="CY20" s="378" t="s">
        <v>482</v>
      </c>
      <c r="CZ20" s="18"/>
      <c r="DA20" s="18"/>
      <c r="DB20" s="1243"/>
      <c r="DC20" s="1244"/>
      <c r="DD20" s="1407" t="s">
        <v>491</v>
      </c>
      <c r="DE20" s="1407"/>
      <c r="DF20" s="1407"/>
      <c r="DG20" s="1407"/>
      <c r="DP20" s="139" t="s">
        <v>644</v>
      </c>
      <c r="DR20" s="381" t="s">
        <v>7633</v>
      </c>
      <c r="DS20" s="381" t="s">
        <v>7633</v>
      </c>
    </row>
    <row r="21" spans="1:123" x14ac:dyDescent="0.2">
      <c r="A21" s="1261" t="str">
        <f>IF(DS42=0,"","* Fütterungsverfahren muss belegt werden!")</f>
        <v/>
      </c>
      <c r="B21" s="1262"/>
      <c r="C21" s="1263"/>
      <c r="D21" s="431"/>
      <c r="E21" s="164"/>
      <c r="F21" s="165" t="s">
        <v>50</v>
      </c>
      <c r="G21" s="166" t="s">
        <v>48</v>
      </c>
      <c r="H21" s="167" t="s">
        <v>47</v>
      </c>
      <c r="I21" s="163" t="s">
        <v>8</v>
      </c>
      <c r="J21" s="163" t="s">
        <v>44</v>
      </c>
      <c r="K21" s="16"/>
      <c r="L21" s="18"/>
      <c r="M21" s="239"/>
      <c r="N21" s="239"/>
      <c r="O21" s="239"/>
      <c r="P21" s="239" t="s">
        <v>0</v>
      </c>
      <c r="Q21" s="239" t="s">
        <v>195</v>
      </c>
      <c r="R21" s="239" t="s">
        <v>0</v>
      </c>
      <c r="S21" s="239" t="s">
        <v>195</v>
      </c>
      <c r="T21" s="240" t="s">
        <v>195</v>
      </c>
      <c r="U21" s="240" t="s">
        <v>0</v>
      </c>
      <c r="V21" s="240" t="s">
        <v>10</v>
      </c>
      <c r="W21" s="251" t="s">
        <v>4</v>
      </c>
      <c r="X21" s="240" t="s">
        <v>4</v>
      </c>
      <c r="Y21" s="240" t="s">
        <v>248</v>
      </c>
      <c r="Z21" s="243" t="s">
        <v>5</v>
      </c>
      <c r="AA21" s="251" t="s">
        <v>4</v>
      </c>
      <c r="AB21" s="240" t="s">
        <v>4</v>
      </c>
      <c r="AC21" s="240" t="s">
        <v>248</v>
      </c>
      <c r="AD21" s="243" t="s">
        <v>5</v>
      </c>
      <c r="AE21" s="252" t="s">
        <v>318</v>
      </c>
      <c r="AF21" s="252" t="s">
        <v>318</v>
      </c>
      <c r="AG21" s="1267" t="s">
        <v>466</v>
      </c>
      <c r="AH21" s="1267"/>
      <c r="AI21" s="1267"/>
      <c r="AJ21" s="1255" t="s">
        <v>467</v>
      </c>
      <c r="AK21" s="1255"/>
      <c r="AL21" s="1255"/>
      <c r="AM21" s="253" t="s">
        <v>318</v>
      </c>
      <c r="AN21" s="1255" t="s">
        <v>466</v>
      </c>
      <c r="AO21" s="1255"/>
      <c r="AP21" s="1255"/>
      <c r="AQ21" s="1255" t="s">
        <v>467</v>
      </c>
      <c r="AR21" s="1255"/>
      <c r="AS21" s="1255"/>
      <c r="AT21" s="239"/>
      <c r="AU21" s="1254" t="s">
        <v>466</v>
      </c>
      <c r="AV21" s="1276"/>
      <c r="AW21" s="1268"/>
      <c r="AX21" s="1250" t="s">
        <v>467</v>
      </c>
      <c r="AY21" s="1251"/>
      <c r="AZ21" s="1252"/>
      <c r="BA21" s="251" t="s">
        <v>8</v>
      </c>
      <c r="BB21" s="243" t="s">
        <v>10</v>
      </c>
      <c r="BC21" s="1250" t="s">
        <v>250</v>
      </c>
      <c r="BD21" s="1251"/>
      <c r="BE21" s="1252"/>
      <c r="BF21" s="254"/>
      <c r="BG21" s="254" t="s">
        <v>249</v>
      </c>
      <c r="BH21" s="255"/>
      <c r="BI21" s="255"/>
      <c r="BJ21" s="254" t="s">
        <v>196</v>
      </c>
      <c r="BK21" s="254" t="s">
        <v>196</v>
      </c>
      <c r="BL21" s="254" t="s">
        <v>196</v>
      </c>
      <c r="BM21" s="256"/>
      <c r="BN21" s="257"/>
      <c r="BO21" s="258"/>
      <c r="BP21" s="244" t="s">
        <v>0</v>
      </c>
      <c r="BQ21" s="246" t="s">
        <v>8</v>
      </c>
      <c r="BR21" s="1245" t="s">
        <v>10</v>
      </c>
      <c r="BS21" s="1246"/>
      <c r="BT21" s="1247"/>
      <c r="BU21" s="1245" t="s">
        <v>240</v>
      </c>
      <c r="BV21" s="1247"/>
      <c r="BW21" s="249" t="s">
        <v>269</v>
      </c>
      <c r="BX21" s="1245" t="s">
        <v>301</v>
      </c>
      <c r="BY21" s="1246"/>
      <c r="BZ21" s="1247"/>
      <c r="CA21" s="1269" t="s">
        <v>525</v>
      </c>
      <c r="CB21" s="1246"/>
      <c r="CC21" s="1247"/>
      <c r="CD21" s="1245" t="s">
        <v>298</v>
      </c>
      <c r="CE21" s="1246"/>
      <c r="CF21" s="1247"/>
      <c r="CG21" s="1269" t="s">
        <v>526</v>
      </c>
      <c r="CH21" s="1246"/>
      <c r="CI21" s="1247"/>
      <c r="CJ21" s="1245" t="s">
        <v>312</v>
      </c>
      <c r="CK21" s="1246"/>
      <c r="CL21" s="1246" t="s">
        <v>316</v>
      </c>
      <c r="CM21" s="1247"/>
      <c r="CN21" s="259" t="s">
        <v>319</v>
      </c>
      <c r="CO21" s="248" t="s">
        <v>321</v>
      </c>
      <c r="CP21" s="239"/>
      <c r="CQ21" s="239"/>
      <c r="CR21" s="239"/>
      <c r="CS21" s="240" t="s">
        <v>462</v>
      </c>
      <c r="CT21" s="18"/>
      <c r="CU21" s="18"/>
      <c r="CV21" s="1253" t="s">
        <v>464</v>
      </c>
      <c r="CW21" s="1253"/>
      <c r="CX21" s="18"/>
      <c r="CY21" s="482" t="s">
        <v>560</v>
      </c>
      <c r="CZ21" s="18"/>
      <c r="DA21" s="18"/>
      <c r="DB21" s="142"/>
      <c r="DC21" s="143"/>
      <c r="DD21" s="381" t="s">
        <v>256</v>
      </c>
      <c r="DE21" s="381" t="s">
        <v>492</v>
      </c>
      <c r="DF21" s="1407" t="s">
        <v>256</v>
      </c>
      <c r="DG21" s="1407"/>
      <c r="DL21" s="139" t="s">
        <v>520</v>
      </c>
      <c r="DN21" s="381" t="s">
        <v>529</v>
      </c>
      <c r="DP21" s="139" t="s">
        <v>645</v>
      </c>
      <c r="DR21" s="381" t="s">
        <v>7634</v>
      </c>
      <c r="DS21" s="381" t="s">
        <v>7634</v>
      </c>
    </row>
    <row r="22" spans="1:123" ht="13.5" thickBot="1" x14ac:dyDescent="0.25">
      <c r="A22" s="1264"/>
      <c r="B22" s="1265"/>
      <c r="C22" s="1266"/>
      <c r="D22" s="432" t="s">
        <v>11</v>
      </c>
      <c r="E22" s="168" t="s">
        <v>11</v>
      </c>
      <c r="F22" s="169" t="s">
        <v>36</v>
      </c>
      <c r="G22" s="170" t="s">
        <v>38</v>
      </c>
      <c r="H22" s="171" t="s">
        <v>38</v>
      </c>
      <c r="I22" s="172" t="s">
        <v>244</v>
      </c>
      <c r="J22" s="172" t="s">
        <v>245</v>
      </c>
      <c r="K22" s="16"/>
      <c r="L22" s="18"/>
      <c r="M22" s="239"/>
      <c r="N22" s="240" t="s">
        <v>244</v>
      </c>
      <c r="O22" s="239"/>
      <c r="P22" s="239"/>
      <c r="Q22" s="239"/>
      <c r="R22" s="239"/>
      <c r="S22" s="239"/>
      <c r="T22" s="240" t="s">
        <v>1</v>
      </c>
      <c r="U22" s="240" t="s">
        <v>11</v>
      </c>
      <c r="V22" s="240" t="s">
        <v>11</v>
      </c>
      <c r="W22" s="260"/>
      <c r="X22" s="240" t="s">
        <v>208</v>
      </c>
      <c r="Y22" s="239"/>
      <c r="Z22" s="261"/>
      <c r="AA22" s="260"/>
      <c r="AB22" s="240" t="s">
        <v>208</v>
      </c>
      <c r="AC22" s="239"/>
      <c r="AD22" s="261"/>
      <c r="AE22" s="262"/>
      <c r="AF22" s="262"/>
      <c r="AG22" s="251" t="s">
        <v>4</v>
      </c>
      <c r="AH22" s="240" t="s">
        <v>248</v>
      </c>
      <c r="AI22" s="243" t="s">
        <v>5</v>
      </c>
      <c r="AJ22" s="251" t="s">
        <v>4</v>
      </c>
      <c r="AK22" s="240" t="s">
        <v>248</v>
      </c>
      <c r="AL22" s="243" t="s">
        <v>5</v>
      </c>
      <c r="AM22" s="252"/>
      <c r="AN22" s="251" t="s">
        <v>4</v>
      </c>
      <c r="AO22" s="240" t="s">
        <v>248</v>
      </c>
      <c r="AP22" s="243" t="s">
        <v>5</v>
      </c>
      <c r="AQ22" s="251" t="s">
        <v>4</v>
      </c>
      <c r="AR22" s="240" t="s">
        <v>248</v>
      </c>
      <c r="AS22" s="243" t="s">
        <v>5</v>
      </c>
      <c r="AT22" s="239"/>
      <c r="AU22" s="368" t="s">
        <v>468</v>
      </c>
      <c r="AV22" s="369" t="s">
        <v>10</v>
      </c>
      <c r="AW22" s="369" t="s">
        <v>470</v>
      </c>
      <c r="AX22" s="251" t="s">
        <v>0</v>
      </c>
      <c r="AY22" s="240" t="s">
        <v>10</v>
      </c>
      <c r="AZ22" s="367" t="s">
        <v>470</v>
      </c>
      <c r="BA22" s="251"/>
      <c r="BB22" s="243"/>
      <c r="BC22" s="251" t="s">
        <v>4</v>
      </c>
      <c r="BD22" s="240" t="s">
        <v>248</v>
      </c>
      <c r="BE22" s="243" t="s">
        <v>5</v>
      </c>
      <c r="BF22" s="254" t="s">
        <v>249</v>
      </c>
      <c r="BG22" s="392" t="s">
        <v>501</v>
      </c>
      <c r="BH22" s="254" t="s">
        <v>242</v>
      </c>
      <c r="BI22" s="254" t="s">
        <v>238</v>
      </c>
      <c r="BJ22" s="254"/>
      <c r="BK22" s="254"/>
      <c r="BL22" s="254" t="s">
        <v>256</v>
      </c>
      <c r="BM22" s="251" t="s">
        <v>4</v>
      </c>
      <c r="BN22" s="240" t="s">
        <v>248</v>
      </c>
      <c r="BO22" s="243" t="s">
        <v>5</v>
      </c>
      <c r="BP22" s="263" t="s">
        <v>239</v>
      </c>
      <c r="BQ22" s="264" t="s">
        <v>239</v>
      </c>
      <c r="BR22" s="263" t="s">
        <v>39</v>
      </c>
      <c r="BS22" s="265" t="s">
        <v>40</v>
      </c>
      <c r="BT22" s="264" t="s">
        <v>41</v>
      </c>
      <c r="BU22" s="263" t="s">
        <v>0</v>
      </c>
      <c r="BV22" s="264" t="s">
        <v>241</v>
      </c>
      <c r="BW22" s="266" t="s">
        <v>10</v>
      </c>
      <c r="BX22" s="263" t="s">
        <v>297</v>
      </c>
      <c r="BY22" s="265" t="s">
        <v>40</v>
      </c>
      <c r="BZ22" s="264" t="s">
        <v>41</v>
      </c>
      <c r="CA22" s="263" t="s">
        <v>297</v>
      </c>
      <c r="CB22" s="265" t="s">
        <v>40</v>
      </c>
      <c r="CC22" s="264" t="s">
        <v>41</v>
      </c>
      <c r="CD22" s="263" t="s">
        <v>4</v>
      </c>
      <c r="CE22" s="265" t="s">
        <v>248</v>
      </c>
      <c r="CF22" s="264" t="s">
        <v>5</v>
      </c>
      <c r="CG22" s="263" t="s">
        <v>4</v>
      </c>
      <c r="CH22" s="265" t="s">
        <v>248</v>
      </c>
      <c r="CI22" s="264" t="s">
        <v>5</v>
      </c>
      <c r="CJ22" s="263" t="s">
        <v>313</v>
      </c>
      <c r="CK22" s="265" t="s">
        <v>314</v>
      </c>
      <c r="CL22" s="265" t="s">
        <v>313</v>
      </c>
      <c r="CM22" s="1138" t="s">
        <v>8001</v>
      </c>
      <c r="CN22" s="260" t="s">
        <v>320</v>
      </c>
      <c r="CO22" s="261" t="s">
        <v>322</v>
      </c>
      <c r="CP22" s="239"/>
      <c r="CQ22" s="239"/>
      <c r="CR22" s="239"/>
      <c r="CS22" s="240" t="s">
        <v>0</v>
      </c>
      <c r="CT22" s="220" t="s">
        <v>8</v>
      </c>
      <c r="CU22" s="220" t="s">
        <v>10</v>
      </c>
      <c r="CV22" s="362" t="s">
        <v>465</v>
      </c>
      <c r="CW22" s="220" t="s">
        <v>10</v>
      </c>
      <c r="CX22" s="18"/>
      <c r="CY22" s="251" t="s">
        <v>4</v>
      </c>
      <c r="CZ22" s="240" t="s">
        <v>248</v>
      </c>
      <c r="DA22" s="243" t="s">
        <v>5</v>
      </c>
      <c r="DD22" s="381" t="s">
        <v>490</v>
      </c>
      <c r="DE22" s="381" t="s">
        <v>490</v>
      </c>
      <c r="DF22" s="381" t="s">
        <v>7745</v>
      </c>
      <c r="DG22" s="381" t="s">
        <v>7746</v>
      </c>
      <c r="DL22" s="139" t="s">
        <v>466</v>
      </c>
      <c r="DM22" s="139" t="s">
        <v>467</v>
      </c>
      <c r="DN22" s="139" t="s">
        <v>466</v>
      </c>
      <c r="DO22" s="139" t="s">
        <v>467</v>
      </c>
      <c r="DP22" s="139" t="s">
        <v>466</v>
      </c>
      <c r="DQ22" s="381" t="s">
        <v>467</v>
      </c>
      <c r="DR22" s="381" t="s">
        <v>7635</v>
      </c>
      <c r="DS22" s="381" t="s">
        <v>7964</v>
      </c>
    </row>
    <row r="23" spans="1:123" ht="15.75" customHeight="1" x14ac:dyDescent="0.2">
      <c r="A23" s="1248"/>
      <c r="B23" s="1249"/>
      <c r="C23" s="1277"/>
      <c r="D23" s="1026"/>
      <c r="E23" s="1027"/>
      <c r="F23" s="1105"/>
      <c r="G23" s="1032"/>
      <c r="H23" s="1033"/>
      <c r="I23" s="464" t="str">
        <f>IF(P23+R23=0," ",(P23+R23)/2)</f>
        <v xml:space="preserve"> </v>
      </c>
      <c r="J23" s="464" t="str">
        <f>IF(Q23+S23=0," ",(Q23+S23)/2)</f>
        <v xml:space="preserve"> </v>
      </c>
      <c r="K23" s="17"/>
      <c r="L23" s="1078">
        <f>IF(OR(AND(D23&gt;0,I23=" ",J23=" ",SUM(G23:H23)&lt;199),AND(E23&gt;0,J23=" ",SUM(G23:H23)&lt;199)),1,0)</f>
        <v>0</v>
      </c>
      <c r="M23" s="267"/>
      <c r="N23" s="267" t="str">
        <f>IF(J23=" "," ",(J23*(1/BW23)))</f>
        <v xml:space="preserve"> </v>
      </c>
      <c r="O23" s="267"/>
      <c r="P23" s="267">
        <f t="shared" ref="P23" si="0">IF(CQ23=FALSE,0,IF(U23+V23=0,0,IF(AU23*BP23+AV23*BA23=0,0,AU23*BP23+AV23*BA23)))</f>
        <v>0</v>
      </c>
      <c r="Q23" s="267">
        <f>IF(CQ23=FALSE,0,IF(V23=0,0,IF(AY23+AV23=0,0,IF(BF23=4,AV23*BB23-(D23*(1-G23/100)*BZ23*365*BJ23/1000/AM23*86)+DN23-DL23,AV23*BB23+DN23-DL23))))</f>
        <v>0</v>
      </c>
      <c r="R23" s="267">
        <f t="shared" ref="R23" si="1">IF(CQ23=FALSE,0,IF(U23+V23=0,0,IF(AX23*BP23+AY23*BA23=0,0,AX23*BP23+AY23*BA23)))</f>
        <v>0</v>
      </c>
      <c r="S23" s="267">
        <f>IF(CQ23=FALSE,0,IF(V23=0,0,IF(AY23+AV23=0,0,IF(BF23=4,AY23*BB23-(D23*(1-H23/100)*BZ23*365*BJ23/1000/AM23*86)+DO23-DM23,AY23*BB23+DO23-DM23))))</f>
        <v>0</v>
      </c>
      <c r="T23" s="267" t="str">
        <f t="shared" ref="T23:T38" si="2">IF(S23=0," ",(S23*(1/BW23)))</f>
        <v xml:space="preserve"> </v>
      </c>
      <c r="U23" s="268">
        <f t="shared" ref="U23" si="3">IF(BP23=0,0,D23)</f>
        <v>0</v>
      </c>
      <c r="V23" s="269">
        <f>IF(BP23=0,D23+E23,E23)</f>
        <v>0</v>
      </c>
      <c r="W23" s="372">
        <f>+(AU23*BM23*(100-BU23)/100)+(BA23*BC23*AV23)</f>
        <v>0</v>
      </c>
      <c r="X23" s="372">
        <f t="shared" ref="X23" si="4">IF(BF23=2,W23,0)</f>
        <v>0</v>
      </c>
      <c r="Y23" s="372">
        <f>AU23*BN23+AV23*BA23*BD23</f>
        <v>0</v>
      </c>
      <c r="Z23" s="372">
        <f>AU23*BO23+AV23*BA23*BE23</f>
        <v>0</v>
      </c>
      <c r="AA23" s="270">
        <f t="shared" ref="AA23" si="5">+(AX23*BM23*(100-BU23)/100)+(BA23*BC23*AY23)</f>
        <v>0</v>
      </c>
      <c r="AB23" s="267">
        <f t="shared" ref="AB23" si="6">IF(BF23=2,AA23,0)</f>
        <v>0</v>
      </c>
      <c r="AC23" s="267">
        <f t="shared" ref="AC23" si="7">AX23*BN23+AY23*BA23*BD23</f>
        <v>0</v>
      </c>
      <c r="AD23" s="271">
        <f t="shared" ref="AD23" si="8">AX23*BO23+AY23*BA23*BE23</f>
        <v>0</v>
      </c>
      <c r="AE23" s="272">
        <f>INDEX(Tiere!I$30:I$112,'Nährstoffe und Lagerraum'!$BH23)</f>
        <v>0</v>
      </c>
      <c r="AF23" s="272">
        <f>INDEX(Tiere!W$30:W$112,'Nährstoffe und Lagerraum'!BH23)</f>
        <v>0</v>
      </c>
      <c r="AG23" s="267">
        <f>+(AV23*BM23*(100-BV23)/100)-BA23*AV23*BC23</f>
        <v>0</v>
      </c>
      <c r="AH23" s="267">
        <f>AV23*BN23-AV23*BA23*BD23</f>
        <v>0</v>
      </c>
      <c r="AI23" s="267">
        <f>AV23*BO23-AV23*BA23*BE23</f>
        <v>0</v>
      </c>
      <c r="AJ23" s="270">
        <f t="shared" ref="AJ23" si="9">+(AY23*BM23*(100-BV23)/100)-BA23*AY23*BC23</f>
        <v>0</v>
      </c>
      <c r="AK23" s="267">
        <f t="shared" ref="AK23" si="10">AY23*BN23-AY23*BA23*BD23</f>
        <v>0</v>
      </c>
      <c r="AL23" s="271">
        <f t="shared" ref="AL23" si="11">AY23*BO23-AY23*BA23*BE23</f>
        <v>0</v>
      </c>
      <c r="AM23" s="272" cm="1">
        <f t="array" ref="AM23">IF(BI23=1,INDEX(Tiere!S$30:S$112,'Nährstoffe und Lagerraum'!$BH23),IF(BI23=2,INDEX(Tiere!$T$30:$T$112,'Nährstoffe und Lagerraum'!BH23),INDEX(Tiere!$U$30:$U$112,'Nährstoffe und Lagerraum'!BH23)))</f>
        <v>0</v>
      </c>
      <c r="AN23" s="426">
        <f>IF(BI23=1,AW23*CA23*BK23*365/1000*CG23,IF(BI23=2,AW23*CB23*BK23*365/1000*CG23,AW23*CC23*BK23*365/1000*CG23))</f>
        <v>0</v>
      </c>
      <c r="AO23" s="426">
        <f>IF(BI23=1,AW23*CA23*BK23*365/1000*CH23,IF(BI23=2,AW23*CB23*BK23*365/1000*CH23,AW23*CC23*BK23*365/1000*CH23))</f>
        <v>0</v>
      </c>
      <c r="AP23" s="426">
        <f>IF(BI23=1,AW23*CA23*BK23*365/1000*CI23,IF(BI23=2,AW23*CB23*BK23*365/1000*CI23,AW23*BK23*CC23*365/1000*CI23))</f>
        <v>0</v>
      </c>
      <c r="AQ23" s="427">
        <f>IF(BI23=1,AZ23*CA23*BK23*365/1000*CG23,IF(BI23=2,AZ23*CB23*BK23*365/1000*CG23,AZ23*CC23*BK23*365/1000*CG23))</f>
        <v>0</v>
      </c>
      <c r="AR23" s="428">
        <f>IF(BI23=1,AZ23*CA23*BK23*365/1000*CH23,IF(BI23=2,AZ23*CB23*BK23*365/1000*CH23,AZ23*CC23*BK23*365/1000*CH23))</f>
        <v>0</v>
      </c>
      <c r="AS23" s="429">
        <f>IF(BI23=1,AZ23*CA23*BK23*365/1000*CI23,IF(BI23=2,AZ23*CB23*BK23*365/1000*CI23,AZ23*CC23*BK23*365/1000*CI23))</f>
        <v>0</v>
      </c>
      <c r="AT23" s="267"/>
      <c r="AU23" s="370">
        <f t="shared" ref="AU23" si="12">+U23*(100-$G23)/100</f>
        <v>0</v>
      </c>
      <c r="AV23" s="371">
        <f t="shared" ref="AV23" si="13">+V23*(100-$G23)/100</f>
        <v>0</v>
      </c>
      <c r="AW23" s="371">
        <f>IF(BF23=5,(E23+D23)*(100-G23)/100,E23*(100-$G23)/100)</f>
        <v>0</v>
      </c>
      <c r="AX23" s="270">
        <f t="shared" ref="AX23" si="14">+U23*(100-$H23)/100</f>
        <v>0</v>
      </c>
      <c r="AY23" s="267">
        <f t="shared" ref="AY23" si="15">+V23*(100-$H23)/100</f>
        <v>0</v>
      </c>
      <c r="AZ23" s="271">
        <f>IF(BF23=5,(E23+D23)*(100-H23)/100,E23*(100-$H23)/100)</f>
        <v>0</v>
      </c>
      <c r="BA23" s="275">
        <f>IF(BI23=1,BQ23,IF(BI23=2,BQ23/2,0))</f>
        <v>0</v>
      </c>
      <c r="BB23" s="276">
        <f>IF(BI23=1,BR23,IF(BI23=2,BS23,BT23))</f>
        <v>0</v>
      </c>
      <c r="BC23" s="273">
        <f>INDEX(Tiere!AI$30:AI$112,'Nährstoffe und Lagerraum'!$BH23)</f>
        <v>0</v>
      </c>
      <c r="BD23" s="273">
        <f>INDEX(Tiere!AJ$30:AJ$112,'Nährstoffe und Lagerraum'!$BH23)</f>
        <v>0</v>
      </c>
      <c r="BE23" s="273">
        <f>INDEX(Tiere!AK$30:AK$112,'Nährstoffe und Lagerraum'!$BH23)</f>
        <v>0</v>
      </c>
      <c r="BF23" s="278">
        <f>IF(BG23&lt;4,BG23+1,5)</f>
        <v>1</v>
      </c>
      <c r="BG23" s="278" cm="1">
        <f t="array" ref="BG23">INDEX(Tiere!$C$30:$C$112,BH23)</f>
        <v>0</v>
      </c>
      <c r="BH23" s="279">
        <v>1</v>
      </c>
      <c r="BI23" s="279">
        <v>1</v>
      </c>
      <c r="BJ23" s="278">
        <f>INDEX(Tiere!D$30:D$112,'Nährstoffe und Lagerraum'!$BH23)</f>
        <v>0</v>
      </c>
      <c r="BK23" s="278" t="str">
        <f>IF(BJ23&gt;0.001,BJ23,"1")</f>
        <v>1</v>
      </c>
      <c r="BL23" s="278">
        <f>U23*BJ23+V23*BJ23</f>
        <v>0</v>
      </c>
      <c r="BM23" s="277">
        <f>INDEX(Tiere!E$30:E$112,'Nährstoffe und Lagerraum'!$BH23)</f>
        <v>0</v>
      </c>
      <c r="BN23" s="273">
        <f>INDEX(Tiere!F$30:F$112,'Nährstoffe und Lagerraum'!$BH23)</f>
        <v>0</v>
      </c>
      <c r="BO23" s="274">
        <f>INDEX(Tiere!G$30:G$112,'Nährstoffe und Lagerraum'!$BH23)</f>
        <v>0</v>
      </c>
      <c r="BP23" s="273">
        <f>INDEX(Tiere!H$30:H$112,'Nährstoffe und Lagerraum'!$BH23)</f>
        <v>0</v>
      </c>
      <c r="BQ23" s="273">
        <f>INDEX(Tiere!V$30:V$112,'Nährstoffe und Lagerraum'!$BH23)</f>
        <v>0</v>
      </c>
      <c r="BR23" s="277">
        <f>INDEX(Tiere!P$30:P$112,'Nährstoffe und Lagerraum'!$BH23)</f>
        <v>0</v>
      </c>
      <c r="BS23" s="273">
        <f>INDEX(Tiere!Q$30:Q$112,'Nährstoffe und Lagerraum'!$BH23)</f>
        <v>0</v>
      </c>
      <c r="BT23" s="274">
        <f>INDEX(Tiere!R$30:R$112,'Nährstoffe und Lagerraum'!$BH23)</f>
        <v>0</v>
      </c>
      <c r="BU23" s="277">
        <f>INDEX(Tiere!X$30:X$112,'Nährstoffe und Lagerraum'!$BH23)</f>
        <v>0</v>
      </c>
      <c r="BV23" s="274">
        <f>INDEX(Tiere!Y$30:Y$112,'Nährstoffe und Lagerraum'!$BH23)</f>
        <v>0</v>
      </c>
      <c r="BW23" s="280">
        <f>INDEX(Tiere!Z$30:Z$112,'Nährstoffe und Lagerraum'!$BH23)</f>
        <v>0</v>
      </c>
      <c r="BX23" s="274">
        <f>INDEX(Tiere!J$30:J$112,'Nährstoffe und Lagerraum'!$BH23)</f>
        <v>0</v>
      </c>
      <c r="BY23" s="274">
        <f>INDEX(Tiere!K$30:K$112,'Nährstoffe und Lagerraum'!$BH23)</f>
        <v>0</v>
      </c>
      <c r="BZ23" s="274">
        <f>INDEX(Tiere!L$30:L$112,'Nährstoffe und Lagerraum'!$BH23)</f>
        <v>0</v>
      </c>
      <c r="CA23" s="273">
        <f>BX23*'Abweichende Werte'!$Y$64</f>
        <v>0</v>
      </c>
      <c r="CB23" s="273">
        <f>BY23*'Abweichende Werte'!$Y$64</f>
        <v>0</v>
      </c>
      <c r="CC23" s="273">
        <f>BZ23*'Abweichende Werte'!$Y$64</f>
        <v>0</v>
      </c>
      <c r="CD23" s="267">
        <v>5</v>
      </c>
      <c r="CE23" s="267">
        <v>3</v>
      </c>
      <c r="CF23" s="271">
        <v>17</v>
      </c>
      <c r="CG23" s="271">
        <f>'Abweichende Werte'!U$64</f>
        <v>5</v>
      </c>
      <c r="CH23" s="271">
        <f>'Abweichende Werte'!V$64</f>
        <v>3</v>
      </c>
      <c r="CI23" s="271">
        <f>'Abweichende Werte'!W$64</f>
        <v>17</v>
      </c>
      <c r="CJ23" s="271">
        <f>INDEX(Tiere!AD$30:AD$112,'Nährstoffe und Lagerraum'!$BH23)</f>
        <v>0</v>
      </c>
      <c r="CK23" s="271">
        <f>INDEX(Tiere!AE$30:AE$112,'Nährstoffe und Lagerraum'!$BH23)</f>
        <v>0</v>
      </c>
      <c r="CL23" s="281">
        <f t="shared" ref="CL23" si="16">IF(N23=" ",0,CJ23*N23)</f>
        <v>0</v>
      </c>
      <c r="CM23" s="282">
        <f>IF(T23=" ",0,CK23*T23)</f>
        <v>0</v>
      </c>
      <c r="CN23" s="267">
        <f>(AU23+AX23)/2*BP23</f>
        <v>0</v>
      </c>
      <c r="CO23" s="271">
        <f>(AV23+AY23)/2*BA23</f>
        <v>0</v>
      </c>
      <c r="CP23" s="267"/>
      <c r="CQ23" s="267" t="b">
        <f>AND(BH23&gt;1)</f>
        <v>0</v>
      </c>
      <c r="CR23" s="267"/>
      <c r="CS23" s="277">
        <f>INDEX(Tiere!AF$30:AF$112,'Nährstoffe und Lagerraum'!$BH23)</f>
        <v>0</v>
      </c>
      <c r="CT23" s="277">
        <f>INDEX(Tiere!AG$30:AG$112,'Nährstoffe und Lagerraum'!$BH23)</f>
        <v>0</v>
      </c>
      <c r="CU23" s="277">
        <f>INDEX(Tiere!AH$30:AH$112,'Nährstoffe und Lagerraum'!$BH23)</f>
        <v>0</v>
      </c>
      <c r="CV23" s="139">
        <f>+((((AU23*BM23*(100-BU23)/100)*(CS23/100))+((BA23*BC23*AV23)*(CT23/100)))+(((AX23*BM23*(100-BU23)/100)*(CS23/100))+((BA23*BC23*AY23)*(CT23/100))))/2</f>
        <v>0</v>
      </c>
      <c r="CW23" s="144">
        <f t="shared" ref="CW23" si="17">+((AG23+AN23+AJ23+AQ23)/2)/100*CU23</f>
        <v>0</v>
      </c>
      <c r="CX23" s="17"/>
      <c r="CY23" s="17">
        <f>($D23+$E23)*($G23+$H23)/2/100*BM23*(100-BV23)/100</f>
        <v>0</v>
      </c>
      <c r="CZ23" s="17">
        <f>($D23+$E23)*($G23+$H23)/2/100*BN23</f>
        <v>0</v>
      </c>
      <c r="DA23" s="17">
        <f>($D23+$E23)*($G23+$H23)/2/100*BO23</f>
        <v>0</v>
      </c>
      <c r="DD23" s="139">
        <f>BM23*($U23+$V23)</f>
        <v>0</v>
      </c>
      <c r="DE23" s="139">
        <f>CY23+(W23+AA23)/2+(AG23+AJ23)/2</f>
        <v>0</v>
      </c>
      <c r="DF23" s="139">
        <f>BN23*($U23+$V23)</f>
        <v>0</v>
      </c>
      <c r="DG23" s="139">
        <f>BO23*($U23+$V23)</f>
        <v>0</v>
      </c>
      <c r="DL23" s="139">
        <f t="shared" ref="DL23:DL38" si="18">IF(BI23=1,AW23*BX23*BK23*365/1000,IF(BI23=2,AW23*BY23*BK23*365/1000,AW23*BZ23*BK23*365/1000))</f>
        <v>0</v>
      </c>
      <c r="DM23" s="139">
        <f t="shared" ref="DM23:DM38" si="19">IF(BI23=1,AZ23*BX23*BK23*365/1000,IF(BI23=2,AZ23*BY23*BK23*365/1000,AZ23*BZ23*BK23*365/1000))</f>
        <v>0</v>
      </c>
      <c r="DN23" s="139">
        <f t="shared" ref="DN23:DN38" si="20">IF(BI23=1,AW23*CA23*BK23*365/1000,IF(BI23=2,AW23*CB23*BK23*365/1000,AW23*CC23*BK23*365/1000))</f>
        <v>0</v>
      </c>
      <c r="DO23" s="139">
        <f t="shared" ref="DO23:DO38" si="21">IF(BI23=1,AZ23*CA23*BK23*365/1000,IF(BI23=2,AZ23*CB23*BK23*365/1000,AZ23*CC23*BK23*365/1000))</f>
        <v>0</v>
      </c>
      <c r="DP23" s="139">
        <f>IF(CQ23=FALSE,0,IF(V23=0,0,IF(AY23+AV23=0,0,IF(BF23=4,AV23*BB23-(D23*(1-G23/100)*BZ23*365*BJ23/1000/AM23*86),AV23*BB23))))</f>
        <v>0</v>
      </c>
      <c r="DQ23" s="139">
        <f>IF(CQ23=FALSE,0,IF(V23=0,0,IF(AY23+AV23=0,0,IF(BF23=4,AY23*BB23-(D23*(1-H23/100)*BZ23*365*BJ23/1000/AM23*86),AY23*BB23))))</f>
        <v>0</v>
      </c>
      <c r="DR23" s="139" cm="1">
        <f t="array" ref="DR23">INDEX(Tiere!$AA$30:$AA$112,'Nährstoffe und Lagerraum'!BH23)</f>
        <v>0</v>
      </c>
      <c r="DS23" s="139">
        <f>+IF(DR23&lt;3,0,1)</f>
        <v>0</v>
      </c>
    </row>
    <row r="24" spans="1:123" ht="15.75" customHeight="1" x14ac:dyDescent="0.2">
      <c r="A24" s="1248"/>
      <c r="B24" s="1249"/>
      <c r="C24" s="1277"/>
      <c r="D24" s="1028"/>
      <c r="E24" s="1029"/>
      <c r="F24" s="1106"/>
      <c r="G24" s="1034"/>
      <c r="H24" s="1035"/>
      <c r="I24" s="466" t="str">
        <f t="shared" ref="I24:I38" si="22">IF(P24+R24=0," ",(P24+R24)/2)</f>
        <v xml:space="preserve"> </v>
      </c>
      <c r="J24" s="466" t="str">
        <f>IF(Q24+S24=0," ",(Q24+S24)/2)</f>
        <v xml:space="preserve"> </v>
      </c>
      <c r="K24" s="17"/>
      <c r="L24" s="1078">
        <f t="shared" ref="L24:L38" si="23">IF(OR(AND(D24&gt;0,I24=" ",J24=" ",SUM(G24:H24)&lt;199),AND(E24&gt;0,J24=" ",SUM(G24:H24)&lt;199)),1,0)</f>
        <v>0</v>
      </c>
      <c r="M24" s="267"/>
      <c r="N24" s="267" t="str">
        <f t="shared" ref="N24:N38" si="24">IF(J24=" "," ",(J24*(1/BW24)))</f>
        <v xml:space="preserve"> </v>
      </c>
      <c r="O24" s="267"/>
      <c r="P24" s="267">
        <f t="shared" ref="P24:P38" si="25">IF(CQ24=FALSE,0,IF(U24+V24=0,0,IF(AU24*BP24+AV24*BA24=0,0,AU24*BP24+AV24*BA24)))</f>
        <v>0</v>
      </c>
      <c r="Q24" s="267">
        <f t="shared" ref="Q24:Q38" si="26">IF(CQ24=FALSE,0,IF(V24=0,0,IF(AY24+AV24=0,0,IF(BF24=4,AV24*BB24-(D24*(1-G24/100)*BZ24*365*BJ24/1000/AM24*86)+DN24-DL24,AV24*BB24+DN24-DL24))))</f>
        <v>0</v>
      </c>
      <c r="R24" s="267">
        <f t="shared" ref="R24:R38" si="27">IF(CQ24=FALSE,0,IF(U24+V24=0,0,IF(AX24*BP24+AY24*BA24=0,0,AX24*BP24+AY24*BA24)))</f>
        <v>0</v>
      </c>
      <c r="S24" s="267">
        <f t="shared" ref="S24:S38" si="28">IF(CQ24=FALSE,0,IF(V24=0,0,IF(AY24+AV24=0,0,IF(BF24=4,AY24*BB24-(D24*(1-H24/100)*BZ24*365*BJ24/1000/AM24*86)+DO24-DM24,AY24*BB24+DO24-DM24))))</f>
        <v>0</v>
      </c>
      <c r="T24" s="267" t="str">
        <f t="shared" si="2"/>
        <v xml:space="preserve"> </v>
      </c>
      <c r="U24" s="268">
        <f t="shared" ref="U24:U38" si="29">IF(BP24=0,0,D24)</f>
        <v>0</v>
      </c>
      <c r="V24" s="269">
        <f t="shared" ref="V24:V38" si="30">IF(BP24=0,D24+E24,E24)</f>
        <v>0</v>
      </c>
      <c r="W24" s="657">
        <f t="shared" ref="W24:W38" si="31">+(AU24*BM24*(100-BU24)/100)+(BA24*BC24*AV24)</f>
        <v>0</v>
      </c>
      <c r="X24" s="657">
        <f t="shared" ref="X24:X38" si="32">IF(BF24=2,W24,0)</f>
        <v>0</v>
      </c>
      <c r="Y24" s="657">
        <f t="shared" ref="Y24:Y38" si="33">AU24*BN24+AV24*BA24*BD24</f>
        <v>0</v>
      </c>
      <c r="Z24" s="657">
        <f t="shared" ref="Z24:Z38" si="34">AU24*BO24+AV24*BA24*BE24</f>
        <v>0</v>
      </c>
      <c r="AA24" s="270">
        <f t="shared" ref="AA24:AA38" si="35">+(AX24*BM24*(100-BU24)/100)+(BA24*BC24*AY24)</f>
        <v>0</v>
      </c>
      <c r="AB24" s="267">
        <f t="shared" ref="AB24:AB38" si="36">IF(BF24=2,AA24,0)</f>
        <v>0</v>
      </c>
      <c r="AC24" s="267">
        <f t="shared" ref="AC24:AC38" si="37">AX24*BN24+AY24*BA24*BD24</f>
        <v>0</v>
      </c>
      <c r="AD24" s="271">
        <f t="shared" ref="AD24:AD38" si="38">AX24*BO24+AY24*BA24*BE24</f>
        <v>0</v>
      </c>
      <c r="AE24" s="272">
        <f>INDEX(Tiere!I$30:I$112,'Nährstoffe und Lagerraum'!$BH24)</f>
        <v>0</v>
      </c>
      <c r="AF24" s="272">
        <f>INDEX(Tiere!W$30:W$112,'Nährstoffe und Lagerraum'!BH24)</f>
        <v>0</v>
      </c>
      <c r="AG24" s="267">
        <f t="shared" ref="AG24:AG38" si="39">+(AV24*BM24*(100-BV24)/100)-BA24*AV24*BC24</f>
        <v>0</v>
      </c>
      <c r="AH24" s="267">
        <f t="shared" ref="AH24:AH38" si="40">AV24*BN24-AV24*BA24*BD24</f>
        <v>0</v>
      </c>
      <c r="AI24" s="267">
        <f t="shared" ref="AI24:AI38" si="41">AV24*BO24-AV24*BA24*BE24</f>
        <v>0</v>
      </c>
      <c r="AJ24" s="270">
        <f t="shared" ref="AJ24:AJ38" si="42">+(AY24*BM24*(100-BV24)/100)-BA24*AY24*BC24</f>
        <v>0</v>
      </c>
      <c r="AK24" s="267">
        <f t="shared" ref="AK24:AK38" si="43">AY24*BN24-AY24*BA24*BD24</f>
        <v>0</v>
      </c>
      <c r="AL24" s="271">
        <f t="shared" ref="AL24:AL38" si="44">AY24*BO24-AY24*BA24*BE24</f>
        <v>0</v>
      </c>
      <c r="AM24" s="272" cm="1">
        <f t="array" ref="AM24">IF(BI24=1,INDEX(Tiere!S$30:S$112,'Nährstoffe und Lagerraum'!$BH24),IF(BI24=2,INDEX(Tiere!$T$30:$T$112,'Nährstoffe und Lagerraum'!BH24),INDEX(Tiere!$U$30:$U$112,'Nährstoffe und Lagerraum'!BH24)))</f>
        <v>0</v>
      </c>
      <c r="AN24" s="426">
        <f>IF(BI24=1,AW24*CA24*BK24*365/1000*CG24,IF(BI24=2,AW24*CB24*BK24*365/1000*CG24,AW24*CC24*BK24*365/1000*CG24))</f>
        <v>0</v>
      </c>
      <c r="AO24" s="426">
        <f t="shared" ref="AO24:AO38" si="45">IF(BI24=1,AW24*CA24*BK24*365/1000*CH24,IF(BI24=2,AW24*CB24*BK24*365/1000*CH24,AW24*CC24*BK24*365/1000*CH24))</f>
        <v>0</v>
      </c>
      <c r="AP24" s="426">
        <f t="shared" ref="AP24:AP38" si="46">IF(BI24=1,AW24*CA24*BK24*365/1000*CI24,IF(BI24=2,AW24*CB24*BK24*365/1000*CI24,AW24*BK24*CC24*365/1000*CI24))</f>
        <v>0</v>
      </c>
      <c r="AQ24" s="427">
        <f t="shared" ref="AQ24:AQ38" si="47">IF(BI24=1,AZ24*CA24*BK24*365/1000*CG24,IF(BI24=2,AZ24*CB24*BK24*365/1000*CG24,AZ24*CC24*BK24*365/1000*CG24))</f>
        <v>0</v>
      </c>
      <c r="AR24" s="428">
        <f t="shared" ref="AR24:AR38" si="48">IF(BI24=1,AZ24*CA24*BK24*365/1000*CH24,IF(BI24=2,AZ24*CB24*BK24*365/1000*CH24,AZ24*CC24*BK24*365/1000*CH24))</f>
        <v>0</v>
      </c>
      <c r="AS24" s="429">
        <f t="shared" ref="AS24:AS38" si="49">IF(BI24=1,AZ24*CA24*BK24*365/1000*CI24,IF(BI24=2,AZ24*CB24*BK24*365/1000*CI24,AZ24*CC24*BK24*365/1000*CI24))</f>
        <v>0</v>
      </c>
      <c r="AT24" s="267"/>
      <c r="AU24" s="370">
        <f t="shared" ref="AU24:AU38" si="50">+U24*(100-$G24)/100</f>
        <v>0</v>
      </c>
      <c r="AV24" s="371">
        <f t="shared" ref="AV24:AV38" si="51">+V24*(100-$G24)/100</f>
        <v>0</v>
      </c>
      <c r="AW24" s="371">
        <f t="shared" ref="AW24:AW38" si="52">IF(BF24=5,(E24+D24)*(100-G24)/100,E24*(100-$G24)/100)</f>
        <v>0</v>
      </c>
      <c r="AX24" s="270">
        <f t="shared" ref="AX24:AX38" si="53">+U24*(100-$H24)/100</f>
        <v>0</v>
      </c>
      <c r="AY24" s="267">
        <f t="shared" ref="AY24:AY38" si="54">+V24*(100-$H24)/100</f>
        <v>0</v>
      </c>
      <c r="AZ24" s="271">
        <f t="shared" ref="AZ24:AZ38" si="55">IF(BF24=5,(E24+D24)*(100-H24)/100,E24*(100-$H24)/100)</f>
        <v>0</v>
      </c>
      <c r="BA24" s="275">
        <f t="shared" ref="BA24:BA38" si="56">IF(BI24=1,BQ24,IF(BI24=2,BQ24/2,0))</f>
        <v>0</v>
      </c>
      <c r="BB24" s="276">
        <f t="shared" ref="BB24:BB38" si="57">IF(BI24=1,BR24,IF(BI24=2,BS24,BT24))</f>
        <v>0</v>
      </c>
      <c r="BC24" s="273">
        <f>INDEX(Tiere!AI$30:AI$112,'Nährstoffe und Lagerraum'!$BH24)</f>
        <v>0</v>
      </c>
      <c r="BD24" s="273">
        <f>INDEX(Tiere!AJ$30:AJ$112,'Nährstoffe und Lagerraum'!$BH24)</f>
        <v>0</v>
      </c>
      <c r="BE24" s="273">
        <f>INDEX(Tiere!AK$30:AK$112,'Nährstoffe und Lagerraum'!$BH24)</f>
        <v>0</v>
      </c>
      <c r="BF24" s="278">
        <f t="shared" ref="BF24:BF38" si="58">IF(BG24&lt;4,BG24+1,5)</f>
        <v>1</v>
      </c>
      <c r="BG24" s="278" cm="1">
        <f t="array" ref="BG24">INDEX(Tiere!$C$30:$C$112,BH24)</f>
        <v>0</v>
      </c>
      <c r="BH24" s="279">
        <v>1</v>
      </c>
      <c r="BI24" s="279">
        <v>1</v>
      </c>
      <c r="BJ24" s="278">
        <f>INDEX(Tiere!D$30:D$112,'Nährstoffe und Lagerraum'!$BH24)</f>
        <v>0</v>
      </c>
      <c r="BK24" s="278" t="str">
        <f t="shared" ref="BK24:BK38" si="59">IF(BJ24&gt;0.001,BJ24,"1")</f>
        <v>1</v>
      </c>
      <c r="BL24" s="278">
        <f t="shared" ref="BL24:BL38" si="60">U24*BJ24+V24*BJ24</f>
        <v>0</v>
      </c>
      <c r="BM24" s="277">
        <f>INDEX(Tiere!E$30:E$112,'Nährstoffe und Lagerraum'!$BH24)</f>
        <v>0</v>
      </c>
      <c r="BN24" s="273">
        <f>INDEX(Tiere!F$30:F$112,'Nährstoffe und Lagerraum'!$BH24)</f>
        <v>0</v>
      </c>
      <c r="BO24" s="274">
        <f>INDEX(Tiere!G$30:G$112,'Nährstoffe und Lagerraum'!$BH24)</f>
        <v>0</v>
      </c>
      <c r="BP24" s="273">
        <f>INDEX(Tiere!H$30:H$112,'Nährstoffe und Lagerraum'!$BH24)</f>
        <v>0</v>
      </c>
      <c r="BQ24" s="273">
        <f>INDEX(Tiere!V$30:V$112,'Nährstoffe und Lagerraum'!$BH24)</f>
        <v>0</v>
      </c>
      <c r="BR24" s="277">
        <f>INDEX(Tiere!P$30:P$112,'Nährstoffe und Lagerraum'!$BH24)</f>
        <v>0</v>
      </c>
      <c r="BS24" s="273">
        <f>INDEX(Tiere!Q$30:Q$112,'Nährstoffe und Lagerraum'!$BH24)</f>
        <v>0</v>
      </c>
      <c r="BT24" s="274">
        <f>INDEX(Tiere!R$30:R$112,'Nährstoffe und Lagerraum'!$BH24)</f>
        <v>0</v>
      </c>
      <c r="BU24" s="277">
        <f>INDEX(Tiere!X$30:X$112,'Nährstoffe und Lagerraum'!$BH24)</f>
        <v>0</v>
      </c>
      <c r="BV24" s="274">
        <f>INDEX(Tiere!Y$30:Y$112,'Nährstoffe und Lagerraum'!$BH24)</f>
        <v>0</v>
      </c>
      <c r="BW24" s="280">
        <f>INDEX(Tiere!Z$30:Z$112,'Nährstoffe und Lagerraum'!$BH24)</f>
        <v>0</v>
      </c>
      <c r="BX24" s="274">
        <f>INDEX(Tiere!J$30:J$112,'Nährstoffe und Lagerraum'!$BH24)</f>
        <v>0</v>
      </c>
      <c r="BY24" s="274">
        <f>INDEX(Tiere!K$30:K$112,'Nährstoffe und Lagerraum'!$BH24)</f>
        <v>0</v>
      </c>
      <c r="BZ24" s="274">
        <f>INDEX(Tiere!L$30:L$112,'Nährstoffe und Lagerraum'!$BH24)</f>
        <v>0</v>
      </c>
      <c r="CA24" s="273">
        <f>BX24*'Abweichende Werte'!$Y$64</f>
        <v>0</v>
      </c>
      <c r="CB24" s="273">
        <f>BY24*'Abweichende Werte'!$Y$64</f>
        <v>0</v>
      </c>
      <c r="CC24" s="273">
        <f>BZ24*'Abweichende Werte'!$Y$64</f>
        <v>0</v>
      </c>
      <c r="CD24" s="267">
        <v>5</v>
      </c>
      <c r="CE24" s="267">
        <v>3</v>
      </c>
      <c r="CF24" s="271">
        <v>17</v>
      </c>
      <c r="CG24" s="271">
        <f>'Abweichende Werte'!U$64</f>
        <v>5</v>
      </c>
      <c r="CH24" s="271">
        <f>'Abweichende Werte'!V$64</f>
        <v>3</v>
      </c>
      <c r="CI24" s="271">
        <f>'Abweichende Werte'!W$64</f>
        <v>17</v>
      </c>
      <c r="CJ24" s="271">
        <f>INDEX(Tiere!AD$30:AD$112,'Nährstoffe und Lagerraum'!$BH24)</f>
        <v>0</v>
      </c>
      <c r="CK24" s="271">
        <f>INDEX(Tiere!AE$30:AE$112,'Nährstoffe und Lagerraum'!$BH24)</f>
        <v>0</v>
      </c>
      <c r="CL24" s="281">
        <f t="shared" ref="CL24:CL38" si="61">IF(N24=" ",0,CJ24*N24)</f>
        <v>0</v>
      </c>
      <c r="CM24" s="282">
        <f>IF(T24=" ",0,CK24*T24)</f>
        <v>0</v>
      </c>
      <c r="CN24" s="267">
        <f t="shared" ref="CN24:CN38" si="62">(AU24+AX24)/2*BP24</f>
        <v>0</v>
      </c>
      <c r="CO24" s="271">
        <f t="shared" ref="CO24:CO38" si="63">(AV24+AY24)/2*BA24</f>
        <v>0</v>
      </c>
      <c r="CP24" s="267"/>
      <c r="CQ24" s="267" t="b">
        <f t="shared" ref="CQ24:CQ38" si="64">AND(BH24&gt;1)</f>
        <v>0</v>
      </c>
      <c r="CR24" s="267"/>
      <c r="CS24" s="277">
        <f>INDEX(Tiere!AF$30:AF$112,'Nährstoffe und Lagerraum'!$BH24)</f>
        <v>0</v>
      </c>
      <c r="CT24" s="277">
        <f>INDEX(Tiere!AG$30:AG$112,'Nährstoffe und Lagerraum'!$BH24)</f>
        <v>0</v>
      </c>
      <c r="CU24" s="277">
        <f>INDEX(Tiere!AH$30:AH$112,'Nährstoffe und Lagerraum'!$BH24)</f>
        <v>0</v>
      </c>
      <c r="CV24" s="139">
        <f t="shared" ref="CV24:CV38" si="65">+((((AU24*BM24*(100-BU24)/100)*(CS24/100))+((BA24*BC24*AV24)*(CT24/100)))+(((AX24*BM24*(100-BU24)/100)*(CS24/100))+((BA24*BC24*AY24)*(CT24/100))))/2</f>
        <v>0</v>
      </c>
      <c r="CW24" s="144">
        <f t="shared" ref="CW24:CW38" si="66">+((AG24+AN24+AJ24+AQ24)/2)/100*CU24</f>
        <v>0</v>
      </c>
      <c r="CX24" s="17"/>
      <c r="CY24" s="17">
        <f t="shared" ref="CY24:CY38" si="67">($D24+$E24)*($G24+$H24)/2/100*BM24*(100-BV24)/100</f>
        <v>0</v>
      </c>
      <c r="CZ24" s="17">
        <f t="shared" ref="CZ24:CZ38" si="68">($D24+$E24)*($G24+$H24)/2/100*BN24</f>
        <v>0</v>
      </c>
      <c r="DA24" s="17">
        <f t="shared" ref="DA24:DA38" si="69">($D24+$E24)*($G24+$H24)/2/100*BO24</f>
        <v>0</v>
      </c>
      <c r="DD24" s="139">
        <f t="shared" ref="DD24:DD38" si="70">BM24*(U24+V24)</f>
        <v>0</v>
      </c>
      <c r="DE24" s="139">
        <f t="shared" ref="DE24:DE38" si="71">CY24+(W24+AA24)/2+(AG24+AJ24)/2</f>
        <v>0</v>
      </c>
      <c r="DF24" s="139">
        <f t="shared" ref="DF24:DF38" si="72">BN24*($U24+$V24)</f>
        <v>0</v>
      </c>
      <c r="DG24" s="139">
        <f t="shared" ref="DG24:DG38" si="73">BO24*($U24+$V24)</f>
        <v>0</v>
      </c>
      <c r="DL24" s="139">
        <f t="shared" si="18"/>
        <v>0</v>
      </c>
      <c r="DM24" s="139">
        <f t="shared" si="19"/>
        <v>0</v>
      </c>
      <c r="DN24" s="139">
        <f t="shared" si="20"/>
        <v>0</v>
      </c>
      <c r="DO24" s="139">
        <f t="shared" si="21"/>
        <v>0</v>
      </c>
      <c r="DP24" s="139">
        <f t="shared" ref="DP24:DP38" si="74">IF(CQ24=FALSE,0,IF(V24=0,0,IF(AY24+AV24=0,0,IF(BF24=4,AV24*BB24-(D24*(1-G24/100)*BZ24*365*BJ24/1000/AM24*86),AV24*BB24))))</f>
        <v>0</v>
      </c>
      <c r="DQ24" s="139">
        <f t="shared" ref="DQ24:DQ38" si="75">IF(CQ24=FALSE,0,IF(V24=0,0,IF(AY24+AV24=0,0,IF(BF24=4,AY24*BB24-(D24*(1-H24/100)*BZ24*365*BJ24/1000/AM24*86),AY24*BB24))))</f>
        <v>0</v>
      </c>
      <c r="DR24" s="139" cm="1">
        <f t="array" ref="DR24">INDEX(Tiere!$AA$30:$AA$112,'Nährstoffe und Lagerraum'!BH24)</f>
        <v>0</v>
      </c>
      <c r="DS24" s="139">
        <f t="shared" ref="DS24:DS38" si="76">+IF(DR24&lt;3,0,1)</f>
        <v>0</v>
      </c>
    </row>
    <row r="25" spans="1:123" ht="15.75" customHeight="1" x14ac:dyDescent="0.2">
      <c r="A25" s="1248"/>
      <c r="B25" s="1249"/>
      <c r="C25" s="1249"/>
      <c r="D25" s="1028"/>
      <c r="E25" s="1029"/>
      <c r="F25" s="1106"/>
      <c r="G25" s="1034"/>
      <c r="H25" s="1035"/>
      <c r="I25" s="466" t="str">
        <f t="shared" si="22"/>
        <v xml:space="preserve"> </v>
      </c>
      <c r="J25" s="466" t="str">
        <f>IF(Q25+S25=0," ",(Q25+S25)/2)</f>
        <v xml:space="preserve"> </v>
      </c>
      <c r="K25" s="17"/>
      <c r="L25" s="1078">
        <f t="shared" si="23"/>
        <v>0</v>
      </c>
      <c r="M25" s="267"/>
      <c r="N25" s="267" t="str">
        <f t="shared" si="24"/>
        <v xml:space="preserve"> </v>
      </c>
      <c r="O25" s="267"/>
      <c r="P25" s="267">
        <f t="shared" si="25"/>
        <v>0</v>
      </c>
      <c r="Q25" s="267">
        <f t="shared" si="26"/>
        <v>0</v>
      </c>
      <c r="R25" s="267">
        <f t="shared" si="27"/>
        <v>0</v>
      </c>
      <c r="S25" s="267">
        <f t="shared" si="28"/>
        <v>0</v>
      </c>
      <c r="T25" s="267" t="str">
        <f t="shared" si="2"/>
        <v xml:space="preserve"> </v>
      </c>
      <c r="U25" s="268">
        <f t="shared" si="29"/>
        <v>0</v>
      </c>
      <c r="V25" s="269">
        <f t="shared" si="30"/>
        <v>0</v>
      </c>
      <c r="W25" s="657">
        <f t="shared" si="31"/>
        <v>0</v>
      </c>
      <c r="X25" s="657">
        <f t="shared" si="32"/>
        <v>0</v>
      </c>
      <c r="Y25" s="657">
        <f t="shared" si="33"/>
        <v>0</v>
      </c>
      <c r="Z25" s="657">
        <f t="shared" si="34"/>
        <v>0</v>
      </c>
      <c r="AA25" s="270">
        <f t="shared" si="35"/>
        <v>0</v>
      </c>
      <c r="AB25" s="267">
        <f t="shared" si="36"/>
        <v>0</v>
      </c>
      <c r="AC25" s="267">
        <f t="shared" si="37"/>
        <v>0</v>
      </c>
      <c r="AD25" s="271">
        <f t="shared" si="38"/>
        <v>0</v>
      </c>
      <c r="AE25" s="272">
        <f>INDEX(Tiere!I$30:I$112,'Nährstoffe und Lagerraum'!$BH25)</f>
        <v>0</v>
      </c>
      <c r="AF25" s="272">
        <f>INDEX(Tiere!W$30:W$112,'Nährstoffe und Lagerraum'!BH25)</f>
        <v>0</v>
      </c>
      <c r="AG25" s="267">
        <f>+(AV25*BM25*(100-BV25)/100)-BA25*AV25*BC25</f>
        <v>0</v>
      </c>
      <c r="AH25" s="267">
        <f t="shared" si="40"/>
        <v>0</v>
      </c>
      <c r="AI25" s="267">
        <f t="shared" si="41"/>
        <v>0</v>
      </c>
      <c r="AJ25" s="270">
        <f t="shared" si="42"/>
        <v>0</v>
      </c>
      <c r="AK25" s="267">
        <f t="shared" si="43"/>
        <v>0</v>
      </c>
      <c r="AL25" s="271">
        <f t="shared" si="44"/>
        <v>0</v>
      </c>
      <c r="AM25" s="272" cm="1">
        <f t="array" ref="AM25">IF(BI25=1,INDEX(Tiere!S$30:S$112,'Nährstoffe und Lagerraum'!$BH25),IF(BI25=2,INDEX(Tiere!$T$30:$T$112,'Nährstoffe und Lagerraum'!BH25),INDEX(Tiere!$U$30:$U$112,'Nährstoffe und Lagerraum'!BH25)))</f>
        <v>0</v>
      </c>
      <c r="AN25" s="426">
        <f t="shared" ref="AN25:AN38" si="77">IF(BI25=1,AW25*CA25*BK25*365/1000*CG25,IF(BI25=2,AW25*CB25*BK25*365/1000*CG25,AW25*CC25*BK25*365/1000*CG25))</f>
        <v>0</v>
      </c>
      <c r="AO25" s="426">
        <f t="shared" si="45"/>
        <v>0</v>
      </c>
      <c r="AP25" s="426">
        <f t="shared" si="46"/>
        <v>0</v>
      </c>
      <c r="AQ25" s="427">
        <f t="shared" si="47"/>
        <v>0</v>
      </c>
      <c r="AR25" s="428">
        <f t="shared" si="48"/>
        <v>0</v>
      </c>
      <c r="AS25" s="429">
        <f t="shared" si="49"/>
        <v>0</v>
      </c>
      <c r="AT25" s="267"/>
      <c r="AU25" s="370">
        <f t="shared" si="50"/>
        <v>0</v>
      </c>
      <c r="AV25" s="371">
        <f t="shared" si="51"/>
        <v>0</v>
      </c>
      <c r="AW25" s="371">
        <f t="shared" si="52"/>
        <v>0</v>
      </c>
      <c r="AX25" s="270">
        <f t="shared" si="53"/>
        <v>0</v>
      </c>
      <c r="AY25" s="267">
        <f t="shared" si="54"/>
        <v>0</v>
      </c>
      <c r="AZ25" s="271">
        <f t="shared" si="55"/>
        <v>0</v>
      </c>
      <c r="BA25" s="275">
        <f t="shared" si="56"/>
        <v>0</v>
      </c>
      <c r="BB25" s="276">
        <f t="shared" si="57"/>
        <v>0</v>
      </c>
      <c r="BC25" s="273">
        <f>INDEX(Tiere!AI$30:AI$112,'Nährstoffe und Lagerraum'!$BH25)</f>
        <v>0</v>
      </c>
      <c r="BD25" s="273">
        <f>INDEX(Tiere!AJ$30:AJ$112,'Nährstoffe und Lagerraum'!$BH25)</f>
        <v>0</v>
      </c>
      <c r="BE25" s="273">
        <f>INDEX(Tiere!AK$30:AK$112,'Nährstoffe und Lagerraum'!$BH25)</f>
        <v>0</v>
      </c>
      <c r="BF25" s="278">
        <f t="shared" si="58"/>
        <v>1</v>
      </c>
      <c r="BG25" s="278" cm="1">
        <f t="array" ref="BG25">INDEX(Tiere!$C$30:$C$112,BH25)</f>
        <v>0</v>
      </c>
      <c r="BH25" s="279">
        <v>1</v>
      </c>
      <c r="BI25" s="279">
        <v>1</v>
      </c>
      <c r="BJ25" s="278">
        <f>INDEX(Tiere!D$30:D$112,'Nährstoffe und Lagerraum'!$BH25)</f>
        <v>0</v>
      </c>
      <c r="BK25" s="278" t="str">
        <f t="shared" si="59"/>
        <v>1</v>
      </c>
      <c r="BL25" s="278">
        <f t="shared" si="60"/>
        <v>0</v>
      </c>
      <c r="BM25" s="277">
        <f>INDEX(Tiere!E$30:E$112,'Nährstoffe und Lagerraum'!$BH25)</f>
        <v>0</v>
      </c>
      <c r="BN25" s="273">
        <f>INDEX(Tiere!F$30:F$112,'Nährstoffe und Lagerraum'!$BH25)</f>
        <v>0</v>
      </c>
      <c r="BO25" s="274">
        <f>INDEX(Tiere!G$30:G$112,'Nährstoffe und Lagerraum'!$BH25)</f>
        <v>0</v>
      </c>
      <c r="BP25" s="273">
        <f>INDEX(Tiere!H$30:H$112,'Nährstoffe und Lagerraum'!$BH25)</f>
        <v>0</v>
      </c>
      <c r="BQ25" s="273">
        <f>INDEX(Tiere!V$30:V$112,'Nährstoffe und Lagerraum'!$BH25)</f>
        <v>0</v>
      </c>
      <c r="BR25" s="277">
        <f>INDEX(Tiere!P$30:P$112,'Nährstoffe und Lagerraum'!$BH25)</f>
        <v>0</v>
      </c>
      <c r="BS25" s="273">
        <f>INDEX(Tiere!Q$30:Q$112,'Nährstoffe und Lagerraum'!$BH25)</f>
        <v>0</v>
      </c>
      <c r="BT25" s="274">
        <f>INDEX(Tiere!R$30:R$112,'Nährstoffe und Lagerraum'!$BH25)</f>
        <v>0</v>
      </c>
      <c r="BU25" s="277">
        <f>INDEX(Tiere!X$30:X$112,'Nährstoffe und Lagerraum'!$BH25)</f>
        <v>0</v>
      </c>
      <c r="BV25" s="274">
        <f>INDEX(Tiere!Y$30:Y$112,'Nährstoffe und Lagerraum'!$BH25)</f>
        <v>0</v>
      </c>
      <c r="BW25" s="280">
        <f>INDEX(Tiere!Z$30:Z$112,'Nährstoffe und Lagerraum'!$BH25)</f>
        <v>0</v>
      </c>
      <c r="BX25" s="274">
        <f>INDEX(Tiere!J$30:J$112,'Nährstoffe und Lagerraum'!$BH25)</f>
        <v>0</v>
      </c>
      <c r="BY25" s="274">
        <f>INDEX(Tiere!K$30:K$112,'Nährstoffe und Lagerraum'!$BH25)</f>
        <v>0</v>
      </c>
      <c r="BZ25" s="274">
        <f>INDEX(Tiere!L$30:L$112,'Nährstoffe und Lagerraum'!$BH25)</f>
        <v>0</v>
      </c>
      <c r="CA25" s="273">
        <f>BX25*'Abweichende Werte'!$Y$64</f>
        <v>0</v>
      </c>
      <c r="CB25" s="273">
        <f>BY25*'Abweichende Werte'!$Y$64</f>
        <v>0</v>
      </c>
      <c r="CC25" s="273">
        <f>BZ25*'Abweichende Werte'!$Y$64</f>
        <v>0</v>
      </c>
      <c r="CD25" s="267">
        <v>5</v>
      </c>
      <c r="CE25" s="267">
        <v>3</v>
      </c>
      <c r="CF25" s="271">
        <v>17</v>
      </c>
      <c r="CG25" s="271">
        <f>'Abweichende Werte'!U$64</f>
        <v>5</v>
      </c>
      <c r="CH25" s="271">
        <f>'Abweichende Werte'!V$64</f>
        <v>3</v>
      </c>
      <c r="CI25" s="271">
        <f>'Abweichende Werte'!W$64</f>
        <v>17</v>
      </c>
      <c r="CJ25" s="271">
        <f>INDEX(Tiere!AD$30:AD$112,'Nährstoffe und Lagerraum'!$BH25)</f>
        <v>0</v>
      </c>
      <c r="CK25" s="271">
        <f>INDEX(Tiere!AE$30:AE$112,'Nährstoffe und Lagerraum'!$BH25)</f>
        <v>0</v>
      </c>
      <c r="CL25" s="281">
        <f t="shared" si="61"/>
        <v>0</v>
      </c>
      <c r="CM25" s="282">
        <f t="shared" ref="CM25:CM38" si="78">IF(T25=" ",0,CK25*T25)</f>
        <v>0</v>
      </c>
      <c r="CN25" s="267">
        <f t="shared" si="62"/>
        <v>0</v>
      </c>
      <c r="CO25" s="271">
        <f t="shared" si="63"/>
        <v>0</v>
      </c>
      <c r="CP25" s="267"/>
      <c r="CQ25" s="267" t="b">
        <f t="shared" si="64"/>
        <v>0</v>
      </c>
      <c r="CR25" s="267"/>
      <c r="CS25" s="277">
        <f>INDEX(Tiere!AF$30:AF$112,'Nährstoffe und Lagerraum'!$BH25)</f>
        <v>0</v>
      </c>
      <c r="CT25" s="277">
        <f>INDEX(Tiere!AG$30:AG$112,'Nährstoffe und Lagerraum'!$BH25)</f>
        <v>0</v>
      </c>
      <c r="CU25" s="277">
        <f>INDEX(Tiere!AH$30:AH$112,'Nährstoffe und Lagerraum'!$BH25)</f>
        <v>0</v>
      </c>
      <c r="CV25" s="139">
        <f t="shared" si="65"/>
        <v>0</v>
      </c>
      <c r="CW25" s="144">
        <f t="shared" si="66"/>
        <v>0</v>
      </c>
      <c r="CX25" s="17"/>
      <c r="CY25" s="17">
        <f t="shared" si="67"/>
        <v>0</v>
      </c>
      <c r="CZ25" s="17">
        <f t="shared" si="68"/>
        <v>0</v>
      </c>
      <c r="DA25" s="17">
        <f t="shared" si="69"/>
        <v>0</v>
      </c>
      <c r="DD25" s="139">
        <f t="shared" si="70"/>
        <v>0</v>
      </c>
      <c r="DE25" s="139">
        <f t="shared" si="71"/>
        <v>0</v>
      </c>
      <c r="DF25" s="139">
        <f t="shared" si="72"/>
        <v>0</v>
      </c>
      <c r="DG25" s="139">
        <f t="shared" si="73"/>
        <v>0</v>
      </c>
      <c r="DL25" s="139">
        <f t="shared" si="18"/>
        <v>0</v>
      </c>
      <c r="DM25" s="139">
        <f t="shared" si="19"/>
        <v>0</v>
      </c>
      <c r="DN25" s="139">
        <f t="shared" si="20"/>
        <v>0</v>
      </c>
      <c r="DO25" s="139">
        <f t="shared" si="21"/>
        <v>0</v>
      </c>
      <c r="DP25" s="139">
        <f t="shared" si="74"/>
        <v>0</v>
      </c>
      <c r="DQ25" s="139">
        <f t="shared" si="75"/>
        <v>0</v>
      </c>
      <c r="DR25" s="139" cm="1">
        <f t="array" ref="DR25">INDEX(Tiere!$AA$30:$AA$112,'Nährstoffe und Lagerraum'!BH25)</f>
        <v>0</v>
      </c>
      <c r="DS25" s="139">
        <f t="shared" si="76"/>
        <v>0</v>
      </c>
    </row>
    <row r="26" spans="1:123" ht="15.75" customHeight="1" x14ac:dyDescent="0.2">
      <c r="A26" s="1248"/>
      <c r="B26" s="1249"/>
      <c r="C26" s="1249"/>
      <c r="D26" s="1028"/>
      <c r="E26" s="1029"/>
      <c r="F26" s="1106"/>
      <c r="G26" s="1034"/>
      <c r="H26" s="1035"/>
      <c r="I26" s="466" t="str">
        <f t="shared" si="22"/>
        <v xml:space="preserve"> </v>
      </c>
      <c r="J26" s="466" t="str">
        <f>IF(Q26+S26=0," ",(Q26+S26)/2)</f>
        <v xml:space="preserve"> </v>
      </c>
      <c r="K26" s="17"/>
      <c r="L26" s="1078">
        <f t="shared" si="23"/>
        <v>0</v>
      </c>
      <c r="M26" s="267"/>
      <c r="N26" s="267" t="str">
        <f>IF(J26=" "," ",(J26*(1/BW26)))</f>
        <v xml:space="preserve"> </v>
      </c>
      <c r="O26" s="267"/>
      <c r="P26" s="267">
        <f t="shared" si="25"/>
        <v>0</v>
      </c>
      <c r="Q26" s="267">
        <f t="shared" si="26"/>
        <v>0</v>
      </c>
      <c r="R26" s="267">
        <f t="shared" si="27"/>
        <v>0</v>
      </c>
      <c r="S26" s="267">
        <f t="shared" si="28"/>
        <v>0</v>
      </c>
      <c r="T26" s="267" t="str">
        <f t="shared" si="2"/>
        <v xml:space="preserve"> </v>
      </c>
      <c r="U26" s="268">
        <f t="shared" si="29"/>
        <v>0</v>
      </c>
      <c r="V26" s="269">
        <f t="shared" si="30"/>
        <v>0</v>
      </c>
      <c r="W26" s="657">
        <f t="shared" si="31"/>
        <v>0</v>
      </c>
      <c r="X26" s="657">
        <f t="shared" si="32"/>
        <v>0</v>
      </c>
      <c r="Y26" s="657">
        <f t="shared" si="33"/>
        <v>0</v>
      </c>
      <c r="Z26" s="657">
        <f t="shared" si="34"/>
        <v>0</v>
      </c>
      <c r="AA26" s="270">
        <f t="shared" si="35"/>
        <v>0</v>
      </c>
      <c r="AB26" s="267">
        <f t="shared" si="36"/>
        <v>0</v>
      </c>
      <c r="AC26" s="267">
        <f t="shared" si="37"/>
        <v>0</v>
      </c>
      <c r="AD26" s="271">
        <f t="shared" si="38"/>
        <v>0</v>
      </c>
      <c r="AE26" s="272">
        <f>INDEX(Tiere!I$30:I$112,'Nährstoffe und Lagerraum'!$BH26)</f>
        <v>0</v>
      </c>
      <c r="AF26" s="272">
        <f>INDEX(Tiere!W$30:W$112,'Nährstoffe und Lagerraum'!BH26)</f>
        <v>0</v>
      </c>
      <c r="AG26" s="267">
        <f t="shared" si="39"/>
        <v>0</v>
      </c>
      <c r="AH26" s="267">
        <f t="shared" si="40"/>
        <v>0</v>
      </c>
      <c r="AI26" s="267">
        <f t="shared" si="41"/>
        <v>0</v>
      </c>
      <c r="AJ26" s="270">
        <f t="shared" si="42"/>
        <v>0</v>
      </c>
      <c r="AK26" s="267">
        <f t="shared" si="43"/>
        <v>0</v>
      </c>
      <c r="AL26" s="271">
        <f t="shared" si="44"/>
        <v>0</v>
      </c>
      <c r="AM26" s="272" cm="1">
        <f t="array" ref="AM26">IF(BI26=1,INDEX(Tiere!S$30:S$112,'Nährstoffe und Lagerraum'!$BH26),IF(BI26=2,INDEX(Tiere!$T$30:$T$112,'Nährstoffe und Lagerraum'!BH26),INDEX(Tiere!$U$30:$U$112,'Nährstoffe und Lagerraum'!BH26)))</f>
        <v>0</v>
      </c>
      <c r="AN26" s="426">
        <f t="shared" si="77"/>
        <v>0</v>
      </c>
      <c r="AO26" s="426">
        <f t="shared" si="45"/>
        <v>0</v>
      </c>
      <c r="AP26" s="426">
        <f t="shared" si="46"/>
        <v>0</v>
      </c>
      <c r="AQ26" s="427">
        <f t="shared" si="47"/>
        <v>0</v>
      </c>
      <c r="AR26" s="428">
        <f t="shared" si="48"/>
        <v>0</v>
      </c>
      <c r="AS26" s="429">
        <f t="shared" si="49"/>
        <v>0</v>
      </c>
      <c r="AT26" s="267"/>
      <c r="AU26" s="370">
        <f t="shared" si="50"/>
        <v>0</v>
      </c>
      <c r="AV26" s="371">
        <f t="shared" si="51"/>
        <v>0</v>
      </c>
      <c r="AW26" s="371">
        <f t="shared" si="52"/>
        <v>0</v>
      </c>
      <c r="AX26" s="270">
        <f t="shared" si="53"/>
        <v>0</v>
      </c>
      <c r="AY26" s="267">
        <f t="shared" si="54"/>
        <v>0</v>
      </c>
      <c r="AZ26" s="271">
        <f t="shared" si="55"/>
        <v>0</v>
      </c>
      <c r="BA26" s="275">
        <f t="shared" si="56"/>
        <v>0</v>
      </c>
      <c r="BB26" s="276">
        <f t="shared" si="57"/>
        <v>0</v>
      </c>
      <c r="BC26" s="273">
        <f>INDEX(Tiere!AI$30:AI$112,'Nährstoffe und Lagerraum'!$BH26)</f>
        <v>0</v>
      </c>
      <c r="BD26" s="273">
        <f>INDEX(Tiere!AJ$30:AJ$112,'Nährstoffe und Lagerraum'!$BH26)</f>
        <v>0</v>
      </c>
      <c r="BE26" s="273">
        <f>INDEX(Tiere!AK$30:AK$112,'Nährstoffe und Lagerraum'!$BH26)</f>
        <v>0</v>
      </c>
      <c r="BF26" s="278">
        <f t="shared" si="58"/>
        <v>1</v>
      </c>
      <c r="BG26" s="278" cm="1">
        <f t="array" ref="BG26">INDEX(Tiere!$C$30:$C$112,BH26)</f>
        <v>0</v>
      </c>
      <c r="BH26" s="279">
        <v>1</v>
      </c>
      <c r="BI26" s="279">
        <v>1</v>
      </c>
      <c r="BJ26" s="278">
        <f>INDEX(Tiere!D$30:D$112,'Nährstoffe und Lagerraum'!$BH26)</f>
        <v>0</v>
      </c>
      <c r="BK26" s="278" t="str">
        <f t="shared" si="59"/>
        <v>1</v>
      </c>
      <c r="BL26" s="278">
        <f t="shared" si="60"/>
        <v>0</v>
      </c>
      <c r="BM26" s="277">
        <f>INDEX(Tiere!E$30:E$112,'Nährstoffe und Lagerraum'!$BH26)</f>
        <v>0</v>
      </c>
      <c r="BN26" s="273">
        <f>INDEX(Tiere!F$30:F$112,'Nährstoffe und Lagerraum'!$BH26)</f>
        <v>0</v>
      </c>
      <c r="BO26" s="274">
        <f>INDEX(Tiere!G$30:G$112,'Nährstoffe und Lagerraum'!$BH26)</f>
        <v>0</v>
      </c>
      <c r="BP26" s="273">
        <f>INDEX(Tiere!H$30:H$112,'Nährstoffe und Lagerraum'!$BH26)</f>
        <v>0</v>
      </c>
      <c r="BQ26" s="273">
        <f>INDEX(Tiere!V$30:V$112,'Nährstoffe und Lagerraum'!$BH26)</f>
        <v>0</v>
      </c>
      <c r="BR26" s="277">
        <f>INDEX(Tiere!P$30:P$112,'Nährstoffe und Lagerraum'!$BH26)</f>
        <v>0</v>
      </c>
      <c r="BS26" s="273">
        <f>INDEX(Tiere!Q$30:Q$112,'Nährstoffe und Lagerraum'!$BH26)</f>
        <v>0</v>
      </c>
      <c r="BT26" s="274">
        <f>INDEX(Tiere!R$30:R$112,'Nährstoffe und Lagerraum'!$BH26)</f>
        <v>0</v>
      </c>
      <c r="BU26" s="277">
        <f>INDEX(Tiere!X$30:X$112,'Nährstoffe und Lagerraum'!$BH26)</f>
        <v>0</v>
      </c>
      <c r="BV26" s="274">
        <f>INDEX(Tiere!Y$30:Y$112,'Nährstoffe und Lagerraum'!$BH26)</f>
        <v>0</v>
      </c>
      <c r="BW26" s="280">
        <f>INDEX(Tiere!Z$30:Z$112,'Nährstoffe und Lagerraum'!$BH26)</f>
        <v>0</v>
      </c>
      <c r="BX26" s="274">
        <f>INDEX(Tiere!J$30:J$112,'Nährstoffe und Lagerraum'!$BH26)</f>
        <v>0</v>
      </c>
      <c r="BY26" s="274">
        <f>INDEX(Tiere!K$30:K$112,'Nährstoffe und Lagerraum'!$BH26)</f>
        <v>0</v>
      </c>
      <c r="BZ26" s="274">
        <f>INDEX(Tiere!L$30:L$112,'Nährstoffe und Lagerraum'!$BH26)</f>
        <v>0</v>
      </c>
      <c r="CA26" s="273">
        <f>BX26*'Abweichende Werte'!$Y$64</f>
        <v>0</v>
      </c>
      <c r="CB26" s="273">
        <f>BY26*'Abweichende Werte'!$Y$64</f>
        <v>0</v>
      </c>
      <c r="CC26" s="273">
        <f>BZ26*'Abweichende Werte'!$Y$64</f>
        <v>0</v>
      </c>
      <c r="CD26" s="267">
        <v>5</v>
      </c>
      <c r="CE26" s="267">
        <v>3</v>
      </c>
      <c r="CF26" s="271">
        <v>17</v>
      </c>
      <c r="CG26" s="271">
        <f>'Abweichende Werte'!U$64</f>
        <v>5</v>
      </c>
      <c r="CH26" s="271">
        <f>'Abweichende Werte'!V$64</f>
        <v>3</v>
      </c>
      <c r="CI26" s="271">
        <f>'Abweichende Werte'!W$64</f>
        <v>17</v>
      </c>
      <c r="CJ26" s="271">
        <f>INDEX(Tiere!AD$30:AD$112,'Nährstoffe und Lagerraum'!$BH26)</f>
        <v>0</v>
      </c>
      <c r="CK26" s="271">
        <f>INDEX(Tiere!AE$30:AE$112,'Nährstoffe und Lagerraum'!$BH26)</f>
        <v>0</v>
      </c>
      <c r="CL26" s="281">
        <f t="shared" si="61"/>
        <v>0</v>
      </c>
      <c r="CM26" s="282">
        <f t="shared" si="78"/>
        <v>0</v>
      </c>
      <c r="CN26" s="267">
        <f t="shared" si="62"/>
        <v>0</v>
      </c>
      <c r="CO26" s="271">
        <f t="shared" si="63"/>
        <v>0</v>
      </c>
      <c r="CP26" s="267"/>
      <c r="CQ26" s="267" t="b">
        <f t="shared" si="64"/>
        <v>0</v>
      </c>
      <c r="CR26" s="267"/>
      <c r="CS26" s="277">
        <f>INDEX(Tiere!AF$30:AF$112,'Nährstoffe und Lagerraum'!$BH26)</f>
        <v>0</v>
      </c>
      <c r="CT26" s="277">
        <f>INDEX(Tiere!AG$30:AG$112,'Nährstoffe und Lagerraum'!$BH26)</f>
        <v>0</v>
      </c>
      <c r="CU26" s="277">
        <f>INDEX(Tiere!AH$30:AH$112,'Nährstoffe und Lagerraum'!$BH26)</f>
        <v>0</v>
      </c>
      <c r="CV26" s="139">
        <f t="shared" si="65"/>
        <v>0</v>
      </c>
      <c r="CW26" s="144">
        <f t="shared" si="66"/>
        <v>0</v>
      </c>
      <c r="CX26" s="17"/>
      <c r="CY26" s="17">
        <f t="shared" si="67"/>
        <v>0</v>
      </c>
      <c r="CZ26" s="17">
        <f t="shared" si="68"/>
        <v>0</v>
      </c>
      <c r="DA26" s="17">
        <f t="shared" si="69"/>
        <v>0</v>
      </c>
      <c r="DD26" s="139">
        <f t="shared" si="70"/>
        <v>0</v>
      </c>
      <c r="DE26" s="139">
        <f t="shared" si="71"/>
        <v>0</v>
      </c>
      <c r="DF26" s="139">
        <f t="shared" si="72"/>
        <v>0</v>
      </c>
      <c r="DG26" s="139">
        <f t="shared" si="73"/>
        <v>0</v>
      </c>
      <c r="DL26" s="139">
        <f t="shared" si="18"/>
        <v>0</v>
      </c>
      <c r="DM26" s="139">
        <f t="shared" si="19"/>
        <v>0</v>
      </c>
      <c r="DN26" s="139">
        <f t="shared" si="20"/>
        <v>0</v>
      </c>
      <c r="DO26" s="139">
        <f t="shared" si="21"/>
        <v>0</v>
      </c>
      <c r="DP26" s="139">
        <f t="shared" si="74"/>
        <v>0</v>
      </c>
      <c r="DQ26" s="139">
        <f t="shared" si="75"/>
        <v>0</v>
      </c>
      <c r="DR26" s="139" cm="1">
        <f t="array" ref="DR26">INDEX(Tiere!$AA$30:$AA$112,'Nährstoffe und Lagerraum'!BH26)</f>
        <v>0</v>
      </c>
      <c r="DS26" s="139">
        <f t="shared" si="76"/>
        <v>0</v>
      </c>
    </row>
    <row r="27" spans="1:123" ht="15.75" customHeight="1" x14ac:dyDescent="0.2">
      <c r="A27" s="1248"/>
      <c r="B27" s="1249"/>
      <c r="C27" s="1249"/>
      <c r="D27" s="1028"/>
      <c r="E27" s="1029"/>
      <c r="F27" s="1106"/>
      <c r="G27" s="1034"/>
      <c r="H27" s="1035"/>
      <c r="I27" s="466" t="str">
        <f t="shared" si="22"/>
        <v xml:space="preserve"> </v>
      </c>
      <c r="J27" s="466" t="str">
        <f>IF(Q27+S27=0," ",(Q27+S27)/2)</f>
        <v xml:space="preserve"> </v>
      </c>
      <c r="K27" s="18"/>
      <c r="L27" s="1078">
        <f t="shared" si="23"/>
        <v>0</v>
      </c>
      <c r="M27" s="239"/>
      <c r="N27" s="267" t="str">
        <f t="shared" si="24"/>
        <v xml:space="preserve"> </v>
      </c>
      <c r="O27" s="267"/>
      <c r="P27" s="267">
        <f t="shared" si="25"/>
        <v>0</v>
      </c>
      <c r="Q27" s="267">
        <f t="shared" si="26"/>
        <v>0</v>
      </c>
      <c r="R27" s="267">
        <f t="shared" si="27"/>
        <v>0</v>
      </c>
      <c r="S27" s="267">
        <f t="shared" si="28"/>
        <v>0</v>
      </c>
      <c r="T27" s="267" t="str">
        <f t="shared" si="2"/>
        <v xml:space="preserve"> </v>
      </c>
      <c r="U27" s="268">
        <f t="shared" si="29"/>
        <v>0</v>
      </c>
      <c r="V27" s="269">
        <f t="shared" si="30"/>
        <v>0</v>
      </c>
      <c r="W27" s="657">
        <f t="shared" si="31"/>
        <v>0</v>
      </c>
      <c r="X27" s="657">
        <f t="shared" si="32"/>
        <v>0</v>
      </c>
      <c r="Y27" s="657">
        <f t="shared" si="33"/>
        <v>0</v>
      </c>
      <c r="Z27" s="657">
        <f t="shared" si="34"/>
        <v>0</v>
      </c>
      <c r="AA27" s="270">
        <f t="shared" si="35"/>
        <v>0</v>
      </c>
      <c r="AB27" s="267">
        <f t="shared" si="36"/>
        <v>0</v>
      </c>
      <c r="AC27" s="267">
        <f t="shared" si="37"/>
        <v>0</v>
      </c>
      <c r="AD27" s="271">
        <f t="shared" si="38"/>
        <v>0</v>
      </c>
      <c r="AE27" s="272">
        <f>INDEX(Tiere!I$30:I$112,'Nährstoffe und Lagerraum'!$BH27)</f>
        <v>0</v>
      </c>
      <c r="AF27" s="272">
        <f>INDEX(Tiere!W$30:W$112,'Nährstoffe und Lagerraum'!BH27)</f>
        <v>0</v>
      </c>
      <c r="AG27" s="267">
        <f t="shared" si="39"/>
        <v>0</v>
      </c>
      <c r="AH27" s="267">
        <f t="shared" si="40"/>
        <v>0</v>
      </c>
      <c r="AI27" s="267">
        <f t="shared" si="41"/>
        <v>0</v>
      </c>
      <c r="AJ27" s="270">
        <f t="shared" si="42"/>
        <v>0</v>
      </c>
      <c r="AK27" s="267">
        <f t="shared" si="43"/>
        <v>0</v>
      </c>
      <c r="AL27" s="271">
        <f t="shared" si="44"/>
        <v>0</v>
      </c>
      <c r="AM27" s="272" cm="1">
        <f t="array" ref="AM27">IF(BI27=1,INDEX(Tiere!S$30:S$112,'Nährstoffe und Lagerraum'!$BH27),IF(BI27=2,INDEX(Tiere!$T$30:$T$112,'Nährstoffe und Lagerraum'!BH27),INDEX(Tiere!$U$30:$U$112,'Nährstoffe und Lagerraum'!BH27)))</f>
        <v>0</v>
      </c>
      <c r="AN27" s="426">
        <f t="shared" si="77"/>
        <v>0</v>
      </c>
      <c r="AO27" s="426">
        <f t="shared" si="45"/>
        <v>0</v>
      </c>
      <c r="AP27" s="426">
        <f t="shared" si="46"/>
        <v>0</v>
      </c>
      <c r="AQ27" s="427">
        <f t="shared" si="47"/>
        <v>0</v>
      </c>
      <c r="AR27" s="428">
        <f t="shared" si="48"/>
        <v>0</v>
      </c>
      <c r="AS27" s="429">
        <f t="shared" si="49"/>
        <v>0</v>
      </c>
      <c r="AT27" s="267"/>
      <c r="AU27" s="370">
        <f t="shared" si="50"/>
        <v>0</v>
      </c>
      <c r="AV27" s="371">
        <f t="shared" si="51"/>
        <v>0</v>
      </c>
      <c r="AW27" s="371">
        <f t="shared" si="52"/>
        <v>0</v>
      </c>
      <c r="AX27" s="270">
        <f t="shared" si="53"/>
        <v>0</v>
      </c>
      <c r="AY27" s="267">
        <f t="shared" si="54"/>
        <v>0</v>
      </c>
      <c r="AZ27" s="271">
        <f t="shared" si="55"/>
        <v>0</v>
      </c>
      <c r="BA27" s="275">
        <f t="shared" si="56"/>
        <v>0</v>
      </c>
      <c r="BB27" s="276">
        <f t="shared" si="57"/>
        <v>0</v>
      </c>
      <c r="BC27" s="273">
        <f>INDEX(Tiere!AI$30:AI$112,'Nährstoffe und Lagerraum'!$BH27)</f>
        <v>0</v>
      </c>
      <c r="BD27" s="273">
        <f>INDEX(Tiere!AJ$30:AJ$112,'Nährstoffe und Lagerraum'!$BH27)</f>
        <v>0</v>
      </c>
      <c r="BE27" s="273">
        <f>INDEX(Tiere!AK$30:AK$112,'Nährstoffe und Lagerraum'!$BH27)</f>
        <v>0</v>
      </c>
      <c r="BF27" s="278">
        <f t="shared" si="58"/>
        <v>1</v>
      </c>
      <c r="BG27" s="278" cm="1">
        <f t="array" ref="BG27">INDEX(Tiere!$C$30:$C$112,BH27)</f>
        <v>0</v>
      </c>
      <c r="BH27" s="279">
        <v>1</v>
      </c>
      <c r="BI27" s="279">
        <v>1</v>
      </c>
      <c r="BJ27" s="278">
        <f>INDEX(Tiere!D$30:D$112,'Nährstoffe und Lagerraum'!$BH27)</f>
        <v>0</v>
      </c>
      <c r="BK27" s="278" t="str">
        <f t="shared" si="59"/>
        <v>1</v>
      </c>
      <c r="BL27" s="278">
        <f t="shared" si="60"/>
        <v>0</v>
      </c>
      <c r="BM27" s="277">
        <f>INDEX(Tiere!E$30:E$112,'Nährstoffe und Lagerraum'!$BH27)</f>
        <v>0</v>
      </c>
      <c r="BN27" s="273">
        <f>INDEX(Tiere!F$30:F$112,'Nährstoffe und Lagerraum'!$BH27)</f>
        <v>0</v>
      </c>
      <c r="BO27" s="274">
        <f>INDEX(Tiere!G$30:G$112,'Nährstoffe und Lagerraum'!$BH27)</f>
        <v>0</v>
      </c>
      <c r="BP27" s="273">
        <f>INDEX(Tiere!H$30:H$112,'Nährstoffe und Lagerraum'!$BH27)</f>
        <v>0</v>
      </c>
      <c r="BQ27" s="273">
        <f>INDEX(Tiere!V$30:V$112,'Nährstoffe und Lagerraum'!$BH27)</f>
        <v>0</v>
      </c>
      <c r="BR27" s="277">
        <f>INDEX(Tiere!P$30:P$112,'Nährstoffe und Lagerraum'!$BH27)</f>
        <v>0</v>
      </c>
      <c r="BS27" s="273">
        <f>INDEX(Tiere!Q$30:Q$112,'Nährstoffe und Lagerraum'!$BH27)</f>
        <v>0</v>
      </c>
      <c r="BT27" s="274">
        <f>INDEX(Tiere!R$30:R$112,'Nährstoffe und Lagerraum'!$BH27)</f>
        <v>0</v>
      </c>
      <c r="BU27" s="277">
        <f>INDEX(Tiere!X$30:X$112,'Nährstoffe und Lagerraum'!$BH27)</f>
        <v>0</v>
      </c>
      <c r="BV27" s="274">
        <f>INDEX(Tiere!Y$30:Y$112,'Nährstoffe und Lagerraum'!$BH27)</f>
        <v>0</v>
      </c>
      <c r="BW27" s="280">
        <f>INDEX(Tiere!Z$30:Z$112,'Nährstoffe und Lagerraum'!$BH27)</f>
        <v>0</v>
      </c>
      <c r="BX27" s="274">
        <f>INDEX(Tiere!J$30:J$112,'Nährstoffe und Lagerraum'!$BH27)</f>
        <v>0</v>
      </c>
      <c r="BY27" s="274">
        <f>INDEX(Tiere!K$30:K$112,'Nährstoffe und Lagerraum'!$BH27)</f>
        <v>0</v>
      </c>
      <c r="BZ27" s="274">
        <f>INDEX(Tiere!L$30:L$112,'Nährstoffe und Lagerraum'!$BH27)</f>
        <v>0</v>
      </c>
      <c r="CA27" s="273">
        <f>BX27*'Abweichende Werte'!$Y$64</f>
        <v>0</v>
      </c>
      <c r="CB27" s="273">
        <f>BY27*'Abweichende Werte'!$Y$64</f>
        <v>0</v>
      </c>
      <c r="CC27" s="273">
        <f>BZ27*'Abweichende Werte'!$Y$64</f>
        <v>0</v>
      </c>
      <c r="CD27" s="267">
        <v>5</v>
      </c>
      <c r="CE27" s="267">
        <v>3</v>
      </c>
      <c r="CF27" s="271">
        <v>17</v>
      </c>
      <c r="CG27" s="271">
        <f>'Abweichende Werte'!U$64</f>
        <v>5</v>
      </c>
      <c r="CH27" s="271">
        <f>'Abweichende Werte'!V$64</f>
        <v>3</v>
      </c>
      <c r="CI27" s="271">
        <f>'Abweichende Werte'!W$64</f>
        <v>17</v>
      </c>
      <c r="CJ27" s="271">
        <f>INDEX(Tiere!AD$30:AD$112,'Nährstoffe und Lagerraum'!$BH27)</f>
        <v>0</v>
      </c>
      <c r="CK27" s="271">
        <f>INDEX(Tiere!AE$30:AE$112,'Nährstoffe und Lagerraum'!$BH27)</f>
        <v>0</v>
      </c>
      <c r="CL27" s="281">
        <f t="shared" si="61"/>
        <v>0</v>
      </c>
      <c r="CM27" s="282">
        <f t="shared" si="78"/>
        <v>0</v>
      </c>
      <c r="CN27" s="267">
        <f t="shared" si="62"/>
        <v>0</v>
      </c>
      <c r="CO27" s="271">
        <f t="shared" si="63"/>
        <v>0</v>
      </c>
      <c r="CP27" s="267"/>
      <c r="CQ27" s="267" t="b">
        <f t="shared" si="64"/>
        <v>0</v>
      </c>
      <c r="CR27" s="267"/>
      <c r="CS27" s="277">
        <f>INDEX(Tiere!AF$30:AF$112,'Nährstoffe und Lagerraum'!$BH27)</f>
        <v>0</v>
      </c>
      <c r="CT27" s="277">
        <f>INDEX(Tiere!AG$30:AG$112,'Nährstoffe und Lagerraum'!$BH27)</f>
        <v>0</v>
      </c>
      <c r="CU27" s="277">
        <f>INDEX(Tiere!AH$30:AH$112,'Nährstoffe und Lagerraum'!$BH27)</f>
        <v>0</v>
      </c>
      <c r="CV27" s="139">
        <f t="shared" si="65"/>
        <v>0</v>
      </c>
      <c r="CW27" s="144">
        <f t="shared" si="66"/>
        <v>0</v>
      </c>
      <c r="CX27" s="17"/>
      <c r="CY27" s="17">
        <f t="shared" si="67"/>
        <v>0</v>
      </c>
      <c r="CZ27" s="17">
        <f t="shared" si="68"/>
        <v>0</v>
      </c>
      <c r="DA27" s="17">
        <f t="shared" si="69"/>
        <v>0</v>
      </c>
      <c r="DD27" s="139">
        <f t="shared" si="70"/>
        <v>0</v>
      </c>
      <c r="DE27" s="139">
        <f t="shared" si="71"/>
        <v>0</v>
      </c>
      <c r="DF27" s="139">
        <f t="shared" si="72"/>
        <v>0</v>
      </c>
      <c r="DG27" s="139">
        <f t="shared" si="73"/>
        <v>0</v>
      </c>
      <c r="DL27" s="139">
        <f t="shared" si="18"/>
        <v>0</v>
      </c>
      <c r="DM27" s="139">
        <f t="shared" si="19"/>
        <v>0</v>
      </c>
      <c r="DN27" s="139">
        <f t="shared" si="20"/>
        <v>0</v>
      </c>
      <c r="DO27" s="139">
        <f t="shared" si="21"/>
        <v>0</v>
      </c>
      <c r="DP27" s="139">
        <f t="shared" si="74"/>
        <v>0</v>
      </c>
      <c r="DQ27" s="139">
        <f t="shared" si="75"/>
        <v>0</v>
      </c>
      <c r="DR27" s="139" cm="1">
        <f t="array" ref="DR27">INDEX(Tiere!$AA$30:$AA$112,'Nährstoffe und Lagerraum'!BH27)</f>
        <v>0</v>
      </c>
      <c r="DS27" s="139">
        <f t="shared" si="76"/>
        <v>0</v>
      </c>
    </row>
    <row r="28" spans="1:123" ht="15.75" customHeight="1" x14ac:dyDescent="0.2">
      <c r="A28" s="1248"/>
      <c r="B28" s="1249"/>
      <c r="C28" s="1249"/>
      <c r="D28" s="1028"/>
      <c r="E28" s="1029"/>
      <c r="F28" s="1106"/>
      <c r="G28" s="1034"/>
      <c r="H28" s="1035"/>
      <c r="I28" s="466" t="str">
        <f t="shared" si="22"/>
        <v xml:space="preserve"> </v>
      </c>
      <c r="J28" s="466" t="str">
        <f t="shared" ref="J28:J38" si="79">IF(Q28+S28=0," ",(Q28+S28)/2)</f>
        <v xml:space="preserve"> </v>
      </c>
      <c r="K28" s="18"/>
      <c r="L28" s="1078">
        <f t="shared" si="23"/>
        <v>0</v>
      </c>
      <c r="M28" s="239"/>
      <c r="N28" s="267" t="str">
        <f t="shared" si="24"/>
        <v xml:space="preserve"> </v>
      </c>
      <c r="O28" s="267"/>
      <c r="P28" s="267">
        <f t="shared" si="25"/>
        <v>0</v>
      </c>
      <c r="Q28" s="267">
        <f t="shared" si="26"/>
        <v>0</v>
      </c>
      <c r="R28" s="267">
        <f t="shared" si="27"/>
        <v>0</v>
      </c>
      <c r="S28" s="267">
        <f t="shared" si="28"/>
        <v>0</v>
      </c>
      <c r="T28" s="267" t="str">
        <f t="shared" si="2"/>
        <v xml:space="preserve"> </v>
      </c>
      <c r="U28" s="268">
        <f t="shared" si="29"/>
        <v>0</v>
      </c>
      <c r="V28" s="269">
        <f t="shared" si="30"/>
        <v>0</v>
      </c>
      <c r="W28" s="657">
        <f t="shared" si="31"/>
        <v>0</v>
      </c>
      <c r="X28" s="657">
        <f t="shared" si="32"/>
        <v>0</v>
      </c>
      <c r="Y28" s="657">
        <f t="shared" si="33"/>
        <v>0</v>
      </c>
      <c r="Z28" s="657">
        <f t="shared" si="34"/>
        <v>0</v>
      </c>
      <c r="AA28" s="270">
        <f t="shared" si="35"/>
        <v>0</v>
      </c>
      <c r="AB28" s="267">
        <f t="shared" si="36"/>
        <v>0</v>
      </c>
      <c r="AC28" s="267">
        <f t="shared" si="37"/>
        <v>0</v>
      </c>
      <c r="AD28" s="271">
        <f t="shared" si="38"/>
        <v>0</v>
      </c>
      <c r="AE28" s="272">
        <f>INDEX(Tiere!I$30:I$112,'Nährstoffe und Lagerraum'!$BH28)</f>
        <v>0</v>
      </c>
      <c r="AF28" s="272">
        <f>INDEX(Tiere!W$30:W$112,'Nährstoffe und Lagerraum'!BH28)</f>
        <v>0</v>
      </c>
      <c r="AG28" s="267">
        <f t="shared" si="39"/>
        <v>0</v>
      </c>
      <c r="AH28" s="267">
        <f t="shared" si="40"/>
        <v>0</v>
      </c>
      <c r="AI28" s="267">
        <f t="shared" si="41"/>
        <v>0</v>
      </c>
      <c r="AJ28" s="270">
        <f t="shared" si="42"/>
        <v>0</v>
      </c>
      <c r="AK28" s="267">
        <f t="shared" si="43"/>
        <v>0</v>
      </c>
      <c r="AL28" s="271">
        <f t="shared" si="44"/>
        <v>0</v>
      </c>
      <c r="AM28" s="272" cm="1">
        <f t="array" ref="AM28">IF(BI28=1,INDEX(Tiere!S$30:S$112,'Nährstoffe und Lagerraum'!$BH28),IF(BI28=2,INDEX(Tiere!$T$30:$T$112,'Nährstoffe und Lagerraum'!BH28),INDEX(Tiere!$U$30:$U$112,'Nährstoffe und Lagerraum'!BH28)))</f>
        <v>0</v>
      </c>
      <c r="AN28" s="426">
        <f t="shared" si="77"/>
        <v>0</v>
      </c>
      <c r="AO28" s="426">
        <f t="shared" si="45"/>
        <v>0</v>
      </c>
      <c r="AP28" s="426">
        <f t="shared" si="46"/>
        <v>0</v>
      </c>
      <c r="AQ28" s="427">
        <f t="shared" si="47"/>
        <v>0</v>
      </c>
      <c r="AR28" s="428">
        <f t="shared" si="48"/>
        <v>0</v>
      </c>
      <c r="AS28" s="429">
        <f t="shared" si="49"/>
        <v>0</v>
      </c>
      <c r="AT28" s="267"/>
      <c r="AU28" s="370">
        <f t="shared" si="50"/>
        <v>0</v>
      </c>
      <c r="AV28" s="371">
        <f t="shared" si="51"/>
        <v>0</v>
      </c>
      <c r="AW28" s="371">
        <f t="shared" si="52"/>
        <v>0</v>
      </c>
      <c r="AX28" s="270">
        <f t="shared" si="53"/>
        <v>0</v>
      </c>
      <c r="AY28" s="267">
        <f t="shared" si="54"/>
        <v>0</v>
      </c>
      <c r="AZ28" s="271">
        <f t="shared" si="55"/>
        <v>0</v>
      </c>
      <c r="BA28" s="275">
        <f t="shared" si="56"/>
        <v>0</v>
      </c>
      <c r="BB28" s="276">
        <f t="shared" si="57"/>
        <v>0</v>
      </c>
      <c r="BC28" s="273">
        <f>INDEX(Tiere!AI$30:AI$112,'Nährstoffe und Lagerraum'!$BH28)</f>
        <v>0</v>
      </c>
      <c r="BD28" s="273">
        <f>INDEX(Tiere!AJ$30:AJ$112,'Nährstoffe und Lagerraum'!$BH28)</f>
        <v>0</v>
      </c>
      <c r="BE28" s="273">
        <f>INDEX(Tiere!AK$30:AK$112,'Nährstoffe und Lagerraum'!$BH28)</f>
        <v>0</v>
      </c>
      <c r="BF28" s="278">
        <f t="shared" si="58"/>
        <v>1</v>
      </c>
      <c r="BG28" s="278" cm="1">
        <f t="array" ref="BG28">INDEX(Tiere!$C$30:$C$112,BH28)</f>
        <v>0</v>
      </c>
      <c r="BH28" s="279">
        <v>1</v>
      </c>
      <c r="BI28" s="279">
        <v>1</v>
      </c>
      <c r="BJ28" s="278">
        <f>INDEX(Tiere!D$30:D$112,'Nährstoffe und Lagerraum'!$BH28)</f>
        <v>0</v>
      </c>
      <c r="BK28" s="278" t="str">
        <f t="shared" si="59"/>
        <v>1</v>
      </c>
      <c r="BL28" s="278">
        <f t="shared" si="60"/>
        <v>0</v>
      </c>
      <c r="BM28" s="277">
        <f>INDEX(Tiere!E$30:E$112,'Nährstoffe und Lagerraum'!$BH28)</f>
        <v>0</v>
      </c>
      <c r="BN28" s="273">
        <f>INDEX(Tiere!F$30:F$112,'Nährstoffe und Lagerraum'!$BH28)</f>
        <v>0</v>
      </c>
      <c r="BO28" s="274">
        <f>INDEX(Tiere!G$30:G$112,'Nährstoffe und Lagerraum'!$BH28)</f>
        <v>0</v>
      </c>
      <c r="BP28" s="273">
        <f>INDEX(Tiere!H$30:H$112,'Nährstoffe und Lagerraum'!$BH28)</f>
        <v>0</v>
      </c>
      <c r="BQ28" s="273">
        <f>INDEX(Tiere!V$30:V$112,'Nährstoffe und Lagerraum'!$BH28)</f>
        <v>0</v>
      </c>
      <c r="BR28" s="277">
        <f>INDEX(Tiere!P$30:P$112,'Nährstoffe und Lagerraum'!$BH28)</f>
        <v>0</v>
      </c>
      <c r="BS28" s="273">
        <f>INDEX(Tiere!Q$30:Q$112,'Nährstoffe und Lagerraum'!$BH28)</f>
        <v>0</v>
      </c>
      <c r="BT28" s="274">
        <f>INDEX(Tiere!R$30:R$112,'Nährstoffe und Lagerraum'!$BH28)</f>
        <v>0</v>
      </c>
      <c r="BU28" s="277">
        <f>INDEX(Tiere!X$30:X$112,'Nährstoffe und Lagerraum'!$BH28)</f>
        <v>0</v>
      </c>
      <c r="BV28" s="274">
        <f>INDEX(Tiere!Y$30:Y$112,'Nährstoffe und Lagerraum'!$BH28)</f>
        <v>0</v>
      </c>
      <c r="BW28" s="280">
        <f>INDEX(Tiere!Z$30:Z$112,'Nährstoffe und Lagerraum'!$BH28)</f>
        <v>0</v>
      </c>
      <c r="BX28" s="274">
        <f>INDEX(Tiere!J$30:J$112,'Nährstoffe und Lagerraum'!$BH28)</f>
        <v>0</v>
      </c>
      <c r="BY28" s="274">
        <f>INDEX(Tiere!K$30:K$112,'Nährstoffe und Lagerraum'!$BH28)</f>
        <v>0</v>
      </c>
      <c r="BZ28" s="274">
        <f>INDEX(Tiere!L$30:L$112,'Nährstoffe und Lagerraum'!$BH28)</f>
        <v>0</v>
      </c>
      <c r="CA28" s="273">
        <f>BX28*'Abweichende Werte'!$Y$64</f>
        <v>0</v>
      </c>
      <c r="CB28" s="273">
        <f>BY28*'Abweichende Werte'!$Y$64</f>
        <v>0</v>
      </c>
      <c r="CC28" s="273">
        <f>BZ28*'Abweichende Werte'!$Y$64</f>
        <v>0</v>
      </c>
      <c r="CD28" s="267">
        <v>5</v>
      </c>
      <c r="CE28" s="267">
        <v>3</v>
      </c>
      <c r="CF28" s="271">
        <v>17</v>
      </c>
      <c r="CG28" s="271">
        <f>'Abweichende Werte'!U$64</f>
        <v>5</v>
      </c>
      <c r="CH28" s="271">
        <f>'Abweichende Werte'!V$64</f>
        <v>3</v>
      </c>
      <c r="CI28" s="271">
        <f>'Abweichende Werte'!W$64</f>
        <v>17</v>
      </c>
      <c r="CJ28" s="271">
        <f>INDEX(Tiere!AD$30:AD$112,'Nährstoffe und Lagerraum'!$BH28)</f>
        <v>0</v>
      </c>
      <c r="CK28" s="271">
        <f>INDEX(Tiere!AE$30:AE$112,'Nährstoffe und Lagerraum'!$BH28)</f>
        <v>0</v>
      </c>
      <c r="CL28" s="281">
        <f t="shared" si="61"/>
        <v>0</v>
      </c>
      <c r="CM28" s="282">
        <f t="shared" si="78"/>
        <v>0</v>
      </c>
      <c r="CN28" s="267">
        <f t="shared" si="62"/>
        <v>0</v>
      </c>
      <c r="CO28" s="271">
        <f t="shared" si="63"/>
        <v>0</v>
      </c>
      <c r="CP28" s="267"/>
      <c r="CQ28" s="267" t="b">
        <f t="shared" si="64"/>
        <v>0</v>
      </c>
      <c r="CR28" s="267"/>
      <c r="CS28" s="277">
        <f>INDEX(Tiere!AF$30:AF$112,'Nährstoffe und Lagerraum'!$BH28)</f>
        <v>0</v>
      </c>
      <c r="CT28" s="277">
        <f>INDEX(Tiere!AG$30:AG$112,'Nährstoffe und Lagerraum'!$BH28)</f>
        <v>0</v>
      </c>
      <c r="CU28" s="277">
        <f>INDEX(Tiere!AH$30:AH$112,'Nährstoffe und Lagerraum'!$BH28)</f>
        <v>0</v>
      </c>
      <c r="CV28" s="139">
        <f t="shared" si="65"/>
        <v>0</v>
      </c>
      <c r="CW28" s="144">
        <f t="shared" si="66"/>
        <v>0</v>
      </c>
      <c r="CX28" s="17"/>
      <c r="CY28" s="17">
        <f t="shared" si="67"/>
        <v>0</v>
      </c>
      <c r="CZ28" s="17">
        <f t="shared" si="68"/>
        <v>0</v>
      </c>
      <c r="DA28" s="17">
        <f t="shared" si="69"/>
        <v>0</v>
      </c>
      <c r="DD28" s="139">
        <f t="shared" si="70"/>
        <v>0</v>
      </c>
      <c r="DE28" s="139">
        <f t="shared" si="71"/>
        <v>0</v>
      </c>
      <c r="DF28" s="139">
        <f t="shared" si="72"/>
        <v>0</v>
      </c>
      <c r="DG28" s="139">
        <f t="shared" si="73"/>
        <v>0</v>
      </c>
      <c r="DL28" s="139">
        <f t="shared" si="18"/>
        <v>0</v>
      </c>
      <c r="DM28" s="139">
        <f t="shared" si="19"/>
        <v>0</v>
      </c>
      <c r="DN28" s="139">
        <f t="shared" si="20"/>
        <v>0</v>
      </c>
      <c r="DO28" s="139">
        <f t="shared" si="21"/>
        <v>0</v>
      </c>
      <c r="DP28" s="139">
        <f t="shared" si="74"/>
        <v>0</v>
      </c>
      <c r="DQ28" s="139">
        <f t="shared" si="75"/>
        <v>0</v>
      </c>
      <c r="DR28" s="139" cm="1">
        <f t="array" ref="DR28">INDEX(Tiere!$AA$30:$AA$112,'Nährstoffe und Lagerraum'!BH28)</f>
        <v>0</v>
      </c>
      <c r="DS28" s="139">
        <f t="shared" si="76"/>
        <v>0</v>
      </c>
    </row>
    <row r="29" spans="1:123" ht="15.75" customHeight="1" x14ac:dyDescent="0.2">
      <c r="A29" s="1248"/>
      <c r="B29" s="1249"/>
      <c r="C29" s="1249"/>
      <c r="D29" s="1028"/>
      <c r="E29" s="1029"/>
      <c r="F29" s="1106"/>
      <c r="G29" s="1034"/>
      <c r="H29" s="1035"/>
      <c r="I29" s="466" t="str">
        <f t="shared" si="22"/>
        <v xml:space="preserve"> </v>
      </c>
      <c r="J29" s="466" t="str">
        <f t="shared" si="79"/>
        <v xml:space="preserve"> </v>
      </c>
      <c r="K29" s="18"/>
      <c r="L29" s="1078">
        <f t="shared" si="23"/>
        <v>0</v>
      </c>
      <c r="M29" s="239"/>
      <c r="N29" s="267" t="str">
        <f t="shared" si="24"/>
        <v xml:space="preserve"> </v>
      </c>
      <c r="O29" s="267"/>
      <c r="P29" s="267">
        <f t="shared" si="25"/>
        <v>0</v>
      </c>
      <c r="Q29" s="267">
        <f t="shared" si="26"/>
        <v>0</v>
      </c>
      <c r="R29" s="267">
        <f t="shared" si="27"/>
        <v>0</v>
      </c>
      <c r="S29" s="267">
        <f t="shared" si="28"/>
        <v>0</v>
      </c>
      <c r="T29" s="267" t="str">
        <f t="shared" si="2"/>
        <v xml:space="preserve"> </v>
      </c>
      <c r="U29" s="268">
        <f t="shared" si="29"/>
        <v>0</v>
      </c>
      <c r="V29" s="269">
        <f t="shared" si="30"/>
        <v>0</v>
      </c>
      <c r="W29" s="657">
        <f t="shared" si="31"/>
        <v>0</v>
      </c>
      <c r="X29" s="657">
        <f t="shared" si="32"/>
        <v>0</v>
      </c>
      <c r="Y29" s="657">
        <f t="shared" si="33"/>
        <v>0</v>
      </c>
      <c r="Z29" s="657">
        <f t="shared" si="34"/>
        <v>0</v>
      </c>
      <c r="AA29" s="270">
        <f t="shared" si="35"/>
        <v>0</v>
      </c>
      <c r="AB29" s="267">
        <f t="shared" si="36"/>
        <v>0</v>
      </c>
      <c r="AC29" s="267">
        <f t="shared" si="37"/>
        <v>0</v>
      </c>
      <c r="AD29" s="271">
        <f t="shared" si="38"/>
        <v>0</v>
      </c>
      <c r="AE29" s="272">
        <f>INDEX(Tiere!I$30:I$112,'Nährstoffe und Lagerraum'!$BH29)</f>
        <v>0</v>
      </c>
      <c r="AF29" s="272">
        <f>INDEX(Tiere!W$30:W$112,'Nährstoffe und Lagerraum'!BH29)</f>
        <v>0</v>
      </c>
      <c r="AG29" s="267">
        <f t="shared" si="39"/>
        <v>0</v>
      </c>
      <c r="AH29" s="267">
        <f t="shared" si="40"/>
        <v>0</v>
      </c>
      <c r="AI29" s="267">
        <f t="shared" si="41"/>
        <v>0</v>
      </c>
      <c r="AJ29" s="270">
        <f t="shared" si="42"/>
        <v>0</v>
      </c>
      <c r="AK29" s="267">
        <f t="shared" si="43"/>
        <v>0</v>
      </c>
      <c r="AL29" s="271">
        <f t="shared" si="44"/>
        <v>0</v>
      </c>
      <c r="AM29" s="272" cm="1">
        <f t="array" ref="AM29">IF(BI29=1,INDEX(Tiere!S$30:S$112,'Nährstoffe und Lagerraum'!$BH29),IF(BI29=2,INDEX(Tiere!$T$30:$T$112,'Nährstoffe und Lagerraum'!BH29),INDEX(Tiere!$U$30:$U$112,'Nährstoffe und Lagerraum'!BH29)))</f>
        <v>0</v>
      </c>
      <c r="AN29" s="426">
        <f t="shared" si="77"/>
        <v>0</v>
      </c>
      <c r="AO29" s="426">
        <f t="shared" si="45"/>
        <v>0</v>
      </c>
      <c r="AP29" s="426">
        <f t="shared" si="46"/>
        <v>0</v>
      </c>
      <c r="AQ29" s="427">
        <f t="shared" si="47"/>
        <v>0</v>
      </c>
      <c r="AR29" s="428">
        <f t="shared" si="48"/>
        <v>0</v>
      </c>
      <c r="AS29" s="429">
        <f t="shared" si="49"/>
        <v>0</v>
      </c>
      <c r="AT29" s="267"/>
      <c r="AU29" s="370">
        <f t="shared" si="50"/>
        <v>0</v>
      </c>
      <c r="AV29" s="371">
        <f t="shared" si="51"/>
        <v>0</v>
      </c>
      <c r="AW29" s="371">
        <f t="shared" si="52"/>
        <v>0</v>
      </c>
      <c r="AX29" s="270">
        <f t="shared" si="53"/>
        <v>0</v>
      </c>
      <c r="AY29" s="267">
        <f t="shared" si="54"/>
        <v>0</v>
      </c>
      <c r="AZ29" s="271">
        <f t="shared" si="55"/>
        <v>0</v>
      </c>
      <c r="BA29" s="275">
        <f t="shared" si="56"/>
        <v>0</v>
      </c>
      <c r="BB29" s="276">
        <f t="shared" si="57"/>
        <v>0</v>
      </c>
      <c r="BC29" s="273">
        <f>INDEX(Tiere!AI$30:AI$112,'Nährstoffe und Lagerraum'!$BH29)</f>
        <v>0</v>
      </c>
      <c r="BD29" s="273">
        <f>INDEX(Tiere!AJ$30:AJ$112,'Nährstoffe und Lagerraum'!$BH29)</f>
        <v>0</v>
      </c>
      <c r="BE29" s="273">
        <f>INDEX(Tiere!AK$30:AK$112,'Nährstoffe und Lagerraum'!$BH29)</f>
        <v>0</v>
      </c>
      <c r="BF29" s="278">
        <f t="shared" si="58"/>
        <v>1</v>
      </c>
      <c r="BG29" s="278" cm="1">
        <f t="array" ref="BG29">INDEX(Tiere!$C$30:$C$112,BH29)</f>
        <v>0</v>
      </c>
      <c r="BH29" s="279">
        <v>1</v>
      </c>
      <c r="BI29" s="279">
        <v>1</v>
      </c>
      <c r="BJ29" s="278">
        <f>INDEX(Tiere!D$30:D$112,'Nährstoffe und Lagerraum'!$BH29)</f>
        <v>0</v>
      </c>
      <c r="BK29" s="278" t="str">
        <f t="shared" si="59"/>
        <v>1</v>
      </c>
      <c r="BL29" s="278">
        <f t="shared" si="60"/>
        <v>0</v>
      </c>
      <c r="BM29" s="277">
        <f>INDEX(Tiere!E$30:E$112,'Nährstoffe und Lagerraum'!$BH29)</f>
        <v>0</v>
      </c>
      <c r="BN29" s="273">
        <f>INDEX(Tiere!F$30:F$112,'Nährstoffe und Lagerraum'!$BH29)</f>
        <v>0</v>
      </c>
      <c r="BO29" s="274">
        <f>INDEX(Tiere!G$30:G$112,'Nährstoffe und Lagerraum'!$BH29)</f>
        <v>0</v>
      </c>
      <c r="BP29" s="273">
        <f>INDEX(Tiere!H$30:H$112,'Nährstoffe und Lagerraum'!$BH29)</f>
        <v>0</v>
      </c>
      <c r="BQ29" s="273">
        <f>INDEX(Tiere!V$30:V$112,'Nährstoffe und Lagerraum'!$BH29)</f>
        <v>0</v>
      </c>
      <c r="BR29" s="277">
        <f>INDEX(Tiere!P$30:P$112,'Nährstoffe und Lagerraum'!$BH29)</f>
        <v>0</v>
      </c>
      <c r="BS29" s="273">
        <f>INDEX(Tiere!Q$30:Q$112,'Nährstoffe und Lagerraum'!$BH29)</f>
        <v>0</v>
      </c>
      <c r="BT29" s="274">
        <f>INDEX(Tiere!R$30:R$112,'Nährstoffe und Lagerraum'!$BH29)</f>
        <v>0</v>
      </c>
      <c r="BU29" s="277">
        <f>INDEX(Tiere!X$30:X$112,'Nährstoffe und Lagerraum'!$BH29)</f>
        <v>0</v>
      </c>
      <c r="BV29" s="274">
        <f>INDEX(Tiere!Y$30:Y$112,'Nährstoffe und Lagerraum'!$BH29)</f>
        <v>0</v>
      </c>
      <c r="BW29" s="280">
        <f>INDEX(Tiere!Z$30:Z$112,'Nährstoffe und Lagerraum'!$BH29)</f>
        <v>0</v>
      </c>
      <c r="BX29" s="274">
        <f>INDEX(Tiere!J$30:J$112,'Nährstoffe und Lagerraum'!$BH29)</f>
        <v>0</v>
      </c>
      <c r="BY29" s="274">
        <f>INDEX(Tiere!K$30:K$112,'Nährstoffe und Lagerraum'!$BH29)</f>
        <v>0</v>
      </c>
      <c r="BZ29" s="274">
        <f>INDEX(Tiere!L$30:L$112,'Nährstoffe und Lagerraum'!$BH29)</f>
        <v>0</v>
      </c>
      <c r="CA29" s="273">
        <f>BX29*'Abweichende Werte'!$Y$64</f>
        <v>0</v>
      </c>
      <c r="CB29" s="273">
        <f>BY29*'Abweichende Werte'!$Y$64</f>
        <v>0</v>
      </c>
      <c r="CC29" s="273">
        <f>BZ29*'Abweichende Werte'!$Y$64</f>
        <v>0</v>
      </c>
      <c r="CD29" s="267">
        <v>5</v>
      </c>
      <c r="CE29" s="267">
        <v>3</v>
      </c>
      <c r="CF29" s="271">
        <v>17</v>
      </c>
      <c r="CG29" s="271">
        <f>'Abweichende Werte'!U$64</f>
        <v>5</v>
      </c>
      <c r="CH29" s="271">
        <f>'Abweichende Werte'!V$64</f>
        <v>3</v>
      </c>
      <c r="CI29" s="271">
        <f>'Abweichende Werte'!W$64</f>
        <v>17</v>
      </c>
      <c r="CJ29" s="271">
        <f>INDEX(Tiere!AD$30:AD$112,'Nährstoffe und Lagerraum'!$BH29)</f>
        <v>0</v>
      </c>
      <c r="CK29" s="271">
        <f>INDEX(Tiere!AE$30:AE$112,'Nährstoffe und Lagerraum'!$BH29)</f>
        <v>0</v>
      </c>
      <c r="CL29" s="281">
        <f t="shared" si="61"/>
        <v>0</v>
      </c>
      <c r="CM29" s="282">
        <f t="shared" si="78"/>
        <v>0</v>
      </c>
      <c r="CN29" s="267">
        <f t="shared" si="62"/>
        <v>0</v>
      </c>
      <c r="CO29" s="271">
        <f t="shared" si="63"/>
        <v>0</v>
      </c>
      <c r="CP29" s="267"/>
      <c r="CQ29" s="267" t="b">
        <f t="shared" si="64"/>
        <v>0</v>
      </c>
      <c r="CR29" s="267"/>
      <c r="CS29" s="277">
        <f>INDEX(Tiere!AF$30:AF$112,'Nährstoffe und Lagerraum'!$BH29)</f>
        <v>0</v>
      </c>
      <c r="CT29" s="277">
        <f>INDEX(Tiere!AG$30:AG$112,'Nährstoffe und Lagerraum'!$BH29)</f>
        <v>0</v>
      </c>
      <c r="CU29" s="277">
        <f>INDEX(Tiere!AH$30:AH$112,'Nährstoffe und Lagerraum'!$BH29)</f>
        <v>0</v>
      </c>
      <c r="CV29" s="139">
        <f t="shared" si="65"/>
        <v>0</v>
      </c>
      <c r="CW29" s="144">
        <f t="shared" si="66"/>
        <v>0</v>
      </c>
      <c r="CX29" s="17"/>
      <c r="CY29" s="17">
        <f t="shared" si="67"/>
        <v>0</v>
      </c>
      <c r="CZ29" s="17">
        <f t="shared" si="68"/>
        <v>0</v>
      </c>
      <c r="DA29" s="17">
        <f t="shared" si="69"/>
        <v>0</v>
      </c>
      <c r="DD29" s="139">
        <f t="shared" si="70"/>
        <v>0</v>
      </c>
      <c r="DE29" s="139">
        <f t="shared" si="71"/>
        <v>0</v>
      </c>
      <c r="DF29" s="139">
        <f t="shared" si="72"/>
        <v>0</v>
      </c>
      <c r="DG29" s="139">
        <f t="shared" si="73"/>
        <v>0</v>
      </c>
      <c r="DL29" s="139">
        <f t="shared" si="18"/>
        <v>0</v>
      </c>
      <c r="DM29" s="139">
        <f t="shared" si="19"/>
        <v>0</v>
      </c>
      <c r="DN29" s="139">
        <f t="shared" si="20"/>
        <v>0</v>
      </c>
      <c r="DO29" s="139">
        <f t="shared" si="21"/>
        <v>0</v>
      </c>
      <c r="DP29" s="139">
        <f t="shared" si="74"/>
        <v>0</v>
      </c>
      <c r="DQ29" s="139">
        <f t="shared" si="75"/>
        <v>0</v>
      </c>
      <c r="DR29" s="139" cm="1">
        <f t="array" ref="DR29">INDEX(Tiere!$AA$30:$AA$112,'Nährstoffe und Lagerraum'!BH29)</f>
        <v>0</v>
      </c>
      <c r="DS29" s="139">
        <f t="shared" si="76"/>
        <v>0</v>
      </c>
    </row>
    <row r="30" spans="1:123" ht="15.75" customHeight="1" x14ac:dyDescent="0.2">
      <c r="A30" s="1248"/>
      <c r="B30" s="1249"/>
      <c r="C30" s="1249"/>
      <c r="D30" s="1028"/>
      <c r="E30" s="1029"/>
      <c r="F30" s="1106"/>
      <c r="G30" s="1034"/>
      <c r="H30" s="1035"/>
      <c r="I30" s="466" t="str">
        <f t="shared" si="22"/>
        <v xml:space="preserve"> </v>
      </c>
      <c r="J30" s="466" t="str">
        <f t="shared" si="79"/>
        <v xml:space="preserve"> </v>
      </c>
      <c r="K30" s="18"/>
      <c r="L30" s="1078">
        <f t="shared" si="23"/>
        <v>0</v>
      </c>
      <c r="M30" s="239"/>
      <c r="N30" s="267" t="str">
        <f t="shared" si="24"/>
        <v xml:space="preserve"> </v>
      </c>
      <c r="O30" s="267"/>
      <c r="P30" s="267">
        <f t="shared" si="25"/>
        <v>0</v>
      </c>
      <c r="Q30" s="267">
        <f t="shared" si="26"/>
        <v>0</v>
      </c>
      <c r="R30" s="267">
        <f t="shared" si="27"/>
        <v>0</v>
      </c>
      <c r="S30" s="267">
        <f t="shared" si="28"/>
        <v>0</v>
      </c>
      <c r="T30" s="267" t="str">
        <f t="shared" si="2"/>
        <v xml:space="preserve"> </v>
      </c>
      <c r="U30" s="268">
        <f t="shared" si="29"/>
        <v>0</v>
      </c>
      <c r="V30" s="269">
        <f t="shared" si="30"/>
        <v>0</v>
      </c>
      <c r="W30" s="657">
        <f t="shared" si="31"/>
        <v>0</v>
      </c>
      <c r="X30" s="657">
        <f t="shared" si="32"/>
        <v>0</v>
      </c>
      <c r="Y30" s="657">
        <f t="shared" si="33"/>
        <v>0</v>
      </c>
      <c r="Z30" s="657">
        <f t="shared" si="34"/>
        <v>0</v>
      </c>
      <c r="AA30" s="270">
        <f t="shared" si="35"/>
        <v>0</v>
      </c>
      <c r="AB30" s="267">
        <f t="shared" si="36"/>
        <v>0</v>
      </c>
      <c r="AC30" s="267">
        <f t="shared" si="37"/>
        <v>0</v>
      </c>
      <c r="AD30" s="271">
        <f t="shared" si="38"/>
        <v>0</v>
      </c>
      <c r="AE30" s="272">
        <f>INDEX(Tiere!I$30:I$112,'Nährstoffe und Lagerraum'!$BH30)</f>
        <v>0</v>
      </c>
      <c r="AF30" s="272">
        <f>INDEX(Tiere!W$30:W$112,'Nährstoffe und Lagerraum'!BH30)</f>
        <v>0</v>
      </c>
      <c r="AG30" s="267">
        <f t="shared" si="39"/>
        <v>0</v>
      </c>
      <c r="AH30" s="267">
        <f t="shared" si="40"/>
        <v>0</v>
      </c>
      <c r="AI30" s="267">
        <f t="shared" si="41"/>
        <v>0</v>
      </c>
      <c r="AJ30" s="270">
        <f t="shared" si="42"/>
        <v>0</v>
      </c>
      <c r="AK30" s="267">
        <f t="shared" si="43"/>
        <v>0</v>
      </c>
      <c r="AL30" s="271">
        <f t="shared" si="44"/>
        <v>0</v>
      </c>
      <c r="AM30" s="272" cm="1">
        <f t="array" ref="AM30">IF(BI30=1,INDEX(Tiere!S$30:S$112,'Nährstoffe und Lagerraum'!$BH30),IF(BI30=2,INDEX(Tiere!$T$30:$T$112,'Nährstoffe und Lagerraum'!BH30),INDEX(Tiere!$U$30:$U$112,'Nährstoffe und Lagerraum'!BH30)))</f>
        <v>0</v>
      </c>
      <c r="AN30" s="426">
        <f t="shared" si="77"/>
        <v>0</v>
      </c>
      <c r="AO30" s="426">
        <f t="shared" si="45"/>
        <v>0</v>
      </c>
      <c r="AP30" s="426">
        <f t="shared" si="46"/>
        <v>0</v>
      </c>
      <c r="AQ30" s="427">
        <f t="shared" si="47"/>
        <v>0</v>
      </c>
      <c r="AR30" s="428">
        <f t="shared" si="48"/>
        <v>0</v>
      </c>
      <c r="AS30" s="429">
        <f t="shared" si="49"/>
        <v>0</v>
      </c>
      <c r="AT30" s="267"/>
      <c r="AU30" s="370">
        <f t="shared" si="50"/>
        <v>0</v>
      </c>
      <c r="AV30" s="371">
        <f t="shared" si="51"/>
        <v>0</v>
      </c>
      <c r="AW30" s="371">
        <f t="shared" si="52"/>
        <v>0</v>
      </c>
      <c r="AX30" s="270">
        <f t="shared" si="53"/>
        <v>0</v>
      </c>
      <c r="AY30" s="267">
        <f t="shared" si="54"/>
        <v>0</v>
      </c>
      <c r="AZ30" s="271">
        <f t="shared" si="55"/>
        <v>0</v>
      </c>
      <c r="BA30" s="275">
        <f t="shared" si="56"/>
        <v>0</v>
      </c>
      <c r="BB30" s="276">
        <f t="shared" si="57"/>
        <v>0</v>
      </c>
      <c r="BC30" s="273">
        <f>INDEX(Tiere!AI$30:AI$112,'Nährstoffe und Lagerraum'!$BH30)</f>
        <v>0</v>
      </c>
      <c r="BD30" s="273">
        <f>INDEX(Tiere!AJ$30:AJ$112,'Nährstoffe und Lagerraum'!$BH30)</f>
        <v>0</v>
      </c>
      <c r="BE30" s="273">
        <f>INDEX(Tiere!AK$30:AK$112,'Nährstoffe und Lagerraum'!$BH30)</f>
        <v>0</v>
      </c>
      <c r="BF30" s="278">
        <f t="shared" si="58"/>
        <v>1</v>
      </c>
      <c r="BG30" s="278" cm="1">
        <f t="array" ref="BG30">INDEX(Tiere!$C$30:$C$112,BH30)</f>
        <v>0</v>
      </c>
      <c r="BH30" s="279">
        <v>1</v>
      </c>
      <c r="BI30" s="279">
        <v>1</v>
      </c>
      <c r="BJ30" s="278">
        <f>INDEX(Tiere!D$30:D$112,'Nährstoffe und Lagerraum'!$BH30)</f>
        <v>0</v>
      </c>
      <c r="BK30" s="278" t="str">
        <f t="shared" si="59"/>
        <v>1</v>
      </c>
      <c r="BL30" s="278">
        <f t="shared" si="60"/>
        <v>0</v>
      </c>
      <c r="BM30" s="277">
        <f>INDEX(Tiere!E$30:E$112,'Nährstoffe und Lagerraum'!$BH30)</f>
        <v>0</v>
      </c>
      <c r="BN30" s="273">
        <f>INDEX(Tiere!F$30:F$112,'Nährstoffe und Lagerraum'!$BH30)</f>
        <v>0</v>
      </c>
      <c r="BO30" s="274">
        <f>INDEX(Tiere!G$30:G$112,'Nährstoffe und Lagerraum'!$BH30)</f>
        <v>0</v>
      </c>
      <c r="BP30" s="273">
        <f>INDEX(Tiere!H$30:H$112,'Nährstoffe und Lagerraum'!$BH30)</f>
        <v>0</v>
      </c>
      <c r="BQ30" s="273">
        <f>INDEX(Tiere!V$30:V$112,'Nährstoffe und Lagerraum'!$BH30)</f>
        <v>0</v>
      </c>
      <c r="BR30" s="277">
        <f>INDEX(Tiere!P$30:P$112,'Nährstoffe und Lagerraum'!$BH30)</f>
        <v>0</v>
      </c>
      <c r="BS30" s="273">
        <f>INDEX(Tiere!Q$30:Q$112,'Nährstoffe und Lagerraum'!$BH30)</f>
        <v>0</v>
      </c>
      <c r="BT30" s="274">
        <f>INDEX(Tiere!R$30:R$112,'Nährstoffe und Lagerraum'!$BH30)</f>
        <v>0</v>
      </c>
      <c r="BU30" s="277">
        <f>INDEX(Tiere!X$30:X$112,'Nährstoffe und Lagerraum'!$BH30)</f>
        <v>0</v>
      </c>
      <c r="BV30" s="274">
        <f>INDEX(Tiere!Y$30:Y$112,'Nährstoffe und Lagerraum'!$BH30)</f>
        <v>0</v>
      </c>
      <c r="BW30" s="280">
        <f>INDEX(Tiere!Z$30:Z$112,'Nährstoffe und Lagerraum'!$BH30)</f>
        <v>0</v>
      </c>
      <c r="BX30" s="274">
        <f>INDEX(Tiere!J$30:J$112,'Nährstoffe und Lagerraum'!$BH30)</f>
        <v>0</v>
      </c>
      <c r="BY30" s="274">
        <f>INDEX(Tiere!K$30:K$112,'Nährstoffe und Lagerraum'!$BH30)</f>
        <v>0</v>
      </c>
      <c r="BZ30" s="274">
        <f>INDEX(Tiere!L$30:L$112,'Nährstoffe und Lagerraum'!$BH30)</f>
        <v>0</v>
      </c>
      <c r="CA30" s="273">
        <f>BX30*'Abweichende Werte'!$Y$64</f>
        <v>0</v>
      </c>
      <c r="CB30" s="273">
        <f>BY30*'Abweichende Werte'!$Y$64</f>
        <v>0</v>
      </c>
      <c r="CC30" s="273">
        <f>BZ30*'Abweichende Werte'!$Y$64</f>
        <v>0</v>
      </c>
      <c r="CD30" s="267">
        <v>5</v>
      </c>
      <c r="CE30" s="267">
        <v>3</v>
      </c>
      <c r="CF30" s="271">
        <v>17</v>
      </c>
      <c r="CG30" s="271">
        <f>'Abweichende Werte'!U$64</f>
        <v>5</v>
      </c>
      <c r="CH30" s="271">
        <f>'Abweichende Werte'!V$64</f>
        <v>3</v>
      </c>
      <c r="CI30" s="271">
        <f>'Abweichende Werte'!W$64</f>
        <v>17</v>
      </c>
      <c r="CJ30" s="271">
        <f>INDEX(Tiere!AD$30:AD$112,'Nährstoffe und Lagerraum'!$BH30)</f>
        <v>0</v>
      </c>
      <c r="CK30" s="271">
        <f>INDEX(Tiere!AE$30:AE$112,'Nährstoffe und Lagerraum'!$BH30)</f>
        <v>0</v>
      </c>
      <c r="CL30" s="281">
        <f t="shared" si="61"/>
        <v>0</v>
      </c>
      <c r="CM30" s="282">
        <f t="shared" si="78"/>
        <v>0</v>
      </c>
      <c r="CN30" s="267">
        <f t="shared" si="62"/>
        <v>0</v>
      </c>
      <c r="CO30" s="271">
        <f t="shared" si="63"/>
        <v>0</v>
      </c>
      <c r="CP30" s="267"/>
      <c r="CQ30" s="267" t="b">
        <f t="shared" si="64"/>
        <v>0</v>
      </c>
      <c r="CR30" s="267"/>
      <c r="CS30" s="277">
        <f>INDEX(Tiere!AF$30:AF$112,'Nährstoffe und Lagerraum'!$BH30)</f>
        <v>0</v>
      </c>
      <c r="CT30" s="277">
        <f>INDEX(Tiere!AG$30:AG$112,'Nährstoffe und Lagerraum'!$BH30)</f>
        <v>0</v>
      </c>
      <c r="CU30" s="277">
        <f>INDEX(Tiere!AH$30:AH$112,'Nährstoffe und Lagerraum'!$BH30)</f>
        <v>0</v>
      </c>
      <c r="CV30" s="139">
        <f t="shared" si="65"/>
        <v>0</v>
      </c>
      <c r="CW30" s="144">
        <f t="shared" si="66"/>
        <v>0</v>
      </c>
      <c r="CX30" s="17"/>
      <c r="CY30" s="17">
        <f t="shared" si="67"/>
        <v>0</v>
      </c>
      <c r="CZ30" s="17">
        <f t="shared" si="68"/>
        <v>0</v>
      </c>
      <c r="DA30" s="17">
        <f t="shared" si="69"/>
        <v>0</v>
      </c>
      <c r="DD30" s="139">
        <f t="shared" si="70"/>
        <v>0</v>
      </c>
      <c r="DE30" s="139">
        <f t="shared" si="71"/>
        <v>0</v>
      </c>
      <c r="DF30" s="139">
        <f t="shared" si="72"/>
        <v>0</v>
      </c>
      <c r="DG30" s="139">
        <f t="shared" si="73"/>
        <v>0</v>
      </c>
      <c r="DL30" s="139">
        <f t="shared" si="18"/>
        <v>0</v>
      </c>
      <c r="DM30" s="139">
        <f t="shared" si="19"/>
        <v>0</v>
      </c>
      <c r="DN30" s="139">
        <f t="shared" si="20"/>
        <v>0</v>
      </c>
      <c r="DO30" s="139">
        <f t="shared" si="21"/>
        <v>0</v>
      </c>
      <c r="DP30" s="139">
        <f t="shared" si="74"/>
        <v>0</v>
      </c>
      <c r="DQ30" s="139">
        <f t="shared" si="75"/>
        <v>0</v>
      </c>
      <c r="DR30" s="139" cm="1">
        <f t="array" ref="DR30">INDEX(Tiere!$AA$30:$AA$112,'Nährstoffe und Lagerraum'!BH30)</f>
        <v>0</v>
      </c>
      <c r="DS30" s="139">
        <f t="shared" si="76"/>
        <v>0</v>
      </c>
    </row>
    <row r="31" spans="1:123" ht="15.75" customHeight="1" x14ac:dyDescent="0.2">
      <c r="A31" s="1248"/>
      <c r="B31" s="1249"/>
      <c r="C31" s="1249"/>
      <c r="D31" s="1028"/>
      <c r="E31" s="1029"/>
      <c r="F31" s="1106"/>
      <c r="G31" s="1034"/>
      <c r="H31" s="1035"/>
      <c r="I31" s="466" t="str">
        <f t="shared" si="22"/>
        <v xml:space="preserve"> </v>
      </c>
      <c r="J31" s="466" t="str">
        <f t="shared" si="79"/>
        <v xml:space="preserve"> </v>
      </c>
      <c r="K31" s="18"/>
      <c r="L31" s="1078">
        <f t="shared" si="23"/>
        <v>0</v>
      </c>
      <c r="M31" s="239"/>
      <c r="N31" s="267" t="str">
        <f t="shared" si="24"/>
        <v xml:space="preserve"> </v>
      </c>
      <c r="O31" s="267"/>
      <c r="P31" s="267">
        <f t="shared" si="25"/>
        <v>0</v>
      </c>
      <c r="Q31" s="267">
        <f t="shared" si="26"/>
        <v>0</v>
      </c>
      <c r="R31" s="267">
        <f t="shared" si="27"/>
        <v>0</v>
      </c>
      <c r="S31" s="267">
        <f t="shared" si="28"/>
        <v>0</v>
      </c>
      <c r="T31" s="267" t="str">
        <f t="shared" si="2"/>
        <v xml:space="preserve"> </v>
      </c>
      <c r="U31" s="268">
        <f t="shared" si="29"/>
        <v>0</v>
      </c>
      <c r="V31" s="269">
        <f t="shared" si="30"/>
        <v>0</v>
      </c>
      <c r="W31" s="657">
        <f t="shared" si="31"/>
        <v>0</v>
      </c>
      <c r="X31" s="657">
        <f t="shared" si="32"/>
        <v>0</v>
      </c>
      <c r="Y31" s="657">
        <f t="shared" si="33"/>
        <v>0</v>
      </c>
      <c r="Z31" s="657">
        <f t="shared" si="34"/>
        <v>0</v>
      </c>
      <c r="AA31" s="270">
        <f t="shared" si="35"/>
        <v>0</v>
      </c>
      <c r="AB31" s="267">
        <f t="shared" si="36"/>
        <v>0</v>
      </c>
      <c r="AC31" s="267">
        <f t="shared" si="37"/>
        <v>0</v>
      </c>
      <c r="AD31" s="271">
        <f t="shared" si="38"/>
        <v>0</v>
      </c>
      <c r="AE31" s="272">
        <f>INDEX(Tiere!I$30:I$112,'Nährstoffe und Lagerraum'!$BH31)</f>
        <v>0</v>
      </c>
      <c r="AF31" s="272">
        <f>INDEX(Tiere!W$30:W$112,'Nährstoffe und Lagerraum'!BH31)</f>
        <v>0</v>
      </c>
      <c r="AG31" s="267">
        <f t="shared" si="39"/>
        <v>0</v>
      </c>
      <c r="AH31" s="267">
        <f t="shared" si="40"/>
        <v>0</v>
      </c>
      <c r="AI31" s="267">
        <f t="shared" si="41"/>
        <v>0</v>
      </c>
      <c r="AJ31" s="270">
        <f t="shared" si="42"/>
        <v>0</v>
      </c>
      <c r="AK31" s="267">
        <f t="shared" si="43"/>
        <v>0</v>
      </c>
      <c r="AL31" s="271">
        <f t="shared" si="44"/>
        <v>0</v>
      </c>
      <c r="AM31" s="272" cm="1">
        <f t="array" ref="AM31">IF(BI31=1,INDEX(Tiere!S$30:S$112,'Nährstoffe und Lagerraum'!$BH31),IF(BI31=2,INDEX(Tiere!$T$30:$T$112,'Nährstoffe und Lagerraum'!BH31),INDEX(Tiere!$U$30:$U$112,'Nährstoffe und Lagerraum'!BH31)))</f>
        <v>0</v>
      </c>
      <c r="AN31" s="426">
        <f t="shared" si="77"/>
        <v>0</v>
      </c>
      <c r="AO31" s="426">
        <f t="shared" si="45"/>
        <v>0</v>
      </c>
      <c r="AP31" s="426">
        <f t="shared" si="46"/>
        <v>0</v>
      </c>
      <c r="AQ31" s="427">
        <f t="shared" si="47"/>
        <v>0</v>
      </c>
      <c r="AR31" s="428">
        <f t="shared" si="48"/>
        <v>0</v>
      </c>
      <c r="AS31" s="429">
        <f t="shared" si="49"/>
        <v>0</v>
      </c>
      <c r="AT31" s="267"/>
      <c r="AU31" s="370">
        <f t="shared" si="50"/>
        <v>0</v>
      </c>
      <c r="AV31" s="371">
        <f t="shared" si="51"/>
        <v>0</v>
      </c>
      <c r="AW31" s="371">
        <f t="shared" si="52"/>
        <v>0</v>
      </c>
      <c r="AX31" s="270">
        <f t="shared" si="53"/>
        <v>0</v>
      </c>
      <c r="AY31" s="267">
        <f t="shared" si="54"/>
        <v>0</v>
      </c>
      <c r="AZ31" s="271">
        <f t="shared" si="55"/>
        <v>0</v>
      </c>
      <c r="BA31" s="275">
        <f t="shared" si="56"/>
        <v>0</v>
      </c>
      <c r="BB31" s="276">
        <f t="shared" si="57"/>
        <v>0</v>
      </c>
      <c r="BC31" s="273">
        <f>INDEX(Tiere!AI$30:AI$112,'Nährstoffe und Lagerraum'!$BH31)</f>
        <v>0</v>
      </c>
      <c r="BD31" s="273">
        <f>INDEX(Tiere!AJ$30:AJ$112,'Nährstoffe und Lagerraum'!$BH31)</f>
        <v>0</v>
      </c>
      <c r="BE31" s="273">
        <f>INDEX(Tiere!AK$30:AK$112,'Nährstoffe und Lagerraum'!$BH31)</f>
        <v>0</v>
      </c>
      <c r="BF31" s="278">
        <f t="shared" si="58"/>
        <v>1</v>
      </c>
      <c r="BG31" s="278" cm="1">
        <f t="array" ref="BG31">INDEX(Tiere!$C$30:$C$112,BH31)</f>
        <v>0</v>
      </c>
      <c r="BH31" s="279">
        <v>1</v>
      </c>
      <c r="BI31" s="279">
        <v>1</v>
      </c>
      <c r="BJ31" s="278">
        <f>INDEX(Tiere!D$30:D$112,'Nährstoffe und Lagerraum'!$BH31)</f>
        <v>0</v>
      </c>
      <c r="BK31" s="278" t="str">
        <f t="shared" si="59"/>
        <v>1</v>
      </c>
      <c r="BL31" s="278">
        <f t="shared" si="60"/>
        <v>0</v>
      </c>
      <c r="BM31" s="277">
        <f>INDEX(Tiere!E$30:E$112,'Nährstoffe und Lagerraum'!$BH31)</f>
        <v>0</v>
      </c>
      <c r="BN31" s="273">
        <f>INDEX(Tiere!F$30:F$112,'Nährstoffe und Lagerraum'!$BH31)</f>
        <v>0</v>
      </c>
      <c r="BO31" s="274">
        <f>INDEX(Tiere!G$30:G$112,'Nährstoffe und Lagerraum'!$BH31)</f>
        <v>0</v>
      </c>
      <c r="BP31" s="273">
        <f>INDEX(Tiere!H$30:H$112,'Nährstoffe und Lagerraum'!$BH31)</f>
        <v>0</v>
      </c>
      <c r="BQ31" s="273">
        <f>INDEX(Tiere!V$30:V$112,'Nährstoffe und Lagerraum'!$BH31)</f>
        <v>0</v>
      </c>
      <c r="BR31" s="277">
        <f>INDEX(Tiere!P$30:P$112,'Nährstoffe und Lagerraum'!$BH31)</f>
        <v>0</v>
      </c>
      <c r="BS31" s="273">
        <f>INDEX(Tiere!Q$30:Q$112,'Nährstoffe und Lagerraum'!$BH31)</f>
        <v>0</v>
      </c>
      <c r="BT31" s="274">
        <f>INDEX(Tiere!R$30:R$112,'Nährstoffe und Lagerraum'!$BH31)</f>
        <v>0</v>
      </c>
      <c r="BU31" s="277">
        <f>INDEX(Tiere!X$30:X$112,'Nährstoffe und Lagerraum'!$BH31)</f>
        <v>0</v>
      </c>
      <c r="BV31" s="274">
        <f>INDEX(Tiere!Y$30:Y$112,'Nährstoffe und Lagerraum'!$BH31)</f>
        <v>0</v>
      </c>
      <c r="BW31" s="280">
        <f>INDEX(Tiere!Z$30:Z$112,'Nährstoffe und Lagerraum'!$BH31)</f>
        <v>0</v>
      </c>
      <c r="BX31" s="274">
        <f>INDEX(Tiere!J$30:J$112,'Nährstoffe und Lagerraum'!$BH31)</f>
        <v>0</v>
      </c>
      <c r="BY31" s="274">
        <f>INDEX(Tiere!K$30:K$112,'Nährstoffe und Lagerraum'!$BH31)</f>
        <v>0</v>
      </c>
      <c r="BZ31" s="274">
        <f>INDEX(Tiere!L$30:L$112,'Nährstoffe und Lagerraum'!$BH31)</f>
        <v>0</v>
      </c>
      <c r="CA31" s="273">
        <f>BX31*'Abweichende Werte'!$Y$64</f>
        <v>0</v>
      </c>
      <c r="CB31" s="273">
        <f>BY31*'Abweichende Werte'!$Y$64</f>
        <v>0</v>
      </c>
      <c r="CC31" s="273">
        <f>BZ31*'Abweichende Werte'!$Y$64</f>
        <v>0</v>
      </c>
      <c r="CD31" s="267">
        <v>5</v>
      </c>
      <c r="CE31" s="267">
        <v>3</v>
      </c>
      <c r="CF31" s="271">
        <v>17</v>
      </c>
      <c r="CG31" s="271">
        <f>'Abweichende Werte'!U$64</f>
        <v>5</v>
      </c>
      <c r="CH31" s="271">
        <f>'Abweichende Werte'!V$64</f>
        <v>3</v>
      </c>
      <c r="CI31" s="271">
        <f>'Abweichende Werte'!W$64</f>
        <v>17</v>
      </c>
      <c r="CJ31" s="271">
        <f>INDEX(Tiere!AD$30:AD$112,'Nährstoffe und Lagerraum'!$BH31)</f>
        <v>0</v>
      </c>
      <c r="CK31" s="271">
        <f>INDEX(Tiere!AE$30:AE$112,'Nährstoffe und Lagerraum'!$BH31)</f>
        <v>0</v>
      </c>
      <c r="CL31" s="281">
        <f t="shared" si="61"/>
        <v>0</v>
      </c>
      <c r="CM31" s="282">
        <f t="shared" si="78"/>
        <v>0</v>
      </c>
      <c r="CN31" s="267">
        <f t="shared" si="62"/>
        <v>0</v>
      </c>
      <c r="CO31" s="271">
        <f t="shared" si="63"/>
        <v>0</v>
      </c>
      <c r="CP31" s="267"/>
      <c r="CQ31" s="267" t="b">
        <f t="shared" si="64"/>
        <v>0</v>
      </c>
      <c r="CR31" s="267"/>
      <c r="CS31" s="277">
        <f>INDEX(Tiere!AF$30:AF$112,'Nährstoffe und Lagerraum'!$BH31)</f>
        <v>0</v>
      </c>
      <c r="CT31" s="277">
        <f>INDEX(Tiere!AG$30:AG$112,'Nährstoffe und Lagerraum'!$BH31)</f>
        <v>0</v>
      </c>
      <c r="CU31" s="277">
        <f>INDEX(Tiere!AH$30:AH$112,'Nährstoffe und Lagerraum'!$BH31)</f>
        <v>0</v>
      </c>
      <c r="CV31" s="139">
        <f t="shared" si="65"/>
        <v>0</v>
      </c>
      <c r="CW31" s="144">
        <f t="shared" si="66"/>
        <v>0</v>
      </c>
      <c r="CX31" s="17"/>
      <c r="CY31" s="17">
        <f t="shared" si="67"/>
        <v>0</v>
      </c>
      <c r="CZ31" s="17">
        <f t="shared" si="68"/>
        <v>0</v>
      </c>
      <c r="DA31" s="17">
        <f t="shared" si="69"/>
        <v>0</v>
      </c>
      <c r="DD31" s="139">
        <f t="shared" si="70"/>
        <v>0</v>
      </c>
      <c r="DE31" s="139">
        <f t="shared" si="71"/>
        <v>0</v>
      </c>
      <c r="DF31" s="139">
        <f t="shared" si="72"/>
        <v>0</v>
      </c>
      <c r="DG31" s="139">
        <f t="shared" si="73"/>
        <v>0</v>
      </c>
      <c r="DL31" s="139">
        <f t="shared" si="18"/>
        <v>0</v>
      </c>
      <c r="DM31" s="139">
        <f t="shared" si="19"/>
        <v>0</v>
      </c>
      <c r="DN31" s="139">
        <f t="shared" si="20"/>
        <v>0</v>
      </c>
      <c r="DO31" s="139">
        <f t="shared" si="21"/>
        <v>0</v>
      </c>
      <c r="DP31" s="139">
        <f t="shared" si="74"/>
        <v>0</v>
      </c>
      <c r="DQ31" s="139">
        <f t="shared" si="75"/>
        <v>0</v>
      </c>
      <c r="DR31" s="139" cm="1">
        <f t="array" ref="DR31">INDEX(Tiere!$AA$30:$AA$112,'Nährstoffe und Lagerraum'!BH31)</f>
        <v>0</v>
      </c>
      <c r="DS31" s="139">
        <f t="shared" si="76"/>
        <v>0</v>
      </c>
    </row>
    <row r="32" spans="1:123" ht="15.75" customHeight="1" x14ac:dyDescent="0.2">
      <c r="A32" s="1248"/>
      <c r="B32" s="1249"/>
      <c r="C32" s="1249"/>
      <c r="D32" s="1028"/>
      <c r="E32" s="1029"/>
      <c r="F32" s="1106"/>
      <c r="G32" s="1034"/>
      <c r="H32" s="1035"/>
      <c r="I32" s="466" t="str">
        <f t="shared" si="22"/>
        <v xml:space="preserve"> </v>
      </c>
      <c r="J32" s="466" t="str">
        <f t="shared" si="79"/>
        <v xml:space="preserve"> </v>
      </c>
      <c r="K32" s="18"/>
      <c r="L32" s="1078">
        <f t="shared" si="23"/>
        <v>0</v>
      </c>
      <c r="M32" s="239"/>
      <c r="N32" s="267" t="str">
        <f t="shared" si="24"/>
        <v xml:space="preserve"> </v>
      </c>
      <c r="O32" s="267"/>
      <c r="P32" s="267">
        <f t="shared" si="25"/>
        <v>0</v>
      </c>
      <c r="Q32" s="267">
        <f t="shared" si="26"/>
        <v>0</v>
      </c>
      <c r="R32" s="267">
        <f t="shared" si="27"/>
        <v>0</v>
      </c>
      <c r="S32" s="267">
        <f t="shared" si="28"/>
        <v>0</v>
      </c>
      <c r="T32" s="267" t="str">
        <f t="shared" si="2"/>
        <v xml:space="preserve"> </v>
      </c>
      <c r="U32" s="268">
        <f t="shared" si="29"/>
        <v>0</v>
      </c>
      <c r="V32" s="269">
        <f t="shared" si="30"/>
        <v>0</v>
      </c>
      <c r="W32" s="657">
        <f t="shared" si="31"/>
        <v>0</v>
      </c>
      <c r="X32" s="657">
        <f t="shared" si="32"/>
        <v>0</v>
      </c>
      <c r="Y32" s="657">
        <f t="shared" si="33"/>
        <v>0</v>
      </c>
      <c r="Z32" s="657">
        <f t="shared" si="34"/>
        <v>0</v>
      </c>
      <c r="AA32" s="270">
        <f t="shared" si="35"/>
        <v>0</v>
      </c>
      <c r="AB32" s="267">
        <f t="shared" si="36"/>
        <v>0</v>
      </c>
      <c r="AC32" s="267">
        <f t="shared" si="37"/>
        <v>0</v>
      </c>
      <c r="AD32" s="271">
        <f t="shared" si="38"/>
        <v>0</v>
      </c>
      <c r="AE32" s="272">
        <f>INDEX(Tiere!I$30:I$112,'Nährstoffe und Lagerraum'!$BH32)</f>
        <v>0</v>
      </c>
      <c r="AF32" s="272">
        <f>INDEX(Tiere!W$30:W$112,'Nährstoffe und Lagerraum'!BH32)</f>
        <v>0</v>
      </c>
      <c r="AG32" s="267">
        <f t="shared" si="39"/>
        <v>0</v>
      </c>
      <c r="AH32" s="267">
        <f t="shared" si="40"/>
        <v>0</v>
      </c>
      <c r="AI32" s="267">
        <f t="shared" si="41"/>
        <v>0</v>
      </c>
      <c r="AJ32" s="270">
        <f t="shared" si="42"/>
        <v>0</v>
      </c>
      <c r="AK32" s="267">
        <f t="shared" si="43"/>
        <v>0</v>
      </c>
      <c r="AL32" s="271">
        <f t="shared" si="44"/>
        <v>0</v>
      </c>
      <c r="AM32" s="272" cm="1">
        <f t="array" ref="AM32">IF(BI32=1,INDEX(Tiere!S$30:S$112,'Nährstoffe und Lagerraum'!$BH32),IF(BI32=2,INDEX(Tiere!$T$30:$T$112,'Nährstoffe und Lagerraum'!BH32),INDEX(Tiere!$U$30:$U$112,'Nährstoffe und Lagerraum'!BH32)))</f>
        <v>0</v>
      </c>
      <c r="AN32" s="426">
        <f t="shared" si="77"/>
        <v>0</v>
      </c>
      <c r="AO32" s="426">
        <f t="shared" si="45"/>
        <v>0</v>
      </c>
      <c r="AP32" s="426">
        <f t="shared" si="46"/>
        <v>0</v>
      </c>
      <c r="AQ32" s="427">
        <f t="shared" si="47"/>
        <v>0</v>
      </c>
      <c r="AR32" s="428">
        <f t="shared" si="48"/>
        <v>0</v>
      </c>
      <c r="AS32" s="429">
        <f t="shared" si="49"/>
        <v>0</v>
      </c>
      <c r="AT32" s="267"/>
      <c r="AU32" s="370">
        <f t="shared" si="50"/>
        <v>0</v>
      </c>
      <c r="AV32" s="371">
        <f t="shared" si="51"/>
        <v>0</v>
      </c>
      <c r="AW32" s="371">
        <f t="shared" si="52"/>
        <v>0</v>
      </c>
      <c r="AX32" s="270">
        <f t="shared" si="53"/>
        <v>0</v>
      </c>
      <c r="AY32" s="267">
        <f t="shared" si="54"/>
        <v>0</v>
      </c>
      <c r="AZ32" s="271">
        <f t="shared" si="55"/>
        <v>0</v>
      </c>
      <c r="BA32" s="275">
        <f t="shared" si="56"/>
        <v>0</v>
      </c>
      <c r="BB32" s="276">
        <f t="shared" si="57"/>
        <v>0</v>
      </c>
      <c r="BC32" s="273">
        <f>INDEX(Tiere!AI$30:AI$112,'Nährstoffe und Lagerraum'!$BH32)</f>
        <v>0</v>
      </c>
      <c r="BD32" s="273">
        <f>INDEX(Tiere!AJ$30:AJ$112,'Nährstoffe und Lagerraum'!$BH32)</f>
        <v>0</v>
      </c>
      <c r="BE32" s="273">
        <f>INDEX(Tiere!AK$30:AK$112,'Nährstoffe und Lagerraum'!$BH32)</f>
        <v>0</v>
      </c>
      <c r="BF32" s="278">
        <f t="shared" si="58"/>
        <v>1</v>
      </c>
      <c r="BG32" s="278" cm="1">
        <f t="array" ref="BG32">INDEX(Tiere!$C$30:$C$112,BH32)</f>
        <v>0</v>
      </c>
      <c r="BH32" s="279">
        <v>1</v>
      </c>
      <c r="BI32" s="279">
        <v>1</v>
      </c>
      <c r="BJ32" s="278">
        <f>INDEX(Tiere!D$30:D$112,'Nährstoffe und Lagerraum'!$BH32)</f>
        <v>0</v>
      </c>
      <c r="BK32" s="278" t="str">
        <f t="shared" si="59"/>
        <v>1</v>
      </c>
      <c r="BL32" s="278">
        <f t="shared" si="60"/>
        <v>0</v>
      </c>
      <c r="BM32" s="277">
        <f>INDEX(Tiere!E$30:E$112,'Nährstoffe und Lagerraum'!$BH32)</f>
        <v>0</v>
      </c>
      <c r="BN32" s="273">
        <f>INDEX(Tiere!F$30:F$112,'Nährstoffe und Lagerraum'!$BH32)</f>
        <v>0</v>
      </c>
      <c r="BO32" s="274">
        <f>INDEX(Tiere!G$30:G$112,'Nährstoffe und Lagerraum'!$BH32)</f>
        <v>0</v>
      </c>
      <c r="BP32" s="273">
        <f>INDEX(Tiere!H$30:H$112,'Nährstoffe und Lagerraum'!$BH32)</f>
        <v>0</v>
      </c>
      <c r="BQ32" s="273">
        <f>INDEX(Tiere!V$30:V$112,'Nährstoffe und Lagerraum'!$BH32)</f>
        <v>0</v>
      </c>
      <c r="BR32" s="277">
        <f>INDEX(Tiere!P$30:P$112,'Nährstoffe und Lagerraum'!$BH32)</f>
        <v>0</v>
      </c>
      <c r="BS32" s="273">
        <f>INDEX(Tiere!Q$30:Q$112,'Nährstoffe und Lagerraum'!$BH32)</f>
        <v>0</v>
      </c>
      <c r="BT32" s="274">
        <f>INDEX(Tiere!R$30:R$112,'Nährstoffe und Lagerraum'!$BH32)</f>
        <v>0</v>
      </c>
      <c r="BU32" s="277">
        <f>INDEX(Tiere!X$30:X$112,'Nährstoffe und Lagerraum'!$BH32)</f>
        <v>0</v>
      </c>
      <c r="BV32" s="274">
        <f>INDEX(Tiere!Y$30:Y$112,'Nährstoffe und Lagerraum'!$BH32)</f>
        <v>0</v>
      </c>
      <c r="BW32" s="280">
        <f>INDEX(Tiere!Z$30:Z$112,'Nährstoffe und Lagerraum'!$BH32)</f>
        <v>0</v>
      </c>
      <c r="BX32" s="274">
        <f>INDEX(Tiere!J$30:J$112,'Nährstoffe und Lagerraum'!$BH32)</f>
        <v>0</v>
      </c>
      <c r="BY32" s="274">
        <f>INDEX(Tiere!K$30:K$112,'Nährstoffe und Lagerraum'!$BH32)</f>
        <v>0</v>
      </c>
      <c r="BZ32" s="274">
        <f>INDEX(Tiere!L$30:L$112,'Nährstoffe und Lagerraum'!$BH32)</f>
        <v>0</v>
      </c>
      <c r="CA32" s="273">
        <f>BX32*'Abweichende Werte'!$Y$64</f>
        <v>0</v>
      </c>
      <c r="CB32" s="273">
        <f>BY32*'Abweichende Werte'!$Y$64</f>
        <v>0</v>
      </c>
      <c r="CC32" s="273">
        <f>BZ32*'Abweichende Werte'!$Y$64</f>
        <v>0</v>
      </c>
      <c r="CD32" s="267">
        <v>5</v>
      </c>
      <c r="CE32" s="267">
        <v>3</v>
      </c>
      <c r="CF32" s="271">
        <v>17</v>
      </c>
      <c r="CG32" s="271">
        <f>'Abweichende Werte'!U$64</f>
        <v>5</v>
      </c>
      <c r="CH32" s="271">
        <f>'Abweichende Werte'!V$64</f>
        <v>3</v>
      </c>
      <c r="CI32" s="271">
        <f>'Abweichende Werte'!W$64</f>
        <v>17</v>
      </c>
      <c r="CJ32" s="271">
        <f>INDEX(Tiere!AD$30:AD$112,'Nährstoffe und Lagerraum'!$BH32)</f>
        <v>0</v>
      </c>
      <c r="CK32" s="271">
        <f>INDEX(Tiere!AE$30:AE$112,'Nährstoffe und Lagerraum'!$BH32)</f>
        <v>0</v>
      </c>
      <c r="CL32" s="281">
        <f t="shared" si="61"/>
        <v>0</v>
      </c>
      <c r="CM32" s="282">
        <f t="shared" si="78"/>
        <v>0</v>
      </c>
      <c r="CN32" s="267">
        <f t="shared" si="62"/>
        <v>0</v>
      </c>
      <c r="CO32" s="271">
        <f t="shared" si="63"/>
        <v>0</v>
      </c>
      <c r="CP32" s="267"/>
      <c r="CQ32" s="267" t="b">
        <f t="shared" si="64"/>
        <v>0</v>
      </c>
      <c r="CR32" s="267"/>
      <c r="CS32" s="277">
        <f>INDEX(Tiere!AF$30:AF$112,'Nährstoffe und Lagerraum'!$BH32)</f>
        <v>0</v>
      </c>
      <c r="CT32" s="277">
        <f>INDEX(Tiere!AG$30:AG$112,'Nährstoffe und Lagerraum'!$BH32)</f>
        <v>0</v>
      </c>
      <c r="CU32" s="277">
        <f>INDEX(Tiere!AH$30:AH$112,'Nährstoffe und Lagerraum'!$BH32)</f>
        <v>0</v>
      </c>
      <c r="CV32" s="139">
        <f t="shared" si="65"/>
        <v>0</v>
      </c>
      <c r="CW32" s="144">
        <f t="shared" si="66"/>
        <v>0</v>
      </c>
      <c r="CX32" s="17"/>
      <c r="CY32" s="17">
        <f t="shared" si="67"/>
        <v>0</v>
      </c>
      <c r="CZ32" s="17">
        <f t="shared" si="68"/>
        <v>0</v>
      </c>
      <c r="DA32" s="17">
        <f t="shared" si="69"/>
        <v>0</v>
      </c>
      <c r="DD32" s="139">
        <f t="shared" si="70"/>
        <v>0</v>
      </c>
      <c r="DE32" s="139">
        <f t="shared" si="71"/>
        <v>0</v>
      </c>
      <c r="DF32" s="139">
        <f t="shared" si="72"/>
        <v>0</v>
      </c>
      <c r="DG32" s="139">
        <f t="shared" si="73"/>
        <v>0</v>
      </c>
      <c r="DL32" s="139">
        <f t="shared" si="18"/>
        <v>0</v>
      </c>
      <c r="DM32" s="139">
        <f t="shared" si="19"/>
        <v>0</v>
      </c>
      <c r="DN32" s="139">
        <f t="shared" si="20"/>
        <v>0</v>
      </c>
      <c r="DO32" s="139">
        <f t="shared" si="21"/>
        <v>0</v>
      </c>
      <c r="DP32" s="139">
        <f t="shared" si="74"/>
        <v>0</v>
      </c>
      <c r="DQ32" s="139">
        <f t="shared" si="75"/>
        <v>0</v>
      </c>
      <c r="DR32" s="139" cm="1">
        <f t="array" ref="DR32">INDEX(Tiere!$AA$30:$AA$112,'Nährstoffe und Lagerraum'!BH32)</f>
        <v>0</v>
      </c>
      <c r="DS32" s="139">
        <f t="shared" si="76"/>
        <v>0</v>
      </c>
    </row>
    <row r="33" spans="1:123" ht="15.75" customHeight="1" x14ac:dyDescent="0.2">
      <c r="A33" s="1248"/>
      <c r="B33" s="1249"/>
      <c r="C33" s="1249"/>
      <c r="D33" s="1028"/>
      <c r="E33" s="1029"/>
      <c r="F33" s="465"/>
      <c r="G33" s="1034"/>
      <c r="H33" s="1035"/>
      <c r="I33" s="466" t="str">
        <f t="shared" si="22"/>
        <v xml:space="preserve"> </v>
      </c>
      <c r="J33" s="466" t="str">
        <f t="shared" si="79"/>
        <v xml:space="preserve"> </v>
      </c>
      <c r="K33" s="18"/>
      <c r="L33" s="1078">
        <f t="shared" si="23"/>
        <v>0</v>
      </c>
      <c r="M33" s="239"/>
      <c r="N33" s="267" t="str">
        <f t="shared" si="24"/>
        <v xml:space="preserve"> </v>
      </c>
      <c r="O33" s="267"/>
      <c r="P33" s="267">
        <f t="shared" si="25"/>
        <v>0</v>
      </c>
      <c r="Q33" s="267">
        <f t="shared" si="26"/>
        <v>0</v>
      </c>
      <c r="R33" s="267">
        <f t="shared" si="27"/>
        <v>0</v>
      </c>
      <c r="S33" s="267">
        <f t="shared" si="28"/>
        <v>0</v>
      </c>
      <c r="T33" s="267" t="str">
        <f t="shared" si="2"/>
        <v xml:space="preserve"> </v>
      </c>
      <c r="U33" s="268">
        <f t="shared" si="29"/>
        <v>0</v>
      </c>
      <c r="V33" s="269">
        <f t="shared" si="30"/>
        <v>0</v>
      </c>
      <c r="W33" s="657">
        <f t="shared" si="31"/>
        <v>0</v>
      </c>
      <c r="X33" s="657">
        <f t="shared" si="32"/>
        <v>0</v>
      </c>
      <c r="Y33" s="657">
        <f t="shared" si="33"/>
        <v>0</v>
      </c>
      <c r="Z33" s="657">
        <f t="shared" si="34"/>
        <v>0</v>
      </c>
      <c r="AA33" s="270">
        <f t="shared" si="35"/>
        <v>0</v>
      </c>
      <c r="AB33" s="267">
        <f t="shared" si="36"/>
        <v>0</v>
      </c>
      <c r="AC33" s="267">
        <f t="shared" si="37"/>
        <v>0</v>
      </c>
      <c r="AD33" s="271">
        <f t="shared" si="38"/>
        <v>0</v>
      </c>
      <c r="AE33" s="272">
        <f>INDEX(Tiere!I$30:I$112,'Nährstoffe und Lagerraum'!$BH33)</f>
        <v>0</v>
      </c>
      <c r="AF33" s="272">
        <f>INDEX(Tiere!W$30:W$112,'Nährstoffe und Lagerraum'!BH33)</f>
        <v>0</v>
      </c>
      <c r="AG33" s="267">
        <f t="shared" si="39"/>
        <v>0</v>
      </c>
      <c r="AH33" s="267">
        <f t="shared" si="40"/>
        <v>0</v>
      </c>
      <c r="AI33" s="267">
        <f t="shared" si="41"/>
        <v>0</v>
      </c>
      <c r="AJ33" s="270">
        <f t="shared" si="42"/>
        <v>0</v>
      </c>
      <c r="AK33" s="267">
        <f t="shared" si="43"/>
        <v>0</v>
      </c>
      <c r="AL33" s="271">
        <f t="shared" si="44"/>
        <v>0</v>
      </c>
      <c r="AM33" s="272" cm="1">
        <f t="array" ref="AM33">IF(BI33=1,INDEX(Tiere!S$30:S$112,'Nährstoffe und Lagerraum'!$BH33),IF(BI33=2,INDEX(Tiere!$T$30:$T$112,'Nährstoffe und Lagerraum'!BH33),INDEX(Tiere!$U$30:$U$112,'Nährstoffe und Lagerraum'!BH33)))</f>
        <v>0</v>
      </c>
      <c r="AN33" s="426">
        <f t="shared" si="77"/>
        <v>0</v>
      </c>
      <c r="AO33" s="426">
        <f t="shared" si="45"/>
        <v>0</v>
      </c>
      <c r="AP33" s="426">
        <f t="shared" si="46"/>
        <v>0</v>
      </c>
      <c r="AQ33" s="427">
        <f t="shared" si="47"/>
        <v>0</v>
      </c>
      <c r="AR33" s="428">
        <f t="shared" si="48"/>
        <v>0</v>
      </c>
      <c r="AS33" s="429">
        <f t="shared" si="49"/>
        <v>0</v>
      </c>
      <c r="AT33" s="267"/>
      <c r="AU33" s="370">
        <f t="shared" si="50"/>
        <v>0</v>
      </c>
      <c r="AV33" s="371">
        <f t="shared" si="51"/>
        <v>0</v>
      </c>
      <c r="AW33" s="371">
        <f t="shared" si="52"/>
        <v>0</v>
      </c>
      <c r="AX33" s="270">
        <f t="shared" si="53"/>
        <v>0</v>
      </c>
      <c r="AY33" s="267">
        <f t="shared" si="54"/>
        <v>0</v>
      </c>
      <c r="AZ33" s="271">
        <f t="shared" si="55"/>
        <v>0</v>
      </c>
      <c r="BA33" s="275">
        <f t="shared" si="56"/>
        <v>0</v>
      </c>
      <c r="BB33" s="276">
        <f t="shared" si="57"/>
        <v>0</v>
      </c>
      <c r="BC33" s="273">
        <f>INDEX(Tiere!AI$30:AI$112,'Nährstoffe und Lagerraum'!$BH33)</f>
        <v>0</v>
      </c>
      <c r="BD33" s="273">
        <f>INDEX(Tiere!AJ$30:AJ$112,'Nährstoffe und Lagerraum'!$BH33)</f>
        <v>0</v>
      </c>
      <c r="BE33" s="273">
        <f>INDEX(Tiere!AK$30:AK$112,'Nährstoffe und Lagerraum'!$BH33)</f>
        <v>0</v>
      </c>
      <c r="BF33" s="278">
        <f t="shared" si="58"/>
        <v>1</v>
      </c>
      <c r="BG33" s="278" cm="1">
        <f t="array" ref="BG33">INDEX(Tiere!$C$30:$C$112,BH33)</f>
        <v>0</v>
      </c>
      <c r="BH33" s="279">
        <v>1</v>
      </c>
      <c r="BI33" s="279">
        <v>1</v>
      </c>
      <c r="BJ33" s="278">
        <f>INDEX(Tiere!D$30:D$112,'Nährstoffe und Lagerraum'!$BH33)</f>
        <v>0</v>
      </c>
      <c r="BK33" s="278" t="str">
        <f t="shared" si="59"/>
        <v>1</v>
      </c>
      <c r="BL33" s="278">
        <f t="shared" si="60"/>
        <v>0</v>
      </c>
      <c r="BM33" s="277">
        <f>INDEX(Tiere!E$30:E$112,'Nährstoffe und Lagerraum'!$BH33)</f>
        <v>0</v>
      </c>
      <c r="BN33" s="273">
        <f>INDEX(Tiere!F$30:F$112,'Nährstoffe und Lagerraum'!$BH33)</f>
        <v>0</v>
      </c>
      <c r="BO33" s="274">
        <f>INDEX(Tiere!G$30:G$112,'Nährstoffe und Lagerraum'!$BH33)</f>
        <v>0</v>
      </c>
      <c r="BP33" s="273">
        <f>INDEX(Tiere!H$30:H$112,'Nährstoffe und Lagerraum'!$BH33)</f>
        <v>0</v>
      </c>
      <c r="BQ33" s="273">
        <f>INDEX(Tiere!V$30:V$112,'Nährstoffe und Lagerraum'!$BH33)</f>
        <v>0</v>
      </c>
      <c r="BR33" s="277">
        <f>INDEX(Tiere!P$30:P$112,'Nährstoffe und Lagerraum'!$BH33)</f>
        <v>0</v>
      </c>
      <c r="BS33" s="273">
        <f>INDEX(Tiere!Q$30:Q$112,'Nährstoffe und Lagerraum'!$BH33)</f>
        <v>0</v>
      </c>
      <c r="BT33" s="274">
        <f>INDEX(Tiere!R$30:R$112,'Nährstoffe und Lagerraum'!$BH33)</f>
        <v>0</v>
      </c>
      <c r="BU33" s="277">
        <f>INDEX(Tiere!X$30:X$112,'Nährstoffe und Lagerraum'!$BH33)</f>
        <v>0</v>
      </c>
      <c r="BV33" s="274">
        <f>INDEX(Tiere!Y$30:Y$112,'Nährstoffe und Lagerraum'!$BH33)</f>
        <v>0</v>
      </c>
      <c r="BW33" s="280">
        <f>INDEX(Tiere!Z$30:Z$112,'Nährstoffe und Lagerraum'!$BH33)</f>
        <v>0</v>
      </c>
      <c r="BX33" s="274">
        <f>INDEX(Tiere!J$30:J$112,'Nährstoffe und Lagerraum'!$BH33)</f>
        <v>0</v>
      </c>
      <c r="BY33" s="274">
        <f>INDEX(Tiere!K$30:K$112,'Nährstoffe und Lagerraum'!$BH33)</f>
        <v>0</v>
      </c>
      <c r="BZ33" s="274">
        <f>INDEX(Tiere!L$30:L$112,'Nährstoffe und Lagerraum'!$BH33)</f>
        <v>0</v>
      </c>
      <c r="CA33" s="273">
        <f>BX33*'Abweichende Werte'!$Y$64</f>
        <v>0</v>
      </c>
      <c r="CB33" s="273">
        <f>BY33*'Abweichende Werte'!$Y$64</f>
        <v>0</v>
      </c>
      <c r="CC33" s="273">
        <f>BZ33*'Abweichende Werte'!$Y$64</f>
        <v>0</v>
      </c>
      <c r="CD33" s="267">
        <v>5</v>
      </c>
      <c r="CE33" s="267">
        <v>3</v>
      </c>
      <c r="CF33" s="271">
        <v>17</v>
      </c>
      <c r="CG33" s="271">
        <f>'Abweichende Werte'!U$64</f>
        <v>5</v>
      </c>
      <c r="CH33" s="271">
        <f>'Abweichende Werte'!V$64</f>
        <v>3</v>
      </c>
      <c r="CI33" s="271">
        <f>'Abweichende Werte'!W$64</f>
        <v>17</v>
      </c>
      <c r="CJ33" s="271">
        <f>INDEX(Tiere!AD$30:AD$112,'Nährstoffe und Lagerraum'!$BH33)</f>
        <v>0</v>
      </c>
      <c r="CK33" s="271">
        <f>INDEX(Tiere!AE$30:AE$112,'Nährstoffe und Lagerraum'!$BH33)</f>
        <v>0</v>
      </c>
      <c r="CL33" s="281">
        <f t="shared" si="61"/>
        <v>0</v>
      </c>
      <c r="CM33" s="282">
        <f t="shared" si="78"/>
        <v>0</v>
      </c>
      <c r="CN33" s="267">
        <f t="shared" si="62"/>
        <v>0</v>
      </c>
      <c r="CO33" s="271">
        <f t="shared" si="63"/>
        <v>0</v>
      </c>
      <c r="CP33" s="267"/>
      <c r="CQ33" s="267" t="b">
        <f t="shared" si="64"/>
        <v>0</v>
      </c>
      <c r="CR33" s="267"/>
      <c r="CS33" s="277">
        <f>INDEX(Tiere!AF$30:AF$112,'Nährstoffe und Lagerraum'!$BH33)</f>
        <v>0</v>
      </c>
      <c r="CT33" s="277">
        <f>INDEX(Tiere!AG$30:AG$112,'Nährstoffe und Lagerraum'!$BH33)</f>
        <v>0</v>
      </c>
      <c r="CU33" s="277">
        <f>INDEX(Tiere!AH$30:AH$112,'Nährstoffe und Lagerraum'!$BH33)</f>
        <v>0</v>
      </c>
      <c r="CV33" s="139">
        <f t="shared" si="65"/>
        <v>0</v>
      </c>
      <c r="CW33" s="144">
        <f t="shared" si="66"/>
        <v>0</v>
      </c>
      <c r="CX33" s="17"/>
      <c r="CY33" s="17">
        <f t="shared" si="67"/>
        <v>0</v>
      </c>
      <c r="CZ33" s="17">
        <f t="shared" si="68"/>
        <v>0</v>
      </c>
      <c r="DA33" s="17">
        <f t="shared" si="69"/>
        <v>0</v>
      </c>
      <c r="DD33" s="139">
        <f t="shared" si="70"/>
        <v>0</v>
      </c>
      <c r="DE33" s="139">
        <f t="shared" si="71"/>
        <v>0</v>
      </c>
      <c r="DF33" s="139">
        <f t="shared" si="72"/>
        <v>0</v>
      </c>
      <c r="DG33" s="139">
        <f t="shared" si="73"/>
        <v>0</v>
      </c>
      <c r="DL33" s="139">
        <f t="shared" si="18"/>
        <v>0</v>
      </c>
      <c r="DM33" s="139">
        <f t="shared" si="19"/>
        <v>0</v>
      </c>
      <c r="DN33" s="139">
        <f t="shared" si="20"/>
        <v>0</v>
      </c>
      <c r="DO33" s="139">
        <f t="shared" si="21"/>
        <v>0</v>
      </c>
      <c r="DP33" s="139">
        <f t="shared" si="74"/>
        <v>0</v>
      </c>
      <c r="DQ33" s="139">
        <f t="shared" si="75"/>
        <v>0</v>
      </c>
      <c r="DR33" s="139" cm="1">
        <f t="array" ref="DR33">INDEX(Tiere!$AA$30:$AA$112,'Nährstoffe und Lagerraum'!BH33)</f>
        <v>0</v>
      </c>
      <c r="DS33" s="139">
        <f t="shared" si="76"/>
        <v>0</v>
      </c>
    </row>
    <row r="34" spans="1:123" ht="15.75" customHeight="1" x14ac:dyDescent="0.2">
      <c r="A34" s="1248"/>
      <c r="B34" s="1249"/>
      <c r="C34" s="1249"/>
      <c r="D34" s="1028"/>
      <c r="E34" s="1029"/>
      <c r="F34" s="465"/>
      <c r="G34" s="1034"/>
      <c r="H34" s="1035"/>
      <c r="I34" s="466" t="str">
        <f t="shared" si="22"/>
        <v xml:space="preserve"> </v>
      </c>
      <c r="J34" s="466" t="str">
        <f t="shared" si="79"/>
        <v xml:space="preserve"> </v>
      </c>
      <c r="K34" s="18"/>
      <c r="L34" s="1078">
        <f t="shared" si="23"/>
        <v>0</v>
      </c>
      <c r="M34" s="239"/>
      <c r="N34" s="267" t="str">
        <f t="shared" si="24"/>
        <v xml:space="preserve"> </v>
      </c>
      <c r="O34" s="267"/>
      <c r="P34" s="267">
        <f t="shared" si="25"/>
        <v>0</v>
      </c>
      <c r="Q34" s="267">
        <f t="shared" si="26"/>
        <v>0</v>
      </c>
      <c r="R34" s="267">
        <f t="shared" si="27"/>
        <v>0</v>
      </c>
      <c r="S34" s="267">
        <f t="shared" si="28"/>
        <v>0</v>
      </c>
      <c r="T34" s="267" t="str">
        <f t="shared" si="2"/>
        <v xml:space="preserve"> </v>
      </c>
      <c r="U34" s="268">
        <f t="shared" si="29"/>
        <v>0</v>
      </c>
      <c r="V34" s="269">
        <f t="shared" si="30"/>
        <v>0</v>
      </c>
      <c r="W34" s="657">
        <f t="shared" si="31"/>
        <v>0</v>
      </c>
      <c r="X34" s="657">
        <f t="shared" si="32"/>
        <v>0</v>
      </c>
      <c r="Y34" s="657">
        <f t="shared" si="33"/>
        <v>0</v>
      </c>
      <c r="Z34" s="657">
        <f t="shared" si="34"/>
        <v>0</v>
      </c>
      <c r="AA34" s="270">
        <f t="shared" si="35"/>
        <v>0</v>
      </c>
      <c r="AB34" s="267">
        <f t="shared" si="36"/>
        <v>0</v>
      </c>
      <c r="AC34" s="267">
        <f t="shared" si="37"/>
        <v>0</v>
      </c>
      <c r="AD34" s="271">
        <f t="shared" si="38"/>
        <v>0</v>
      </c>
      <c r="AE34" s="272">
        <f>INDEX(Tiere!I$30:I$112,'Nährstoffe und Lagerraum'!$BH34)</f>
        <v>0</v>
      </c>
      <c r="AF34" s="272">
        <f>INDEX(Tiere!W$30:W$112,'Nährstoffe und Lagerraum'!BH34)</f>
        <v>0</v>
      </c>
      <c r="AG34" s="267">
        <f t="shared" si="39"/>
        <v>0</v>
      </c>
      <c r="AH34" s="267">
        <f t="shared" si="40"/>
        <v>0</v>
      </c>
      <c r="AI34" s="267">
        <f t="shared" si="41"/>
        <v>0</v>
      </c>
      <c r="AJ34" s="270">
        <f t="shared" si="42"/>
        <v>0</v>
      </c>
      <c r="AK34" s="267">
        <f t="shared" si="43"/>
        <v>0</v>
      </c>
      <c r="AL34" s="271">
        <f t="shared" si="44"/>
        <v>0</v>
      </c>
      <c r="AM34" s="272" cm="1">
        <f t="array" ref="AM34">IF(BI34=1,INDEX(Tiere!S$30:S$112,'Nährstoffe und Lagerraum'!$BH34),IF(BI34=2,INDEX(Tiere!$T$30:$T$112,'Nährstoffe und Lagerraum'!BH34),INDEX(Tiere!$U$30:$U$112,'Nährstoffe und Lagerraum'!BH34)))</f>
        <v>0</v>
      </c>
      <c r="AN34" s="426">
        <f t="shared" si="77"/>
        <v>0</v>
      </c>
      <c r="AO34" s="426">
        <f t="shared" si="45"/>
        <v>0</v>
      </c>
      <c r="AP34" s="426">
        <f t="shared" si="46"/>
        <v>0</v>
      </c>
      <c r="AQ34" s="427">
        <f t="shared" si="47"/>
        <v>0</v>
      </c>
      <c r="AR34" s="428">
        <f t="shared" si="48"/>
        <v>0</v>
      </c>
      <c r="AS34" s="429">
        <f t="shared" si="49"/>
        <v>0</v>
      </c>
      <c r="AT34" s="267"/>
      <c r="AU34" s="370">
        <f t="shared" si="50"/>
        <v>0</v>
      </c>
      <c r="AV34" s="371">
        <f t="shared" si="51"/>
        <v>0</v>
      </c>
      <c r="AW34" s="371">
        <f t="shared" si="52"/>
        <v>0</v>
      </c>
      <c r="AX34" s="270">
        <f t="shared" si="53"/>
        <v>0</v>
      </c>
      <c r="AY34" s="267">
        <f t="shared" si="54"/>
        <v>0</v>
      </c>
      <c r="AZ34" s="271">
        <f t="shared" si="55"/>
        <v>0</v>
      </c>
      <c r="BA34" s="275">
        <f t="shared" si="56"/>
        <v>0</v>
      </c>
      <c r="BB34" s="276">
        <f t="shared" si="57"/>
        <v>0</v>
      </c>
      <c r="BC34" s="273">
        <f>INDEX(Tiere!AI$30:AI$112,'Nährstoffe und Lagerraum'!$BH34)</f>
        <v>0</v>
      </c>
      <c r="BD34" s="273">
        <f>INDEX(Tiere!AJ$30:AJ$112,'Nährstoffe und Lagerraum'!$BH34)</f>
        <v>0</v>
      </c>
      <c r="BE34" s="273">
        <f>INDEX(Tiere!AK$30:AK$112,'Nährstoffe und Lagerraum'!$BH34)</f>
        <v>0</v>
      </c>
      <c r="BF34" s="278">
        <f t="shared" si="58"/>
        <v>1</v>
      </c>
      <c r="BG34" s="278" cm="1">
        <f t="array" ref="BG34">INDEX(Tiere!$C$30:$C$112,BH34)</f>
        <v>0</v>
      </c>
      <c r="BH34" s="279">
        <v>1</v>
      </c>
      <c r="BI34" s="279">
        <v>1</v>
      </c>
      <c r="BJ34" s="278">
        <f>INDEX(Tiere!D$30:D$112,'Nährstoffe und Lagerraum'!$BH34)</f>
        <v>0</v>
      </c>
      <c r="BK34" s="278" t="str">
        <f t="shared" si="59"/>
        <v>1</v>
      </c>
      <c r="BL34" s="278">
        <f t="shared" si="60"/>
        <v>0</v>
      </c>
      <c r="BM34" s="277">
        <f>INDEX(Tiere!E$30:E$112,'Nährstoffe und Lagerraum'!$BH34)</f>
        <v>0</v>
      </c>
      <c r="BN34" s="273">
        <f>INDEX(Tiere!F$30:F$112,'Nährstoffe und Lagerraum'!$BH34)</f>
        <v>0</v>
      </c>
      <c r="BO34" s="274">
        <f>INDEX(Tiere!G$30:G$112,'Nährstoffe und Lagerraum'!$BH34)</f>
        <v>0</v>
      </c>
      <c r="BP34" s="273">
        <f>INDEX(Tiere!H$30:H$112,'Nährstoffe und Lagerraum'!$BH34)</f>
        <v>0</v>
      </c>
      <c r="BQ34" s="273">
        <f>INDEX(Tiere!V$30:V$112,'Nährstoffe und Lagerraum'!$BH34)</f>
        <v>0</v>
      </c>
      <c r="BR34" s="277">
        <f>INDEX(Tiere!P$30:P$112,'Nährstoffe und Lagerraum'!$BH34)</f>
        <v>0</v>
      </c>
      <c r="BS34" s="273">
        <f>INDEX(Tiere!Q$30:Q$112,'Nährstoffe und Lagerraum'!$BH34)</f>
        <v>0</v>
      </c>
      <c r="BT34" s="274">
        <f>INDEX(Tiere!R$30:R$112,'Nährstoffe und Lagerraum'!$BH34)</f>
        <v>0</v>
      </c>
      <c r="BU34" s="277">
        <f>INDEX(Tiere!X$30:X$112,'Nährstoffe und Lagerraum'!$BH34)</f>
        <v>0</v>
      </c>
      <c r="BV34" s="274">
        <f>INDEX(Tiere!Y$30:Y$112,'Nährstoffe und Lagerraum'!$BH34)</f>
        <v>0</v>
      </c>
      <c r="BW34" s="280">
        <f>INDEX(Tiere!Z$30:Z$112,'Nährstoffe und Lagerraum'!$BH34)</f>
        <v>0</v>
      </c>
      <c r="BX34" s="274">
        <f>INDEX(Tiere!J$30:J$112,'Nährstoffe und Lagerraum'!$BH34)</f>
        <v>0</v>
      </c>
      <c r="BY34" s="274">
        <f>INDEX(Tiere!K$30:K$112,'Nährstoffe und Lagerraum'!$BH34)</f>
        <v>0</v>
      </c>
      <c r="BZ34" s="274">
        <f>INDEX(Tiere!L$30:L$112,'Nährstoffe und Lagerraum'!$BH34)</f>
        <v>0</v>
      </c>
      <c r="CA34" s="273">
        <f>BX34*'Abweichende Werte'!$Y$64</f>
        <v>0</v>
      </c>
      <c r="CB34" s="273">
        <f>BY34*'Abweichende Werte'!$Y$64</f>
        <v>0</v>
      </c>
      <c r="CC34" s="273">
        <f>BZ34*'Abweichende Werte'!$Y$64</f>
        <v>0</v>
      </c>
      <c r="CD34" s="267">
        <v>5</v>
      </c>
      <c r="CE34" s="267">
        <v>3</v>
      </c>
      <c r="CF34" s="271">
        <v>17</v>
      </c>
      <c r="CG34" s="271">
        <f>'Abweichende Werte'!U$64</f>
        <v>5</v>
      </c>
      <c r="CH34" s="271">
        <f>'Abweichende Werte'!V$64</f>
        <v>3</v>
      </c>
      <c r="CI34" s="271">
        <f>'Abweichende Werte'!W$64</f>
        <v>17</v>
      </c>
      <c r="CJ34" s="271">
        <f>INDEX(Tiere!AD$30:AD$112,'Nährstoffe und Lagerraum'!$BH34)</f>
        <v>0</v>
      </c>
      <c r="CK34" s="271">
        <f>INDEX(Tiere!AE$30:AE$112,'Nährstoffe und Lagerraum'!$BH34)</f>
        <v>0</v>
      </c>
      <c r="CL34" s="281">
        <f t="shared" si="61"/>
        <v>0</v>
      </c>
      <c r="CM34" s="282">
        <f t="shared" si="78"/>
        <v>0</v>
      </c>
      <c r="CN34" s="267">
        <f t="shared" si="62"/>
        <v>0</v>
      </c>
      <c r="CO34" s="271">
        <f t="shared" si="63"/>
        <v>0</v>
      </c>
      <c r="CP34" s="267"/>
      <c r="CQ34" s="267" t="b">
        <f t="shared" si="64"/>
        <v>0</v>
      </c>
      <c r="CR34" s="267"/>
      <c r="CS34" s="277">
        <f>INDEX(Tiere!AF$30:AF$112,'Nährstoffe und Lagerraum'!$BH34)</f>
        <v>0</v>
      </c>
      <c r="CT34" s="277">
        <f>INDEX(Tiere!AG$30:AG$112,'Nährstoffe und Lagerraum'!$BH34)</f>
        <v>0</v>
      </c>
      <c r="CU34" s="277">
        <f>INDEX(Tiere!AH$30:AH$112,'Nährstoffe und Lagerraum'!$BH34)</f>
        <v>0</v>
      </c>
      <c r="CV34" s="139">
        <f t="shared" si="65"/>
        <v>0</v>
      </c>
      <c r="CW34" s="144">
        <f t="shared" si="66"/>
        <v>0</v>
      </c>
      <c r="CX34" s="17"/>
      <c r="CY34" s="17">
        <f t="shared" si="67"/>
        <v>0</v>
      </c>
      <c r="CZ34" s="17">
        <f t="shared" si="68"/>
        <v>0</v>
      </c>
      <c r="DA34" s="17">
        <f t="shared" si="69"/>
        <v>0</v>
      </c>
      <c r="DD34" s="139">
        <f t="shared" si="70"/>
        <v>0</v>
      </c>
      <c r="DE34" s="139">
        <f t="shared" si="71"/>
        <v>0</v>
      </c>
      <c r="DF34" s="139">
        <f t="shared" si="72"/>
        <v>0</v>
      </c>
      <c r="DG34" s="139">
        <f t="shared" si="73"/>
        <v>0</v>
      </c>
      <c r="DL34" s="139">
        <f t="shared" si="18"/>
        <v>0</v>
      </c>
      <c r="DM34" s="139">
        <f t="shared" si="19"/>
        <v>0</v>
      </c>
      <c r="DN34" s="139">
        <f t="shared" si="20"/>
        <v>0</v>
      </c>
      <c r="DO34" s="139">
        <f t="shared" si="21"/>
        <v>0</v>
      </c>
      <c r="DP34" s="139">
        <f t="shared" si="74"/>
        <v>0</v>
      </c>
      <c r="DQ34" s="139">
        <f t="shared" si="75"/>
        <v>0</v>
      </c>
      <c r="DR34" s="139" cm="1">
        <f t="array" ref="DR34">INDEX(Tiere!$AA$30:$AA$112,'Nährstoffe und Lagerraum'!BH34)</f>
        <v>0</v>
      </c>
      <c r="DS34" s="139">
        <f t="shared" si="76"/>
        <v>0</v>
      </c>
    </row>
    <row r="35" spans="1:123" ht="15.75" customHeight="1" x14ac:dyDescent="0.2">
      <c r="A35" s="1248"/>
      <c r="B35" s="1249"/>
      <c r="C35" s="1249"/>
      <c r="D35" s="1028"/>
      <c r="E35" s="1029"/>
      <c r="F35" s="465"/>
      <c r="G35" s="1034"/>
      <c r="H35" s="1035"/>
      <c r="I35" s="466" t="str">
        <f t="shared" si="22"/>
        <v xml:space="preserve"> </v>
      </c>
      <c r="J35" s="466" t="str">
        <f t="shared" si="79"/>
        <v xml:space="preserve"> </v>
      </c>
      <c r="K35" s="18"/>
      <c r="L35" s="1078">
        <f t="shared" si="23"/>
        <v>0</v>
      </c>
      <c r="M35" s="239"/>
      <c r="N35" s="267" t="str">
        <f>IF(J35=" "," ",(J35*(1/BW35)))</f>
        <v xml:space="preserve"> </v>
      </c>
      <c r="O35" s="267"/>
      <c r="P35" s="267">
        <f t="shared" si="25"/>
        <v>0</v>
      </c>
      <c r="Q35" s="267">
        <f t="shared" si="26"/>
        <v>0</v>
      </c>
      <c r="R35" s="267">
        <f t="shared" si="27"/>
        <v>0</v>
      </c>
      <c r="S35" s="267">
        <f t="shared" si="28"/>
        <v>0</v>
      </c>
      <c r="T35" s="267" t="str">
        <f t="shared" si="2"/>
        <v xml:space="preserve"> </v>
      </c>
      <c r="U35" s="268">
        <f t="shared" si="29"/>
        <v>0</v>
      </c>
      <c r="V35" s="269">
        <f t="shared" si="30"/>
        <v>0</v>
      </c>
      <c r="W35" s="657">
        <f t="shared" si="31"/>
        <v>0</v>
      </c>
      <c r="X35" s="657">
        <f t="shared" si="32"/>
        <v>0</v>
      </c>
      <c r="Y35" s="657">
        <f t="shared" si="33"/>
        <v>0</v>
      </c>
      <c r="Z35" s="657">
        <f t="shared" si="34"/>
        <v>0</v>
      </c>
      <c r="AA35" s="270">
        <f t="shared" si="35"/>
        <v>0</v>
      </c>
      <c r="AB35" s="267">
        <f t="shared" si="36"/>
        <v>0</v>
      </c>
      <c r="AC35" s="267">
        <f t="shared" si="37"/>
        <v>0</v>
      </c>
      <c r="AD35" s="271">
        <f t="shared" si="38"/>
        <v>0</v>
      </c>
      <c r="AE35" s="272">
        <f>INDEX(Tiere!I$30:I$112,'Nährstoffe und Lagerraum'!$BH35)</f>
        <v>0</v>
      </c>
      <c r="AF35" s="272">
        <f>INDEX(Tiere!W$30:W$112,'Nährstoffe und Lagerraum'!BH35)</f>
        <v>0</v>
      </c>
      <c r="AG35" s="267">
        <f t="shared" si="39"/>
        <v>0</v>
      </c>
      <c r="AH35" s="267">
        <f t="shared" si="40"/>
        <v>0</v>
      </c>
      <c r="AI35" s="267">
        <f t="shared" si="41"/>
        <v>0</v>
      </c>
      <c r="AJ35" s="270">
        <f t="shared" si="42"/>
        <v>0</v>
      </c>
      <c r="AK35" s="267">
        <f t="shared" si="43"/>
        <v>0</v>
      </c>
      <c r="AL35" s="271">
        <f t="shared" si="44"/>
        <v>0</v>
      </c>
      <c r="AM35" s="272" cm="1">
        <f t="array" ref="AM35">IF(BI35=1,INDEX(Tiere!S$30:S$112,'Nährstoffe und Lagerraum'!$BH35),IF(BI35=2,INDEX(Tiere!$T$30:$T$112,'Nährstoffe und Lagerraum'!BH35),INDEX(Tiere!$U$30:$U$112,'Nährstoffe und Lagerraum'!BH35)))</f>
        <v>0</v>
      </c>
      <c r="AN35" s="426">
        <f t="shared" si="77"/>
        <v>0</v>
      </c>
      <c r="AO35" s="426">
        <f t="shared" si="45"/>
        <v>0</v>
      </c>
      <c r="AP35" s="426">
        <f t="shared" si="46"/>
        <v>0</v>
      </c>
      <c r="AQ35" s="427">
        <f t="shared" si="47"/>
        <v>0</v>
      </c>
      <c r="AR35" s="428">
        <f t="shared" si="48"/>
        <v>0</v>
      </c>
      <c r="AS35" s="429">
        <f t="shared" si="49"/>
        <v>0</v>
      </c>
      <c r="AT35" s="267"/>
      <c r="AU35" s="370">
        <f t="shared" si="50"/>
        <v>0</v>
      </c>
      <c r="AV35" s="371">
        <f t="shared" si="51"/>
        <v>0</v>
      </c>
      <c r="AW35" s="371">
        <f t="shared" si="52"/>
        <v>0</v>
      </c>
      <c r="AX35" s="270">
        <f t="shared" si="53"/>
        <v>0</v>
      </c>
      <c r="AY35" s="267">
        <f t="shared" si="54"/>
        <v>0</v>
      </c>
      <c r="AZ35" s="271">
        <f t="shared" si="55"/>
        <v>0</v>
      </c>
      <c r="BA35" s="275">
        <f t="shared" si="56"/>
        <v>0</v>
      </c>
      <c r="BB35" s="276">
        <f t="shared" si="57"/>
        <v>0</v>
      </c>
      <c r="BC35" s="273">
        <f>INDEX(Tiere!AI$30:AI$112,'Nährstoffe und Lagerraum'!$BH35)</f>
        <v>0</v>
      </c>
      <c r="BD35" s="273">
        <f>INDEX(Tiere!AJ$30:AJ$112,'Nährstoffe und Lagerraum'!$BH35)</f>
        <v>0</v>
      </c>
      <c r="BE35" s="273">
        <f>INDEX(Tiere!AK$30:AK$112,'Nährstoffe und Lagerraum'!$BH35)</f>
        <v>0</v>
      </c>
      <c r="BF35" s="278">
        <f t="shared" si="58"/>
        <v>1</v>
      </c>
      <c r="BG35" s="278" cm="1">
        <f t="array" ref="BG35">INDEX(Tiere!$C$30:$C$112,BH35)</f>
        <v>0</v>
      </c>
      <c r="BH35" s="279">
        <v>1</v>
      </c>
      <c r="BI35" s="279">
        <v>1</v>
      </c>
      <c r="BJ35" s="278">
        <f>INDEX(Tiere!D$30:D$112,'Nährstoffe und Lagerraum'!$BH35)</f>
        <v>0</v>
      </c>
      <c r="BK35" s="278" t="str">
        <f t="shared" si="59"/>
        <v>1</v>
      </c>
      <c r="BL35" s="278">
        <f t="shared" si="60"/>
        <v>0</v>
      </c>
      <c r="BM35" s="277">
        <f>INDEX(Tiere!E$30:E$112,'Nährstoffe und Lagerraum'!$BH35)</f>
        <v>0</v>
      </c>
      <c r="BN35" s="273">
        <f>INDEX(Tiere!F$30:F$112,'Nährstoffe und Lagerraum'!$BH35)</f>
        <v>0</v>
      </c>
      <c r="BO35" s="274">
        <f>INDEX(Tiere!G$30:G$112,'Nährstoffe und Lagerraum'!$BH35)</f>
        <v>0</v>
      </c>
      <c r="BP35" s="273">
        <f>INDEX(Tiere!H$30:H$112,'Nährstoffe und Lagerraum'!$BH35)</f>
        <v>0</v>
      </c>
      <c r="BQ35" s="273">
        <f>INDEX(Tiere!V$30:V$112,'Nährstoffe und Lagerraum'!$BH35)</f>
        <v>0</v>
      </c>
      <c r="BR35" s="277">
        <f>INDEX(Tiere!P$30:P$112,'Nährstoffe und Lagerraum'!$BH35)</f>
        <v>0</v>
      </c>
      <c r="BS35" s="273">
        <f>INDEX(Tiere!Q$30:Q$112,'Nährstoffe und Lagerraum'!$BH35)</f>
        <v>0</v>
      </c>
      <c r="BT35" s="274">
        <f>INDEX(Tiere!R$30:R$112,'Nährstoffe und Lagerraum'!$BH35)</f>
        <v>0</v>
      </c>
      <c r="BU35" s="277">
        <f>INDEX(Tiere!X$30:X$112,'Nährstoffe und Lagerraum'!$BH35)</f>
        <v>0</v>
      </c>
      <c r="BV35" s="274">
        <f>INDEX(Tiere!Y$30:Y$112,'Nährstoffe und Lagerraum'!$BH35)</f>
        <v>0</v>
      </c>
      <c r="BW35" s="280">
        <f>INDEX(Tiere!Z$30:Z$112,'Nährstoffe und Lagerraum'!$BH35)</f>
        <v>0</v>
      </c>
      <c r="BX35" s="274">
        <f>INDEX(Tiere!J$30:J$112,'Nährstoffe und Lagerraum'!$BH35)</f>
        <v>0</v>
      </c>
      <c r="BY35" s="274">
        <f>INDEX(Tiere!K$30:K$112,'Nährstoffe und Lagerraum'!$BH35)</f>
        <v>0</v>
      </c>
      <c r="BZ35" s="274">
        <f>INDEX(Tiere!L$30:L$112,'Nährstoffe und Lagerraum'!$BH35)</f>
        <v>0</v>
      </c>
      <c r="CA35" s="273">
        <f>BX35*'Abweichende Werte'!$Y$64</f>
        <v>0</v>
      </c>
      <c r="CB35" s="273">
        <f>BY35*'Abweichende Werte'!$Y$64</f>
        <v>0</v>
      </c>
      <c r="CC35" s="273">
        <f>BZ35*'Abweichende Werte'!$Y$64</f>
        <v>0</v>
      </c>
      <c r="CD35" s="267">
        <v>5</v>
      </c>
      <c r="CE35" s="267">
        <v>3</v>
      </c>
      <c r="CF35" s="271">
        <v>17</v>
      </c>
      <c r="CG35" s="271">
        <f>'Abweichende Werte'!U$64</f>
        <v>5</v>
      </c>
      <c r="CH35" s="271">
        <f>'Abweichende Werte'!V$64</f>
        <v>3</v>
      </c>
      <c r="CI35" s="271">
        <f>'Abweichende Werte'!W$64</f>
        <v>17</v>
      </c>
      <c r="CJ35" s="271">
        <f>INDEX(Tiere!AD$30:AD$112,'Nährstoffe und Lagerraum'!$BH35)</f>
        <v>0</v>
      </c>
      <c r="CK35" s="271">
        <f>INDEX(Tiere!AE$30:AE$112,'Nährstoffe und Lagerraum'!$BH35)</f>
        <v>0</v>
      </c>
      <c r="CL35" s="281">
        <f t="shared" si="61"/>
        <v>0</v>
      </c>
      <c r="CM35" s="282">
        <f t="shared" si="78"/>
        <v>0</v>
      </c>
      <c r="CN35" s="267">
        <f t="shared" si="62"/>
        <v>0</v>
      </c>
      <c r="CO35" s="271">
        <f t="shared" si="63"/>
        <v>0</v>
      </c>
      <c r="CP35" s="267"/>
      <c r="CQ35" s="267" t="b">
        <f t="shared" si="64"/>
        <v>0</v>
      </c>
      <c r="CR35" s="267"/>
      <c r="CS35" s="277">
        <f>INDEX(Tiere!AF$30:AF$112,'Nährstoffe und Lagerraum'!$BH35)</f>
        <v>0</v>
      </c>
      <c r="CT35" s="277">
        <f>INDEX(Tiere!AG$30:AG$112,'Nährstoffe und Lagerraum'!$BH35)</f>
        <v>0</v>
      </c>
      <c r="CU35" s="277">
        <f>INDEX(Tiere!AH$30:AH$112,'Nährstoffe und Lagerraum'!$BH35)</f>
        <v>0</v>
      </c>
      <c r="CV35" s="139">
        <f t="shared" si="65"/>
        <v>0</v>
      </c>
      <c r="CW35" s="144">
        <f t="shared" si="66"/>
        <v>0</v>
      </c>
      <c r="CX35" s="17"/>
      <c r="CY35" s="17">
        <f t="shared" si="67"/>
        <v>0</v>
      </c>
      <c r="CZ35" s="17">
        <f t="shared" si="68"/>
        <v>0</v>
      </c>
      <c r="DA35" s="17">
        <f t="shared" si="69"/>
        <v>0</v>
      </c>
      <c r="DD35" s="139">
        <f t="shared" si="70"/>
        <v>0</v>
      </c>
      <c r="DE35" s="139">
        <f t="shared" si="71"/>
        <v>0</v>
      </c>
      <c r="DF35" s="139">
        <f t="shared" si="72"/>
        <v>0</v>
      </c>
      <c r="DG35" s="139">
        <f t="shared" si="73"/>
        <v>0</v>
      </c>
      <c r="DL35" s="139">
        <f t="shared" si="18"/>
        <v>0</v>
      </c>
      <c r="DM35" s="139">
        <f t="shared" si="19"/>
        <v>0</v>
      </c>
      <c r="DN35" s="139">
        <f t="shared" si="20"/>
        <v>0</v>
      </c>
      <c r="DO35" s="139">
        <f t="shared" si="21"/>
        <v>0</v>
      </c>
      <c r="DP35" s="139">
        <f t="shared" si="74"/>
        <v>0</v>
      </c>
      <c r="DQ35" s="139">
        <f t="shared" si="75"/>
        <v>0</v>
      </c>
      <c r="DR35" s="139" cm="1">
        <f t="array" ref="DR35">INDEX(Tiere!$AA$30:$AA$112,'Nährstoffe und Lagerraum'!BH35)</f>
        <v>0</v>
      </c>
      <c r="DS35" s="139">
        <f t="shared" si="76"/>
        <v>0</v>
      </c>
    </row>
    <row r="36" spans="1:123" ht="15.75" customHeight="1" x14ac:dyDescent="0.2">
      <c r="A36" s="1248"/>
      <c r="B36" s="1249"/>
      <c r="C36" s="1249"/>
      <c r="D36" s="1028"/>
      <c r="E36" s="1029"/>
      <c r="F36" s="465"/>
      <c r="G36" s="1034"/>
      <c r="H36" s="1035"/>
      <c r="I36" s="466" t="str">
        <f t="shared" si="22"/>
        <v xml:space="preserve"> </v>
      </c>
      <c r="J36" s="466" t="str">
        <f t="shared" si="79"/>
        <v xml:space="preserve"> </v>
      </c>
      <c r="K36" s="18"/>
      <c r="L36" s="1078">
        <f t="shared" si="23"/>
        <v>0</v>
      </c>
      <c r="M36" s="239"/>
      <c r="N36" s="267" t="str">
        <f t="shared" si="24"/>
        <v xml:space="preserve"> </v>
      </c>
      <c r="O36" s="267"/>
      <c r="P36" s="267">
        <f t="shared" si="25"/>
        <v>0</v>
      </c>
      <c r="Q36" s="267">
        <f t="shared" si="26"/>
        <v>0</v>
      </c>
      <c r="R36" s="267">
        <f t="shared" si="27"/>
        <v>0</v>
      </c>
      <c r="S36" s="267">
        <f t="shared" si="28"/>
        <v>0</v>
      </c>
      <c r="T36" s="267" t="str">
        <f t="shared" si="2"/>
        <v xml:space="preserve"> </v>
      </c>
      <c r="U36" s="268">
        <f t="shared" si="29"/>
        <v>0</v>
      </c>
      <c r="V36" s="269">
        <f t="shared" si="30"/>
        <v>0</v>
      </c>
      <c r="W36" s="657">
        <f t="shared" si="31"/>
        <v>0</v>
      </c>
      <c r="X36" s="657">
        <f t="shared" si="32"/>
        <v>0</v>
      </c>
      <c r="Y36" s="657">
        <f t="shared" si="33"/>
        <v>0</v>
      </c>
      <c r="Z36" s="657">
        <f t="shared" si="34"/>
        <v>0</v>
      </c>
      <c r="AA36" s="270">
        <f t="shared" si="35"/>
        <v>0</v>
      </c>
      <c r="AB36" s="267">
        <f t="shared" si="36"/>
        <v>0</v>
      </c>
      <c r="AC36" s="267">
        <f t="shared" si="37"/>
        <v>0</v>
      </c>
      <c r="AD36" s="271">
        <f t="shared" si="38"/>
        <v>0</v>
      </c>
      <c r="AE36" s="272">
        <f>INDEX(Tiere!I$30:I$112,'Nährstoffe und Lagerraum'!$BH36)</f>
        <v>0</v>
      </c>
      <c r="AF36" s="272">
        <f>INDEX(Tiere!W$30:W$112,'Nährstoffe und Lagerraum'!BH36)</f>
        <v>0</v>
      </c>
      <c r="AG36" s="267">
        <f t="shared" si="39"/>
        <v>0</v>
      </c>
      <c r="AH36" s="267">
        <f t="shared" si="40"/>
        <v>0</v>
      </c>
      <c r="AI36" s="267">
        <f t="shared" si="41"/>
        <v>0</v>
      </c>
      <c r="AJ36" s="270">
        <f t="shared" si="42"/>
        <v>0</v>
      </c>
      <c r="AK36" s="267">
        <f t="shared" si="43"/>
        <v>0</v>
      </c>
      <c r="AL36" s="271">
        <f t="shared" si="44"/>
        <v>0</v>
      </c>
      <c r="AM36" s="272" cm="1">
        <f t="array" ref="AM36">IF(BI36=1,INDEX(Tiere!S$30:S$112,'Nährstoffe und Lagerraum'!$BH36),IF(BI36=2,INDEX(Tiere!$T$30:$T$112,'Nährstoffe und Lagerraum'!BH36),INDEX(Tiere!$U$30:$U$112,'Nährstoffe und Lagerraum'!BH36)))</f>
        <v>0</v>
      </c>
      <c r="AN36" s="426">
        <f t="shared" si="77"/>
        <v>0</v>
      </c>
      <c r="AO36" s="426">
        <f t="shared" si="45"/>
        <v>0</v>
      </c>
      <c r="AP36" s="426">
        <f t="shared" si="46"/>
        <v>0</v>
      </c>
      <c r="AQ36" s="427">
        <f t="shared" si="47"/>
        <v>0</v>
      </c>
      <c r="AR36" s="428">
        <f t="shared" si="48"/>
        <v>0</v>
      </c>
      <c r="AS36" s="429">
        <f t="shared" si="49"/>
        <v>0</v>
      </c>
      <c r="AT36" s="267"/>
      <c r="AU36" s="370">
        <f t="shared" si="50"/>
        <v>0</v>
      </c>
      <c r="AV36" s="371">
        <f t="shared" si="51"/>
        <v>0</v>
      </c>
      <c r="AW36" s="371">
        <f t="shared" si="52"/>
        <v>0</v>
      </c>
      <c r="AX36" s="270">
        <f t="shared" si="53"/>
        <v>0</v>
      </c>
      <c r="AY36" s="267">
        <f t="shared" si="54"/>
        <v>0</v>
      </c>
      <c r="AZ36" s="271">
        <f t="shared" si="55"/>
        <v>0</v>
      </c>
      <c r="BA36" s="275">
        <f t="shared" si="56"/>
        <v>0</v>
      </c>
      <c r="BB36" s="276">
        <f t="shared" si="57"/>
        <v>0</v>
      </c>
      <c r="BC36" s="273">
        <f>INDEX(Tiere!AI$30:AI$112,'Nährstoffe und Lagerraum'!$BH36)</f>
        <v>0</v>
      </c>
      <c r="BD36" s="273">
        <f>INDEX(Tiere!AJ$30:AJ$112,'Nährstoffe und Lagerraum'!$BH36)</f>
        <v>0</v>
      </c>
      <c r="BE36" s="273">
        <f>INDEX(Tiere!AK$30:AK$112,'Nährstoffe und Lagerraum'!$BH36)</f>
        <v>0</v>
      </c>
      <c r="BF36" s="278">
        <f t="shared" si="58"/>
        <v>1</v>
      </c>
      <c r="BG36" s="278" cm="1">
        <f t="array" ref="BG36">INDEX(Tiere!$C$30:$C$112,BH36)</f>
        <v>0</v>
      </c>
      <c r="BH36" s="279">
        <v>1</v>
      </c>
      <c r="BI36" s="279">
        <v>1</v>
      </c>
      <c r="BJ36" s="278">
        <f>INDEX(Tiere!D$30:D$112,'Nährstoffe und Lagerraum'!$BH36)</f>
        <v>0</v>
      </c>
      <c r="BK36" s="278" t="str">
        <f t="shared" si="59"/>
        <v>1</v>
      </c>
      <c r="BL36" s="278">
        <f t="shared" si="60"/>
        <v>0</v>
      </c>
      <c r="BM36" s="277">
        <f>INDEX(Tiere!E$30:E$112,'Nährstoffe und Lagerraum'!$BH36)</f>
        <v>0</v>
      </c>
      <c r="BN36" s="273">
        <f>INDEX(Tiere!F$30:F$112,'Nährstoffe und Lagerraum'!$BH36)</f>
        <v>0</v>
      </c>
      <c r="BO36" s="274">
        <f>INDEX(Tiere!G$30:G$112,'Nährstoffe und Lagerraum'!$BH36)</f>
        <v>0</v>
      </c>
      <c r="BP36" s="273">
        <f>INDEX(Tiere!H$30:H$112,'Nährstoffe und Lagerraum'!$BH36)</f>
        <v>0</v>
      </c>
      <c r="BQ36" s="273">
        <f>INDEX(Tiere!V$30:V$112,'Nährstoffe und Lagerraum'!$BH36)</f>
        <v>0</v>
      </c>
      <c r="BR36" s="277">
        <f>INDEX(Tiere!P$30:P$112,'Nährstoffe und Lagerraum'!$BH36)</f>
        <v>0</v>
      </c>
      <c r="BS36" s="273">
        <f>INDEX(Tiere!Q$30:Q$112,'Nährstoffe und Lagerraum'!$BH36)</f>
        <v>0</v>
      </c>
      <c r="BT36" s="274">
        <f>INDEX(Tiere!R$30:R$112,'Nährstoffe und Lagerraum'!$BH36)</f>
        <v>0</v>
      </c>
      <c r="BU36" s="277">
        <f>INDEX(Tiere!X$30:X$112,'Nährstoffe und Lagerraum'!$BH36)</f>
        <v>0</v>
      </c>
      <c r="BV36" s="274">
        <f>INDEX(Tiere!Y$30:Y$112,'Nährstoffe und Lagerraum'!$BH36)</f>
        <v>0</v>
      </c>
      <c r="BW36" s="280">
        <f>INDEX(Tiere!Z$30:Z$112,'Nährstoffe und Lagerraum'!$BH36)</f>
        <v>0</v>
      </c>
      <c r="BX36" s="274">
        <f>INDEX(Tiere!J$30:J$112,'Nährstoffe und Lagerraum'!$BH36)</f>
        <v>0</v>
      </c>
      <c r="BY36" s="274">
        <f>INDEX(Tiere!K$30:K$112,'Nährstoffe und Lagerraum'!$BH36)</f>
        <v>0</v>
      </c>
      <c r="BZ36" s="274">
        <f>INDEX(Tiere!L$30:L$112,'Nährstoffe und Lagerraum'!$BH36)</f>
        <v>0</v>
      </c>
      <c r="CA36" s="273">
        <f>BX36*'Abweichende Werte'!$Y$64</f>
        <v>0</v>
      </c>
      <c r="CB36" s="273">
        <f>BY36*'Abweichende Werte'!$Y$64</f>
        <v>0</v>
      </c>
      <c r="CC36" s="273">
        <f>BZ36*'Abweichende Werte'!$Y$64</f>
        <v>0</v>
      </c>
      <c r="CD36" s="267">
        <v>5</v>
      </c>
      <c r="CE36" s="267">
        <v>3</v>
      </c>
      <c r="CF36" s="271">
        <v>17</v>
      </c>
      <c r="CG36" s="271">
        <f>'Abweichende Werte'!U$64</f>
        <v>5</v>
      </c>
      <c r="CH36" s="271">
        <f>'Abweichende Werte'!V$64</f>
        <v>3</v>
      </c>
      <c r="CI36" s="271">
        <f>'Abweichende Werte'!W$64</f>
        <v>17</v>
      </c>
      <c r="CJ36" s="271">
        <f>INDEX(Tiere!AD$30:AD$112,'Nährstoffe und Lagerraum'!$BH36)</f>
        <v>0</v>
      </c>
      <c r="CK36" s="271">
        <f>INDEX(Tiere!AE$30:AE$112,'Nährstoffe und Lagerraum'!$BH36)</f>
        <v>0</v>
      </c>
      <c r="CL36" s="281">
        <f t="shared" si="61"/>
        <v>0</v>
      </c>
      <c r="CM36" s="282">
        <f t="shared" si="78"/>
        <v>0</v>
      </c>
      <c r="CN36" s="267">
        <f t="shared" si="62"/>
        <v>0</v>
      </c>
      <c r="CO36" s="271">
        <f t="shared" si="63"/>
        <v>0</v>
      </c>
      <c r="CP36" s="267"/>
      <c r="CQ36" s="267" t="b">
        <f t="shared" si="64"/>
        <v>0</v>
      </c>
      <c r="CR36" s="267"/>
      <c r="CS36" s="277">
        <f>INDEX(Tiere!AF$30:AF$112,'Nährstoffe und Lagerraum'!$BH36)</f>
        <v>0</v>
      </c>
      <c r="CT36" s="277">
        <f>INDEX(Tiere!AG$30:AG$112,'Nährstoffe und Lagerraum'!$BH36)</f>
        <v>0</v>
      </c>
      <c r="CU36" s="277">
        <f>INDEX(Tiere!AH$30:AH$112,'Nährstoffe und Lagerraum'!$BH36)</f>
        <v>0</v>
      </c>
      <c r="CV36" s="139">
        <f t="shared" si="65"/>
        <v>0</v>
      </c>
      <c r="CW36" s="144">
        <f t="shared" si="66"/>
        <v>0</v>
      </c>
      <c r="CX36" s="17"/>
      <c r="CY36" s="17">
        <f t="shared" si="67"/>
        <v>0</v>
      </c>
      <c r="CZ36" s="17">
        <f t="shared" si="68"/>
        <v>0</v>
      </c>
      <c r="DA36" s="17">
        <f t="shared" si="69"/>
        <v>0</v>
      </c>
      <c r="DD36" s="139">
        <f t="shared" si="70"/>
        <v>0</v>
      </c>
      <c r="DE36" s="139">
        <f t="shared" si="71"/>
        <v>0</v>
      </c>
      <c r="DF36" s="139">
        <f t="shared" si="72"/>
        <v>0</v>
      </c>
      <c r="DG36" s="139">
        <f t="shared" si="73"/>
        <v>0</v>
      </c>
      <c r="DL36" s="139">
        <f t="shared" si="18"/>
        <v>0</v>
      </c>
      <c r="DM36" s="139">
        <f t="shared" si="19"/>
        <v>0</v>
      </c>
      <c r="DN36" s="139">
        <f t="shared" si="20"/>
        <v>0</v>
      </c>
      <c r="DO36" s="139">
        <f t="shared" si="21"/>
        <v>0</v>
      </c>
      <c r="DP36" s="139">
        <f t="shared" si="74"/>
        <v>0</v>
      </c>
      <c r="DQ36" s="139">
        <f t="shared" si="75"/>
        <v>0</v>
      </c>
      <c r="DR36" s="139" cm="1">
        <f t="array" ref="DR36">INDEX(Tiere!$AA$30:$AA$112,'Nährstoffe und Lagerraum'!BH36)</f>
        <v>0</v>
      </c>
      <c r="DS36" s="139">
        <f t="shared" si="76"/>
        <v>0</v>
      </c>
    </row>
    <row r="37" spans="1:123" ht="15.75" customHeight="1" x14ac:dyDescent="0.2">
      <c r="A37" s="1248"/>
      <c r="B37" s="1249"/>
      <c r="C37" s="1249"/>
      <c r="D37" s="1028"/>
      <c r="E37" s="1029"/>
      <c r="F37" s="465"/>
      <c r="G37" s="1034"/>
      <c r="H37" s="1035"/>
      <c r="I37" s="466" t="str">
        <f t="shared" si="22"/>
        <v xml:space="preserve"> </v>
      </c>
      <c r="J37" s="466" t="str">
        <f t="shared" si="79"/>
        <v xml:space="preserve"> </v>
      </c>
      <c r="K37" s="18"/>
      <c r="L37" s="1078">
        <f t="shared" si="23"/>
        <v>0</v>
      </c>
      <c r="M37" s="239"/>
      <c r="N37" s="267" t="str">
        <f t="shared" si="24"/>
        <v xml:space="preserve"> </v>
      </c>
      <c r="O37" s="267"/>
      <c r="P37" s="267">
        <f t="shared" si="25"/>
        <v>0</v>
      </c>
      <c r="Q37" s="267">
        <f t="shared" si="26"/>
        <v>0</v>
      </c>
      <c r="R37" s="267">
        <f t="shared" si="27"/>
        <v>0</v>
      </c>
      <c r="S37" s="267">
        <f t="shared" si="28"/>
        <v>0</v>
      </c>
      <c r="T37" s="267" t="str">
        <f t="shared" si="2"/>
        <v xml:space="preserve"> </v>
      </c>
      <c r="U37" s="268">
        <f t="shared" si="29"/>
        <v>0</v>
      </c>
      <c r="V37" s="269">
        <f t="shared" si="30"/>
        <v>0</v>
      </c>
      <c r="W37" s="657">
        <f t="shared" si="31"/>
        <v>0</v>
      </c>
      <c r="X37" s="657">
        <f t="shared" si="32"/>
        <v>0</v>
      </c>
      <c r="Y37" s="657">
        <f t="shared" si="33"/>
        <v>0</v>
      </c>
      <c r="Z37" s="657">
        <f t="shared" si="34"/>
        <v>0</v>
      </c>
      <c r="AA37" s="270">
        <f t="shared" si="35"/>
        <v>0</v>
      </c>
      <c r="AB37" s="267">
        <f t="shared" si="36"/>
        <v>0</v>
      </c>
      <c r="AC37" s="267">
        <f t="shared" si="37"/>
        <v>0</v>
      </c>
      <c r="AD37" s="271">
        <f t="shared" si="38"/>
        <v>0</v>
      </c>
      <c r="AE37" s="272">
        <f>INDEX(Tiere!I$30:I$112,'Nährstoffe und Lagerraum'!$BH37)</f>
        <v>0</v>
      </c>
      <c r="AF37" s="272">
        <f>INDEX(Tiere!W$30:W$112,'Nährstoffe und Lagerraum'!BH37)</f>
        <v>0</v>
      </c>
      <c r="AG37" s="267">
        <f t="shared" si="39"/>
        <v>0</v>
      </c>
      <c r="AH37" s="267">
        <f t="shared" si="40"/>
        <v>0</v>
      </c>
      <c r="AI37" s="267">
        <f t="shared" si="41"/>
        <v>0</v>
      </c>
      <c r="AJ37" s="270">
        <f t="shared" si="42"/>
        <v>0</v>
      </c>
      <c r="AK37" s="267">
        <f t="shared" si="43"/>
        <v>0</v>
      </c>
      <c r="AL37" s="271">
        <f t="shared" si="44"/>
        <v>0</v>
      </c>
      <c r="AM37" s="272" cm="1">
        <f t="array" ref="AM37">IF(BI37=1,INDEX(Tiere!S$30:S$112,'Nährstoffe und Lagerraum'!$BH37),IF(BI37=2,INDEX(Tiere!$T$30:$T$112,'Nährstoffe und Lagerraum'!BH37),INDEX(Tiere!$U$30:$U$112,'Nährstoffe und Lagerraum'!BH37)))</f>
        <v>0</v>
      </c>
      <c r="AN37" s="426">
        <f t="shared" si="77"/>
        <v>0</v>
      </c>
      <c r="AO37" s="426">
        <f t="shared" si="45"/>
        <v>0</v>
      </c>
      <c r="AP37" s="426">
        <f t="shared" si="46"/>
        <v>0</v>
      </c>
      <c r="AQ37" s="427">
        <f t="shared" si="47"/>
        <v>0</v>
      </c>
      <c r="AR37" s="428">
        <f t="shared" si="48"/>
        <v>0</v>
      </c>
      <c r="AS37" s="429">
        <f t="shared" si="49"/>
        <v>0</v>
      </c>
      <c r="AT37" s="267"/>
      <c r="AU37" s="370">
        <f t="shared" si="50"/>
        <v>0</v>
      </c>
      <c r="AV37" s="371">
        <f t="shared" si="51"/>
        <v>0</v>
      </c>
      <c r="AW37" s="371">
        <f t="shared" si="52"/>
        <v>0</v>
      </c>
      <c r="AX37" s="270">
        <f t="shared" si="53"/>
        <v>0</v>
      </c>
      <c r="AY37" s="267">
        <f t="shared" si="54"/>
        <v>0</v>
      </c>
      <c r="AZ37" s="271">
        <f t="shared" si="55"/>
        <v>0</v>
      </c>
      <c r="BA37" s="275">
        <f t="shared" si="56"/>
        <v>0</v>
      </c>
      <c r="BB37" s="276">
        <f t="shared" si="57"/>
        <v>0</v>
      </c>
      <c r="BC37" s="273">
        <f>INDEX(Tiere!AI$30:AI$112,'Nährstoffe und Lagerraum'!$BH37)</f>
        <v>0</v>
      </c>
      <c r="BD37" s="273">
        <f>INDEX(Tiere!AJ$30:AJ$112,'Nährstoffe und Lagerraum'!$BH37)</f>
        <v>0</v>
      </c>
      <c r="BE37" s="273">
        <f>INDEX(Tiere!AK$30:AK$112,'Nährstoffe und Lagerraum'!$BH37)</f>
        <v>0</v>
      </c>
      <c r="BF37" s="278">
        <f t="shared" si="58"/>
        <v>1</v>
      </c>
      <c r="BG37" s="278" cm="1">
        <f t="array" ref="BG37">INDEX(Tiere!$C$30:$C$112,BH37)</f>
        <v>0</v>
      </c>
      <c r="BH37" s="279">
        <v>1</v>
      </c>
      <c r="BI37" s="279">
        <v>1</v>
      </c>
      <c r="BJ37" s="278">
        <f>INDEX(Tiere!D$30:D$112,'Nährstoffe und Lagerraum'!$BH37)</f>
        <v>0</v>
      </c>
      <c r="BK37" s="278" t="str">
        <f t="shared" si="59"/>
        <v>1</v>
      </c>
      <c r="BL37" s="278">
        <f t="shared" si="60"/>
        <v>0</v>
      </c>
      <c r="BM37" s="277">
        <f>INDEX(Tiere!E$30:E$112,'Nährstoffe und Lagerraum'!$BH37)</f>
        <v>0</v>
      </c>
      <c r="BN37" s="273">
        <f>INDEX(Tiere!F$30:F$112,'Nährstoffe und Lagerraum'!$BH37)</f>
        <v>0</v>
      </c>
      <c r="BO37" s="274">
        <f>INDEX(Tiere!G$30:G$112,'Nährstoffe und Lagerraum'!$BH37)</f>
        <v>0</v>
      </c>
      <c r="BP37" s="273">
        <f>INDEX(Tiere!H$30:H$112,'Nährstoffe und Lagerraum'!$BH37)</f>
        <v>0</v>
      </c>
      <c r="BQ37" s="273">
        <f>INDEX(Tiere!V$30:V$112,'Nährstoffe und Lagerraum'!$BH37)</f>
        <v>0</v>
      </c>
      <c r="BR37" s="277">
        <f>INDEX(Tiere!P$30:P$112,'Nährstoffe und Lagerraum'!$BH37)</f>
        <v>0</v>
      </c>
      <c r="BS37" s="273">
        <f>INDEX(Tiere!Q$30:Q$112,'Nährstoffe und Lagerraum'!$BH37)</f>
        <v>0</v>
      </c>
      <c r="BT37" s="274">
        <f>INDEX(Tiere!R$30:R$112,'Nährstoffe und Lagerraum'!$BH37)</f>
        <v>0</v>
      </c>
      <c r="BU37" s="277">
        <f>INDEX(Tiere!X$30:X$112,'Nährstoffe und Lagerraum'!$BH37)</f>
        <v>0</v>
      </c>
      <c r="BV37" s="274">
        <f>INDEX(Tiere!Y$30:Y$112,'Nährstoffe und Lagerraum'!$BH37)</f>
        <v>0</v>
      </c>
      <c r="BW37" s="280">
        <f>INDEX(Tiere!Z$30:Z$112,'Nährstoffe und Lagerraum'!$BH37)</f>
        <v>0</v>
      </c>
      <c r="BX37" s="274">
        <f>INDEX(Tiere!J$30:J$112,'Nährstoffe und Lagerraum'!$BH37)</f>
        <v>0</v>
      </c>
      <c r="BY37" s="274">
        <f>INDEX(Tiere!K$30:K$112,'Nährstoffe und Lagerraum'!$BH37)</f>
        <v>0</v>
      </c>
      <c r="BZ37" s="274">
        <f>INDEX(Tiere!L$30:L$112,'Nährstoffe und Lagerraum'!$BH37)</f>
        <v>0</v>
      </c>
      <c r="CA37" s="273">
        <f>BX37*'Abweichende Werte'!$Y$64</f>
        <v>0</v>
      </c>
      <c r="CB37" s="273">
        <f>BY37*'Abweichende Werte'!$Y$64</f>
        <v>0</v>
      </c>
      <c r="CC37" s="273">
        <f>BZ37*'Abweichende Werte'!$Y$64</f>
        <v>0</v>
      </c>
      <c r="CD37" s="267">
        <v>5</v>
      </c>
      <c r="CE37" s="267">
        <v>3</v>
      </c>
      <c r="CF37" s="271">
        <v>17</v>
      </c>
      <c r="CG37" s="271">
        <f>'Abweichende Werte'!U$64</f>
        <v>5</v>
      </c>
      <c r="CH37" s="271">
        <f>'Abweichende Werte'!V$64</f>
        <v>3</v>
      </c>
      <c r="CI37" s="271">
        <f>'Abweichende Werte'!W$64</f>
        <v>17</v>
      </c>
      <c r="CJ37" s="271">
        <f>INDEX(Tiere!AD$30:AD$112,'Nährstoffe und Lagerraum'!$BH37)</f>
        <v>0</v>
      </c>
      <c r="CK37" s="271">
        <f>INDEX(Tiere!AE$30:AE$112,'Nährstoffe und Lagerraum'!$BH37)</f>
        <v>0</v>
      </c>
      <c r="CL37" s="281">
        <f t="shared" si="61"/>
        <v>0</v>
      </c>
      <c r="CM37" s="282">
        <f t="shared" si="78"/>
        <v>0</v>
      </c>
      <c r="CN37" s="267">
        <f t="shared" si="62"/>
        <v>0</v>
      </c>
      <c r="CO37" s="271">
        <f t="shared" si="63"/>
        <v>0</v>
      </c>
      <c r="CP37" s="267"/>
      <c r="CQ37" s="267" t="b">
        <f t="shared" si="64"/>
        <v>0</v>
      </c>
      <c r="CR37" s="267"/>
      <c r="CS37" s="277">
        <f>INDEX(Tiere!AF$30:AF$112,'Nährstoffe und Lagerraum'!$BH37)</f>
        <v>0</v>
      </c>
      <c r="CT37" s="277">
        <f>INDEX(Tiere!AG$30:AG$112,'Nährstoffe und Lagerraum'!$BH37)</f>
        <v>0</v>
      </c>
      <c r="CU37" s="277">
        <f>INDEX(Tiere!AH$30:AH$112,'Nährstoffe und Lagerraum'!$BH37)</f>
        <v>0</v>
      </c>
      <c r="CV37" s="139">
        <f t="shared" si="65"/>
        <v>0</v>
      </c>
      <c r="CW37" s="144">
        <f t="shared" si="66"/>
        <v>0</v>
      </c>
      <c r="CX37" s="17"/>
      <c r="CY37" s="17">
        <f t="shared" si="67"/>
        <v>0</v>
      </c>
      <c r="CZ37" s="17">
        <f t="shared" si="68"/>
        <v>0</v>
      </c>
      <c r="DA37" s="17">
        <f t="shared" si="69"/>
        <v>0</v>
      </c>
      <c r="DD37" s="139">
        <f t="shared" si="70"/>
        <v>0</v>
      </c>
      <c r="DE37" s="139">
        <f t="shared" si="71"/>
        <v>0</v>
      </c>
      <c r="DF37" s="139">
        <f t="shared" si="72"/>
        <v>0</v>
      </c>
      <c r="DG37" s="139">
        <f t="shared" si="73"/>
        <v>0</v>
      </c>
      <c r="DL37" s="139">
        <f t="shared" si="18"/>
        <v>0</v>
      </c>
      <c r="DM37" s="139">
        <f t="shared" si="19"/>
        <v>0</v>
      </c>
      <c r="DN37" s="139">
        <f t="shared" si="20"/>
        <v>0</v>
      </c>
      <c r="DO37" s="139">
        <f t="shared" si="21"/>
        <v>0</v>
      </c>
      <c r="DP37" s="139">
        <f t="shared" si="74"/>
        <v>0</v>
      </c>
      <c r="DQ37" s="139">
        <f t="shared" si="75"/>
        <v>0</v>
      </c>
      <c r="DR37" s="139" cm="1">
        <f t="array" ref="DR37">INDEX(Tiere!$AA$30:$AA$112,'Nährstoffe und Lagerraum'!BH37)</f>
        <v>0</v>
      </c>
      <c r="DS37" s="139">
        <f t="shared" si="76"/>
        <v>0</v>
      </c>
    </row>
    <row r="38" spans="1:123" ht="15.75" customHeight="1" x14ac:dyDescent="0.2">
      <c r="A38" s="1248"/>
      <c r="B38" s="1249"/>
      <c r="C38" s="1249"/>
      <c r="D38" s="1030"/>
      <c r="E38" s="1031"/>
      <c r="F38" s="124"/>
      <c r="G38" s="1036"/>
      <c r="H38" s="1037"/>
      <c r="I38" s="466" t="str">
        <f t="shared" si="22"/>
        <v xml:space="preserve"> </v>
      </c>
      <c r="J38" s="466" t="str">
        <f t="shared" si="79"/>
        <v xml:space="preserve"> </v>
      </c>
      <c r="K38" s="18"/>
      <c r="L38" s="1078">
        <f t="shared" si="23"/>
        <v>0</v>
      </c>
      <c r="M38" s="239"/>
      <c r="N38" s="267" t="str">
        <f t="shared" si="24"/>
        <v xml:space="preserve"> </v>
      </c>
      <c r="O38" s="267"/>
      <c r="P38" s="267">
        <f t="shared" si="25"/>
        <v>0</v>
      </c>
      <c r="Q38" s="267">
        <f t="shared" si="26"/>
        <v>0</v>
      </c>
      <c r="R38" s="267">
        <f t="shared" si="27"/>
        <v>0</v>
      </c>
      <c r="S38" s="267">
        <f t="shared" si="28"/>
        <v>0</v>
      </c>
      <c r="T38" s="267" t="str">
        <f t="shared" si="2"/>
        <v xml:space="preserve"> </v>
      </c>
      <c r="U38" s="268">
        <f t="shared" si="29"/>
        <v>0</v>
      </c>
      <c r="V38" s="269">
        <f t="shared" si="30"/>
        <v>0</v>
      </c>
      <c r="W38" s="657">
        <f t="shared" si="31"/>
        <v>0</v>
      </c>
      <c r="X38" s="657">
        <f t="shared" si="32"/>
        <v>0</v>
      </c>
      <c r="Y38" s="657">
        <f t="shared" si="33"/>
        <v>0</v>
      </c>
      <c r="Z38" s="657">
        <f t="shared" si="34"/>
        <v>0</v>
      </c>
      <c r="AA38" s="270">
        <f t="shared" si="35"/>
        <v>0</v>
      </c>
      <c r="AB38" s="267">
        <f t="shared" si="36"/>
        <v>0</v>
      </c>
      <c r="AC38" s="267">
        <f t="shared" si="37"/>
        <v>0</v>
      </c>
      <c r="AD38" s="271">
        <f t="shared" si="38"/>
        <v>0</v>
      </c>
      <c r="AE38" s="272">
        <f>INDEX(Tiere!I$30:I$112,'Nährstoffe und Lagerraum'!$BH38)</f>
        <v>0</v>
      </c>
      <c r="AF38" s="272">
        <f>INDEX(Tiere!W$30:W$112,'Nährstoffe und Lagerraum'!BH38)</f>
        <v>0</v>
      </c>
      <c r="AG38" s="267">
        <f t="shared" si="39"/>
        <v>0</v>
      </c>
      <c r="AH38" s="267">
        <f t="shared" si="40"/>
        <v>0</v>
      </c>
      <c r="AI38" s="267">
        <f t="shared" si="41"/>
        <v>0</v>
      </c>
      <c r="AJ38" s="270">
        <f t="shared" si="42"/>
        <v>0</v>
      </c>
      <c r="AK38" s="267">
        <f t="shared" si="43"/>
        <v>0</v>
      </c>
      <c r="AL38" s="271">
        <f t="shared" si="44"/>
        <v>0</v>
      </c>
      <c r="AM38" s="272" cm="1">
        <f t="array" ref="AM38">IF(BI38=1,INDEX(Tiere!S$30:S$112,'Nährstoffe und Lagerraum'!$BH38),IF(BI38=2,INDEX(Tiere!$T$30:$T$112,'Nährstoffe und Lagerraum'!BH38),INDEX(Tiere!$U$30:$U$112,'Nährstoffe und Lagerraum'!BH38)))</f>
        <v>0</v>
      </c>
      <c r="AN38" s="426">
        <f t="shared" si="77"/>
        <v>0</v>
      </c>
      <c r="AO38" s="426">
        <f t="shared" si="45"/>
        <v>0</v>
      </c>
      <c r="AP38" s="426">
        <f t="shared" si="46"/>
        <v>0</v>
      </c>
      <c r="AQ38" s="427">
        <f t="shared" si="47"/>
        <v>0</v>
      </c>
      <c r="AR38" s="428">
        <f t="shared" si="48"/>
        <v>0</v>
      </c>
      <c r="AS38" s="429">
        <f t="shared" si="49"/>
        <v>0</v>
      </c>
      <c r="AT38" s="267"/>
      <c r="AU38" s="370">
        <f t="shared" si="50"/>
        <v>0</v>
      </c>
      <c r="AV38" s="371">
        <f t="shared" si="51"/>
        <v>0</v>
      </c>
      <c r="AW38" s="371">
        <f t="shared" si="52"/>
        <v>0</v>
      </c>
      <c r="AX38" s="270">
        <f t="shared" si="53"/>
        <v>0</v>
      </c>
      <c r="AY38" s="267">
        <f t="shared" si="54"/>
        <v>0</v>
      </c>
      <c r="AZ38" s="271">
        <f t="shared" si="55"/>
        <v>0</v>
      </c>
      <c r="BA38" s="275">
        <f t="shared" si="56"/>
        <v>0</v>
      </c>
      <c r="BB38" s="276">
        <f t="shared" si="57"/>
        <v>0</v>
      </c>
      <c r="BC38" s="273">
        <f>INDEX(Tiere!AI$30:AI$112,'Nährstoffe und Lagerraum'!$BH38)</f>
        <v>0</v>
      </c>
      <c r="BD38" s="273">
        <f>INDEX(Tiere!AJ$30:AJ$112,'Nährstoffe und Lagerraum'!$BH38)</f>
        <v>0</v>
      </c>
      <c r="BE38" s="273">
        <f>INDEX(Tiere!AK$30:AK$112,'Nährstoffe und Lagerraum'!$BH38)</f>
        <v>0</v>
      </c>
      <c r="BF38" s="278">
        <f t="shared" si="58"/>
        <v>1</v>
      </c>
      <c r="BG38" s="278" cm="1">
        <f t="array" ref="BG38">INDEX(Tiere!$C$30:$C$112,BH38)</f>
        <v>0</v>
      </c>
      <c r="BH38" s="279">
        <v>1</v>
      </c>
      <c r="BI38" s="279">
        <v>1</v>
      </c>
      <c r="BJ38" s="278">
        <f>INDEX(Tiere!D$30:D$112,'Nährstoffe und Lagerraum'!$BH38)</f>
        <v>0</v>
      </c>
      <c r="BK38" s="278" t="str">
        <f t="shared" si="59"/>
        <v>1</v>
      </c>
      <c r="BL38" s="278">
        <f t="shared" si="60"/>
        <v>0</v>
      </c>
      <c r="BM38" s="277">
        <f>INDEX(Tiere!E$30:E$112,'Nährstoffe und Lagerraum'!$BH38)</f>
        <v>0</v>
      </c>
      <c r="BN38" s="273">
        <f>INDEX(Tiere!F$30:F$112,'Nährstoffe und Lagerraum'!$BH38)</f>
        <v>0</v>
      </c>
      <c r="BO38" s="274">
        <f>INDEX(Tiere!G$30:G$112,'Nährstoffe und Lagerraum'!$BH38)</f>
        <v>0</v>
      </c>
      <c r="BP38" s="273">
        <f>INDEX(Tiere!H$30:H$112,'Nährstoffe und Lagerraum'!$BH38)</f>
        <v>0</v>
      </c>
      <c r="BQ38" s="273">
        <f>INDEX(Tiere!V$30:V$112,'Nährstoffe und Lagerraum'!$BH38)</f>
        <v>0</v>
      </c>
      <c r="BR38" s="277">
        <f>INDEX(Tiere!P$30:P$112,'Nährstoffe und Lagerraum'!$BH38)</f>
        <v>0</v>
      </c>
      <c r="BS38" s="273">
        <f>INDEX(Tiere!Q$30:Q$112,'Nährstoffe und Lagerraum'!$BH38)</f>
        <v>0</v>
      </c>
      <c r="BT38" s="274">
        <f>INDEX(Tiere!R$30:R$112,'Nährstoffe und Lagerraum'!$BH38)</f>
        <v>0</v>
      </c>
      <c r="BU38" s="277">
        <f>INDEX(Tiere!X$30:X$112,'Nährstoffe und Lagerraum'!$BH38)</f>
        <v>0</v>
      </c>
      <c r="BV38" s="274">
        <f>INDEX(Tiere!Y$30:Y$112,'Nährstoffe und Lagerraum'!$BH38)</f>
        <v>0</v>
      </c>
      <c r="BW38" s="280">
        <f>INDEX(Tiere!Z$30:Z$112,'Nährstoffe und Lagerraum'!$BH38)</f>
        <v>0</v>
      </c>
      <c r="BX38" s="274">
        <f>INDEX(Tiere!J$30:J$112,'Nährstoffe und Lagerraum'!$BH38)</f>
        <v>0</v>
      </c>
      <c r="BY38" s="274">
        <f>INDEX(Tiere!K$30:K$112,'Nährstoffe und Lagerraum'!$BH38)</f>
        <v>0</v>
      </c>
      <c r="BZ38" s="274">
        <f>INDEX(Tiere!L$30:L$112,'Nährstoffe und Lagerraum'!$BH38)</f>
        <v>0</v>
      </c>
      <c r="CA38" s="273">
        <f>BX38*'Abweichende Werte'!$Y$64</f>
        <v>0</v>
      </c>
      <c r="CB38" s="273">
        <f>BY38*'Abweichende Werte'!$Y$64</f>
        <v>0</v>
      </c>
      <c r="CC38" s="273">
        <f>BZ38*'Abweichende Werte'!$Y$64</f>
        <v>0</v>
      </c>
      <c r="CD38" s="267">
        <v>5</v>
      </c>
      <c r="CE38" s="267">
        <v>3</v>
      </c>
      <c r="CF38" s="271">
        <v>17</v>
      </c>
      <c r="CG38" s="271">
        <f>'Abweichende Werte'!U$64</f>
        <v>5</v>
      </c>
      <c r="CH38" s="271">
        <f>'Abweichende Werte'!V$64</f>
        <v>3</v>
      </c>
      <c r="CI38" s="271">
        <f>'Abweichende Werte'!W$64</f>
        <v>17</v>
      </c>
      <c r="CJ38" s="271">
        <f>INDEX(Tiere!AD$30:AD$112,'Nährstoffe und Lagerraum'!$BH38)</f>
        <v>0</v>
      </c>
      <c r="CK38" s="271">
        <f>INDEX(Tiere!AE$30:AE$112,'Nährstoffe und Lagerraum'!$BH38)</f>
        <v>0</v>
      </c>
      <c r="CL38" s="281">
        <f t="shared" si="61"/>
        <v>0</v>
      </c>
      <c r="CM38" s="282">
        <f t="shared" si="78"/>
        <v>0</v>
      </c>
      <c r="CN38" s="267">
        <f t="shared" si="62"/>
        <v>0</v>
      </c>
      <c r="CO38" s="271">
        <f t="shared" si="63"/>
        <v>0</v>
      </c>
      <c r="CP38" s="267"/>
      <c r="CQ38" s="267" t="b">
        <f t="shared" si="64"/>
        <v>0</v>
      </c>
      <c r="CR38" s="267"/>
      <c r="CS38" s="277">
        <f>INDEX(Tiere!AF$30:AF$112,'Nährstoffe und Lagerraum'!$BH38)</f>
        <v>0</v>
      </c>
      <c r="CT38" s="277">
        <f>INDEX(Tiere!AG$30:AG$112,'Nährstoffe und Lagerraum'!$BH38)</f>
        <v>0</v>
      </c>
      <c r="CU38" s="277">
        <f>INDEX(Tiere!AH$30:AH$112,'Nährstoffe und Lagerraum'!$BH38)</f>
        <v>0</v>
      </c>
      <c r="CV38" s="139">
        <f t="shared" si="65"/>
        <v>0</v>
      </c>
      <c r="CW38" s="144">
        <f t="shared" si="66"/>
        <v>0</v>
      </c>
      <c r="CX38" s="17"/>
      <c r="CY38" s="17">
        <f t="shared" si="67"/>
        <v>0</v>
      </c>
      <c r="CZ38" s="17">
        <f t="shared" si="68"/>
        <v>0</v>
      </c>
      <c r="DA38" s="17">
        <f t="shared" si="69"/>
        <v>0</v>
      </c>
      <c r="DD38" s="139">
        <f t="shared" si="70"/>
        <v>0</v>
      </c>
      <c r="DE38" s="139">
        <f t="shared" si="71"/>
        <v>0</v>
      </c>
      <c r="DF38" s="139">
        <f t="shared" si="72"/>
        <v>0</v>
      </c>
      <c r="DG38" s="139">
        <f t="shared" si="73"/>
        <v>0</v>
      </c>
      <c r="DL38" s="139">
        <f t="shared" si="18"/>
        <v>0</v>
      </c>
      <c r="DM38" s="139">
        <f t="shared" si="19"/>
        <v>0</v>
      </c>
      <c r="DN38" s="139">
        <f t="shared" si="20"/>
        <v>0</v>
      </c>
      <c r="DO38" s="139">
        <f t="shared" si="21"/>
        <v>0</v>
      </c>
      <c r="DP38" s="139">
        <f t="shared" si="74"/>
        <v>0</v>
      </c>
      <c r="DQ38" s="139">
        <f t="shared" si="75"/>
        <v>0</v>
      </c>
      <c r="DR38" s="139" cm="1">
        <f t="array" ref="DR38">INDEX(Tiere!$AA$30:$AA$112,'Nährstoffe und Lagerraum'!BH38)</f>
        <v>0</v>
      </c>
      <c r="DS38" s="139">
        <f t="shared" si="76"/>
        <v>0</v>
      </c>
    </row>
    <row r="39" spans="1:123" ht="15.75" customHeight="1" x14ac:dyDescent="0.2">
      <c r="A39" s="356" t="s">
        <v>563</v>
      </c>
      <c r="B39" s="357"/>
      <c r="C39" s="357"/>
      <c r="D39" s="500"/>
      <c r="E39" s="500"/>
      <c r="F39" s="500"/>
      <c r="G39" s="357"/>
      <c r="H39" s="502"/>
      <c r="I39" s="227"/>
      <c r="J39" s="227"/>
      <c r="K39" s="18"/>
      <c r="L39" s="220" t="s">
        <v>352</v>
      </c>
      <c r="M39" s="249" t="s">
        <v>317</v>
      </c>
      <c r="N39" s="239" t="s">
        <v>325</v>
      </c>
      <c r="O39" s="239"/>
      <c r="P39" s="239"/>
      <c r="Q39" s="239"/>
      <c r="R39" s="239"/>
      <c r="S39" s="239"/>
      <c r="T39" s="239"/>
      <c r="U39" s="239"/>
      <c r="V39" s="239"/>
      <c r="W39" s="372"/>
      <c r="X39" s="372"/>
      <c r="Y39" s="372"/>
      <c r="Z39" s="372"/>
      <c r="AA39" s="260"/>
      <c r="AB39" s="239"/>
      <c r="AC39" s="239"/>
      <c r="AD39" s="261"/>
      <c r="AE39" s="252"/>
      <c r="AF39" s="252"/>
      <c r="AG39" s="239"/>
      <c r="AH39" s="239"/>
      <c r="AI39" s="239"/>
      <c r="AJ39" s="260"/>
      <c r="AK39" s="239"/>
      <c r="AL39" s="261"/>
      <c r="AM39" s="252"/>
      <c r="AN39" s="239"/>
      <c r="AO39" s="239"/>
      <c r="AP39" s="239"/>
      <c r="AQ39" s="260"/>
      <c r="AR39" s="239"/>
      <c r="AS39" s="261"/>
      <c r="AT39" s="239"/>
      <c r="AU39" s="239"/>
      <c r="AV39" s="239"/>
      <c r="AW39" s="239"/>
      <c r="AX39" s="239"/>
      <c r="AY39" s="239"/>
      <c r="AZ39" s="271"/>
      <c r="BA39" s="239"/>
      <c r="BB39" s="239"/>
      <c r="BC39" s="239"/>
      <c r="BD39" s="239"/>
      <c r="BE39" s="239"/>
      <c r="BF39" s="239"/>
      <c r="BG39" s="389"/>
      <c r="BH39" s="239"/>
      <c r="BI39" s="267"/>
      <c r="BJ39" s="267"/>
      <c r="BK39" s="267"/>
      <c r="BL39" s="284"/>
      <c r="BM39" s="239"/>
      <c r="BN39" s="239"/>
      <c r="BO39" s="239"/>
      <c r="BP39" s="273"/>
      <c r="BQ39" s="273"/>
      <c r="BR39" s="273"/>
      <c r="BS39" s="273"/>
      <c r="BT39" s="273"/>
      <c r="BU39" s="239"/>
      <c r="BV39" s="239"/>
      <c r="BW39" s="283"/>
      <c r="BX39" s="239"/>
      <c r="BY39" s="239"/>
      <c r="BZ39" s="239"/>
      <c r="CA39" s="422"/>
      <c r="CB39" s="422"/>
      <c r="CC39" s="422"/>
      <c r="CD39" s="239"/>
      <c r="CE39" s="239"/>
      <c r="CF39" s="239"/>
      <c r="CG39" s="422"/>
      <c r="CH39" s="422"/>
      <c r="CI39" s="422"/>
      <c r="CJ39" s="285"/>
      <c r="CK39" s="285"/>
      <c r="CL39" s="286"/>
      <c r="CM39" s="287"/>
      <c r="CN39" s="239"/>
      <c r="CO39" s="261"/>
      <c r="CP39" s="239"/>
      <c r="CQ39" s="239"/>
      <c r="CR39" s="239"/>
      <c r="CS39" s="239"/>
      <c r="CT39" s="18"/>
      <c r="CU39" s="18"/>
      <c r="CW39" s="18"/>
      <c r="CX39" s="18"/>
      <c r="CY39" s="17">
        <f>SUM(CY23:CY38)</f>
        <v>0</v>
      </c>
      <c r="CZ39" s="17">
        <f>SUM(CZ23:CZ38)</f>
        <v>0</v>
      </c>
      <c r="DA39" s="17">
        <f>SUM(DA23:DA38)</f>
        <v>0</v>
      </c>
      <c r="DB39" s="18"/>
      <c r="DC39" s="18"/>
      <c r="DD39" s="139">
        <f>SUM(DD23:DD38)</f>
        <v>0</v>
      </c>
      <c r="DE39" s="139">
        <f>SUM(DE23:DE38)</f>
        <v>0</v>
      </c>
      <c r="DF39" s="139">
        <f>SUM(DF23:DF38)</f>
        <v>0</v>
      </c>
      <c r="DG39" s="139">
        <f>SUM(DG23:DG38)</f>
        <v>0</v>
      </c>
    </row>
    <row r="40" spans="1:123" ht="15.75" customHeight="1" x14ac:dyDescent="0.2">
      <c r="A40" s="1273" t="s">
        <v>7897</v>
      </c>
      <c r="B40" s="1274"/>
      <c r="C40" s="1274"/>
      <c r="D40" s="1274"/>
      <c r="E40" s="1274"/>
      <c r="F40" s="1275"/>
      <c r="G40" s="1038"/>
      <c r="H40" s="608" t="s">
        <v>25</v>
      </c>
      <c r="I40" s="225" t="str">
        <f>IF(G40&gt;0.1,IF($C$13&lt;1,"Fehler",L40)," ")</f>
        <v xml:space="preserve"> </v>
      </c>
      <c r="J40" s="469"/>
      <c r="K40" s="18"/>
      <c r="L40" s="221" t="str">
        <f>IF(($C$13*G40*0.7)/1000=0," ",($C$13*G40*0.7)/1000)</f>
        <v xml:space="preserve"> </v>
      </c>
      <c r="M40" s="261">
        <f>+M41+M42+M44</f>
        <v>0</v>
      </c>
      <c r="N40" s="239">
        <f>IF(L40=" ",0,L40)</f>
        <v>0</v>
      </c>
      <c r="O40" s="239"/>
      <c r="P40" s="239"/>
      <c r="Q40" s="239"/>
      <c r="R40" s="239"/>
      <c r="S40" s="718"/>
      <c r="T40" s="239"/>
      <c r="U40" s="239"/>
      <c r="V40" s="239"/>
      <c r="W40" s="372"/>
      <c r="X40" s="372"/>
      <c r="Y40" s="372"/>
      <c r="Z40" s="372"/>
      <c r="AA40" s="260"/>
      <c r="AB40" s="239"/>
      <c r="AC40" s="239"/>
      <c r="AD40" s="261"/>
      <c r="AE40" s="252"/>
      <c r="AF40" s="252"/>
      <c r="AG40" s="239"/>
      <c r="AH40" s="239"/>
      <c r="AI40" s="239"/>
      <c r="AJ40" s="260"/>
      <c r="AK40" s="239"/>
      <c r="AL40" s="261"/>
      <c r="AM40" s="252"/>
      <c r="AN40" s="239"/>
      <c r="AO40" s="239"/>
      <c r="AP40" s="239"/>
      <c r="AQ40" s="260"/>
      <c r="AR40" s="239"/>
      <c r="AS40" s="261"/>
      <c r="AT40" s="239"/>
      <c r="AU40" s="239"/>
      <c r="AV40" s="239"/>
      <c r="AW40" s="239"/>
      <c r="AX40" s="239"/>
      <c r="AY40" s="239"/>
      <c r="AZ40" s="239"/>
      <c r="BA40" s="239"/>
      <c r="BB40" s="239"/>
      <c r="BC40" s="240"/>
      <c r="BD40" s="240"/>
      <c r="BE40" s="240"/>
      <c r="BF40" s="240"/>
      <c r="BG40" s="388"/>
      <c r="BH40" s="239"/>
      <c r="BI40" s="239"/>
      <c r="BJ40" s="239"/>
      <c r="BK40" s="239"/>
      <c r="BL40" s="255"/>
      <c r="BM40" s="239"/>
      <c r="BN40" s="239"/>
      <c r="BO40" s="239"/>
      <c r="BP40" s="239"/>
      <c r="BQ40" s="239"/>
      <c r="BR40" s="239"/>
      <c r="BS40" s="239"/>
      <c r="BT40" s="239"/>
      <c r="BU40" s="239"/>
      <c r="BV40" s="239"/>
      <c r="BW40" s="239"/>
      <c r="BX40" s="239"/>
      <c r="BY40" s="239"/>
      <c r="BZ40" s="239"/>
      <c r="CA40" s="422"/>
      <c r="CB40" s="422"/>
      <c r="CC40" s="422"/>
      <c r="CD40" s="239"/>
      <c r="CE40" s="239"/>
      <c r="CF40" s="239"/>
      <c r="CG40" s="422"/>
      <c r="CH40" s="422"/>
      <c r="CI40" s="422"/>
      <c r="CJ40" s="285"/>
      <c r="CK40" s="285"/>
      <c r="CL40" s="286"/>
      <c r="CM40" s="287"/>
      <c r="CN40" s="288">
        <f>SUM(CN23:CN38)</f>
        <v>0</v>
      </c>
      <c r="CO40" s="289">
        <f>SUM(CO23:CO38)</f>
        <v>0</v>
      </c>
      <c r="CP40" s="239"/>
      <c r="CQ40" s="239"/>
      <c r="CR40" s="239"/>
      <c r="CS40" s="239"/>
      <c r="CT40" s="18"/>
      <c r="CU40" s="18"/>
      <c r="CV40" s="17">
        <f>SUM(CV23:CV39)</f>
        <v>0</v>
      </c>
      <c r="CW40" s="17">
        <f>SUM(CW23:CW39)</f>
        <v>0</v>
      </c>
      <c r="CX40" s="18"/>
      <c r="CY40" s="18"/>
      <c r="CZ40" s="18"/>
      <c r="DA40" s="18"/>
      <c r="DB40" s="18"/>
      <c r="DC40" s="18"/>
    </row>
    <row r="41" spans="1:123" s="147" customFormat="1" ht="15.75" customHeight="1" thickBot="1" x14ac:dyDescent="0.25">
      <c r="A41" s="1273" t="s">
        <v>354</v>
      </c>
      <c r="B41" s="1274"/>
      <c r="C41" s="1274"/>
      <c r="D41" s="1274"/>
      <c r="E41" s="1274"/>
      <c r="F41" s="1275"/>
      <c r="G41" s="1039"/>
      <c r="H41" s="609" t="s">
        <v>25</v>
      </c>
      <c r="I41" s="226" t="str">
        <f>IF(G41&gt;0.1,IF($C$13&lt;1,"Fehler",L41)," ")</f>
        <v xml:space="preserve"> </v>
      </c>
      <c r="J41" s="469"/>
      <c r="K41" s="19"/>
      <c r="L41" s="221" t="str">
        <f>IF(($C$13*G41*0.85)/1000=0," ",($C$13*G41*0.85)/1000)</f>
        <v xml:space="preserve"> </v>
      </c>
      <c r="M41" s="290">
        <f>IF(L41=" ",0,L41)</f>
        <v>0</v>
      </c>
      <c r="N41" s="239">
        <f>IF(L41=" ",0,L41)</f>
        <v>0</v>
      </c>
      <c r="O41" s="242"/>
      <c r="P41" s="242"/>
      <c r="Q41" s="242"/>
      <c r="R41" s="242"/>
      <c r="S41" s="242"/>
      <c r="T41" s="242"/>
      <c r="U41" s="242"/>
      <c r="V41" s="703"/>
      <c r="W41" s="373"/>
      <c r="X41" s="373"/>
      <c r="Y41" s="373"/>
      <c r="Z41" s="373"/>
      <c r="AA41" s="291"/>
      <c r="AB41" s="242"/>
      <c r="AC41" s="242"/>
      <c r="AD41" s="290"/>
      <c r="AE41" s="292"/>
      <c r="AF41" s="292"/>
      <c r="AG41" s="242"/>
      <c r="AH41" s="242"/>
      <c r="AI41" s="242"/>
      <c r="AJ41" s="291"/>
      <c r="AK41" s="242"/>
      <c r="AL41" s="290"/>
      <c r="AM41" s="292"/>
      <c r="AN41" s="242"/>
      <c r="AO41" s="242"/>
      <c r="AP41" s="242"/>
      <c r="AQ41" s="291"/>
      <c r="AR41" s="242"/>
      <c r="AS41" s="290"/>
      <c r="AT41" s="242"/>
      <c r="AU41" s="242"/>
      <c r="AV41" s="242"/>
      <c r="AW41" s="242"/>
      <c r="AX41" s="242"/>
      <c r="AY41" s="242"/>
      <c r="AZ41" s="242"/>
      <c r="BA41" s="242"/>
      <c r="BB41" s="242"/>
      <c r="BC41" s="242"/>
      <c r="BD41" s="242"/>
      <c r="BE41" s="242"/>
      <c r="BF41" s="242"/>
      <c r="BG41" s="242"/>
      <c r="BH41" s="242"/>
      <c r="BI41" s="242"/>
      <c r="BJ41" s="242"/>
      <c r="BK41" s="242"/>
      <c r="BL41" s="293"/>
      <c r="BM41" s="239"/>
      <c r="BN41" s="239"/>
      <c r="BO41" s="239"/>
      <c r="BP41" s="239"/>
      <c r="BQ41" s="239"/>
      <c r="BR41" s="239"/>
      <c r="BS41" s="239"/>
      <c r="BT41" s="239"/>
      <c r="BU41" s="239"/>
      <c r="BV41" s="242"/>
      <c r="BW41" s="242"/>
      <c r="BX41" s="242"/>
      <c r="BY41" s="242"/>
      <c r="BZ41" s="242"/>
      <c r="CA41" s="421"/>
      <c r="CB41" s="421"/>
      <c r="CC41" s="421"/>
      <c r="CD41" s="242"/>
      <c r="CE41" s="242"/>
      <c r="CF41" s="242"/>
      <c r="CG41" s="421"/>
      <c r="CH41" s="421"/>
      <c r="CI41" s="421"/>
      <c r="CJ41" s="294"/>
      <c r="CK41" s="294"/>
      <c r="CL41" s="286"/>
      <c r="CM41" s="287"/>
      <c r="CN41" s="295" t="str">
        <f>IF(CN40=0,"1",SUM(CN23:CN38))</f>
        <v>1</v>
      </c>
      <c r="CO41" s="296" t="str">
        <f>IF(CO40=0,"1",SUM(CO23:CO38))</f>
        <v>1</v>
      </c>
      <c r="CP41" s="242"/>
      <c r="CQ41" s="242"/>
      <c r="CR41" s="242"/>
      <c r="CS41" s="242"/>
      <c r="CT41" s="145"/>
      <c r="CU41" s="145"/>
      <c r="CV41" s="146"/>
      <c r="CW41" s="145"/>
      <c r="CX41" s="145"/>
      <c r="CY41" s="145"/>
      <c r="CZ41" s="145"/>
      <c r="DA41" s="145"/>
      <c r="DB41" s="145"/>
      <c r="DC41" s="145"/>
    </row>
    <row r="42" spans="1:123" s="147" customFormat="1" ht="15.75" customHeight="1" x14ac:dyDescent="0.2">
      <c r="A42" s="1273" t="s">
        <v>7898</v>
      </c>
      <c r="B42" s="1274"/>
      <c r="C42" s="1274"/>
      <c r="D42" s="1274"/>
      <c r="E42" s="1274"/>
      <c r="F42" s="1275"/>
      <c r="G42" s="1034"/>
      <c r="H42" s="609" t="s">
        <v>25</v>
      </c>
      <c r="I42" s="226" t="str">
        <f>IF(G42&gt;0.1,IF($C$13&lt;1,"Fehler",L42)," ")</f>
        <v xml:space="preserve"> </v>
      </c>
      <c r="J42" s="469"/>
      <c r="K42" s="19"/>
      <c r="L42" s="221" t="str">
        <f>IF(($C$13*G42*0.85)/1000=0," ",($C$13*G42*0.85)/1000)</f>
        <v xml:space="preserve"> </v>
      </c>
      <c r="M42" s="290">
        <f>IF(L42=" ",0,L42)</f>
        <v>0</v>
      </c>
      <c r="N42" s="239">
        <f>IF(L42=" ",0,L42)</f>
        <v>0</v>
      </c>
      <c r="O42" s="242"/>
      <c r="P42" s="242"/>
      <c r="Q42" s="242"/>
      <c r="R42" s="242"/>
      <c r="S42" s="242"/>
      <c r="T42" s="703"/>
      <c r="U42" s="703"/>
      <c r="V42" s="242"/>
      <c r="W42" s="373"/>
      <c r="X42" s="373"/>
      <c r="Y42" s="373"/>
      <c r="Z42" s="373"/>
      <c r="AA42" s="291"/>
      <c r="AB42" s="242"/>
      <c r="AC42" s="242"/>
      <c r="AD42" s="290"/>
      <c r="AE42" s="292"/>
      <c r="AF42" s="292"/>
      <c r="AG42" s="242"/>
      <c r="AH42" s="242"/>
      <c r="AI42" s="242"/>
      <c r="AJ42" s="291"/>
      <c r="AK42" s="242"/>
      <c r="AL42" s="290"/>
      <c r="AM42" s="292"/>
      <c r="AN42" s="242"/>
      <c r="AO42" s="242"/>
      <c r="AP42" s="242"/>
      <c r="AQ42" s="291"/>
      <c r="AR42" s="242"/>
      <c r="AS42" s="290"/>
      <c r="AT42" s="242"/>
      <c r="AU42" s="242"/>
      <c r="AV42" s="242"/>
      <c r="AW42" s="242"/>
      <c r="AX42" s="242"/>
      <c r="AY42" s="242"/>
      <c r="AZ42" s="242"/>
      <c r="BA42" s="242"/>
      <c r="BB42" s="242"/>
      <c r="BC42" s="242"/>
      <c r="BD42" s="242"/>
      <c r="BE42" s="242"/>
      <c r="BF42" s="242"/>
      <c r="BG42" s="242"/>
      <c r="BH42" s="242"/>
      <c r="BI42" s="242"/>
      <c r="BJ42" s="242"/>
      <c r="BK42" s="242"/>
      <c r="BL42" s="293"/>
      <c r="BM42" s="242"/>
      <c r="BN42" s="242"/>
      <c r="BO42" s="242"/>
      <c r="BP42" s="242"/>
      <c r="BQ42" s="242"/>
      <c r="BR42" s="242"/>
      <c r="BS42" s="242"/>
      <c r="BT42" s="242"/>
      <c r="BU42" s="242"/>
      <c r="BV42" s="242"/>
      <c r="BW42" s="242"/>
      <c r="BX42" s="242"/>
      <c r="BY42" s="242"/>
      <c r="BZ42" s="242"/>
      <c r="CA42" s="421"/>
      <c r="CB42" s="421"/>
      <c r="CC42" s="421"/>
      <c r="CD42" s="242"/>
      <c r="CE42" s="242"/>
      <c r="CF42" s="242"/>
      <c r="CG42" s="421"/>
      <c r="CH42" s="421"/>
      <c r="CI42" s="421"/>
      <c r="CJ42" s="294"/>
      <c r="CK42" s="294"/>
      <c r="CL42" s="286"/>
      <c r="CM42" s="287"/>
      <c r="CN42" s="242"/>
      <c r="CO42" s="242"/>
      <c r="CP42" s="242"/>
      <c r="CQ42" s="242"/>
      <c r="CR42" s="242"/>
      <c r="CS42" s="242"/>
      <c r="CT42" s="145"/>
      <c r="CU42" s="145"/>
      <c r="CV42" s="146"/>
      <c r="CW42" s="145"/>
      <c r="CX42" s="145"/>
      <c r="CY42" s="145"/>
      <c r="CZ42" s="145"/>
      <c r="DA42" s="145"/>
      <c r="DB42" s="145"/>
      <c r="DC42" s="145"/>
      <c r="DL42" s="147">
        <f>SUM(DL23:DL38)</f>
        <v>0</v>
      </c>
      <c r="DM42" s="147">
        <f>SUM(DM23:DM38)</f>
        <v>0</v>
      </c>
      <c r="DP42" s="702">
        <f>(SUM(DP23:DP38)+SUM(DQ23:DQ38))/2</f>
        <v>0</v>
      </c>
      <c r="DQ42" s="702"/>
      <c r="DS42" s="147">
        <f>SUM(DS23:DS38)</f>
        <v>0</v>
      </c>
    </row>
    <row r="43" spans="1:123" s="147" customFormat="1" ht="15.75" customHeight="1" x14ac:dyDescent="0.2">
      <c r="A43" s="1270" t="s">
        <v>347</v>
      </c>
      <c r="B43" s="1271"/>
      <c r="C43" s="1271"/>
      <c r="D43" s="1271"/>
      <c r="E43" s="1271"/>
      <c r="F43" s="1272"/>
      <c r="G43" s="1039"/>
      <c r="H43" s="609" t="s">
        <v>289</v>
      </c>
      <c r="I43" s="226" t="str">
        <f>+IF(G43&gt;0.1,G43*33.2," ")</f>
        <v xml:space="preserve"> </v>
      </c>
      <c r="J43" s="469"/>
      <c r="K43" s="19"/>
      <c r="L43" s="145"/>
      <c r="M43" s="293"/>
      <c r="N43" s="239">
        <f>IF(I43=" ",0,I43)</f>
        <v>0</v>
      </c>
      <c r="O43" s="242"/>
      <c r="P43" s="242"/>
      <c r="Q43" s="242"/>
      <c r="R43" s="242"/>
      <c r="S43" s="242"/>
      <c r="T43" s="703"/>
      <c r="U43" s="703"/>
      <c r="V43" s="242"/>
      <c r="W43" s="373"/>
      <c r="X43" s="373"/>
      <c r="Y43" s="373"/>
      <c r="Z43" s="373"/>
      <c r="AA43" s="291"/>
      <c r="AB43" s="242"/>
      <c r="AC43" s="242"/>
      <c r="AD43" s="290"/>
      <c r="AE43" s="292"/>
      <c r="AF43" s="292"/>
      <c r="AG43" s="242"/>
      <c r="AH43" s="242"/>
      <c r="AI43" s="242"/>
      <c r="AJ43" s="291"/>
      <c r="AK43" s="242"/>
      <c r="AL43" s="290"/>
      <c r="AM43" s="292"/>
      <c r="AN43" s="242"/>
      <c r="AO43" s="242"/>
      <c r="AP43" s="242"/>
      <c r="AQ43" s="291"/>
      <c r="AR43" s="242"/>
      <c r="AS43" s="290"/>
      <c r="AT43" s="242"/>
      <c r="AU43" s="242"/>
      <c r="AV43" s="242"/>
      <c r="AW43" s="242"/>
      <c r="AX43" s="242"/>
      <c r="AY43" s="242"/>
      <c r="AZ43" s="242"/>
      <c r="BA43" s="242"/>
      <c r="BB43" s="242"/>
      <c r="BC43" s="242"/>
      <c r="BD43" s="242"/>
      <c r="BE43" s="242"/>
      <c r="BF43" s="242"/>
      <c r="BG43" s="242"/>
      <c r="BH43" s="242"/>
      <c r="BI43" s="242"/>
      <c r="BJ43" s="242"/>
      <c r="BK43" s="242"/>
      <c r="BL43" s="293"/>
      <c r="BM43" s="242"/>
      <c r="BN43" s="242"/>
      <c r="BO43" s="242"/>
      <c r="BP43" s="242"/>
      <c r="BQ43" s="242"/>
      <c r="BR43" s="242"/>
      <c r="BS43" s="242"/>
      <c r="BT43" s="242"/>
      <c r="BU43" s="242"/>
      <c r="BV43" s="242"/>
      <c r="BW43" s="242"/>
      <c r="BX43" s="242"/>
      <c r="BY43" s="242"/>
      <c r="BZ43" s="242"/>
      <c r="CA43" s="421"/>
      <c r="CB43" s="421"/>
      <c r="CC43" s="421"/>
      <c r="CD43" s="242"/>
      <c r="CE43" s="242"/>
      <c r="CF43" s="242"/>
      <c r="CG43" s="421"/>
      <c r="CH43" s="421"/>
      <c r="CI43" s="421"/>
      <c r="CJ43" s="294"/>
      <c r="CK43" s="294"/>
      <c r="CL43" s="286"/>
      <c r="CM43" s="287"/>
      <c r="CN43" s="242"/>
      <c r="CO43" s="242"/>
      <c r="CP43" s="242"/>
      <c r="CQ43" s="242"/>
      <c r="CR43" s="242"/>
      <c r="CS43" s="242"/>
      <c r="CT43" s="145"/>
      <c r="CU43" s="145"/>
      <c r="CV43" s="145"/>
      <c r="CW43" s="145"/>
      <c r="CX43" s="145"/>
      <c r="CY43" s="145"/>
      <c r="CZ43" s="145"/>
      <c r="DA43" s="145"/>
      <c r="DB43" s="145"/>
      <c r="DC43" s="145"/>
    </row>
    <row r="44" spans="1:123" s="147" customFormat="1" ht="15.75" customHeight="1" x14ac:dyDescent="0.2">
      <c r="A44" s="1332" t="s">
        <v>7907</v>
      </c>
      <c r="B44" s="1271"/>
      <c r="C44" s="1271"/>
      <c r="D44" s="1271"/>
      <c r="E44" s="1271"/>
      <c r="F44" s="1272"/>
      <c r="G44" s="1039"/>
      <c r="H44" s="609" t="s">
        <v>1</v>
      </c>
      <c r="I44" s="468" t="str">
        <f>IF(G44&gt;0.1,G44," ")</f>
        <v xml:space="preserve"> </v>
      </c>
      <c r="J44" s="469"/>
      <c r="K44" s="19"/>
      <c r="L44" s="145"/>
      <c r="M44" s="297">
        <f>IF(I44=" ",0,I44)</f>
        <v>0</v>
      </c>
      <c r="N44" s="239">
        <f>IF(I44=" ",0,I44)</f>
        <v>0</v>
      </c>
      <c r="O44" s="242"/>
      <c r="P44" s="242"/>
      <c r="Q44" s="242"/>
      <c r="R44" s="242"/>
      <c r="S44" s="242"/>
      <c r="T44" s="242"/>
      <c r="U44" s="242"/>
      <c r="V44" s="242"/>
      <c r="W44" s="373"/>
      <c r="X44" s="373"/>
      <c r="Y44" s="373"/>
      <c r="Z44" s="373"/>
      <c r="AA44" s="291"/>
      <c r="AB44" s="242"/>
      <c r="AC44" s="242"/>
      <c r="AD44" s="290"/>
      <c r="AE44" s="292"/>
      <c r="AF44" s="292"/>
      <c r="AG44" s="242"/>
      <c r="AH44" s="242"/>
      <c r="AI44" s="242"/>
      <c r="AJ44" s="291"/>
      <c r="AK44" s="242"/>
      <c r="AL44" s="290"/>
      <c r="AM44" s="292"/>
      <c r="AN44" s="242"/>
      <c r="AO44" s="242"/>
      <c r="AP44" s="242"/>
      <c r="AQ44" s="291"/>
      <c r="AR44" s="242"/>
      <c r="AS44" s="290"/>
      <c r="AT44" s="242"/>
      <c r="AU44" s="242"/>
      <c r="AV44" s="242"/>
      <c r="AW44" s="242"/>
      <c r="AX44" s="242"/>
      <c r="AY44" s="242"/>
      <c r="AZ44" s="242"/>
      <c r="BA44" s="242"/>
      <c r="BB44" s="242"/>
      <c r="BC44" s="242"/>
      <c r="BD44" s="242"/>
      <c r="BE44" s="242"/>
      <c r="BF44" s="242"/>
      <c r="BG44" s="242"/>
      <c r="BH44" s="242"/>
      <c r="BI44" s="242"/>
      <c r="BJ44" s="242"/>
      <c r="BK44" s="242"/>
      <c r="BL44" s="293"/>
      <c r="BM44" s="242"/>
      <c r="BN44" s="242"/>
      <c r="BO44" s="242"/>
      <c r="BP44" s="242"/>
      <c r="BQ44" s="242"/>
      <c r="BR44" s="242"/>
      <c r="BS44" s="242"/>
      <c r="BT44" s="242"/>
      <c r="BU44" s="242"/>
      <c r="BV44" s="242"/>
      <c r="BW44" s="242"/>
      <c r="BX44" s="242"/>
      <c r="BY44" s="242"/>
      <c r="BZ44" s="242"/>
      <c r="CA44" s="421"/>
      <c r="CB44" s="421"/>
      <c r="CC44" s="421"/>
      <c r="CD44" s="242"/>
      <c r="CE44" s="242"/>
      <c r="CF44" s="242"/>
      <c r="CG44" s="421"/>
      <c r="CH44" s="421"/>
      <c r="CI44" s="421"/>
      <c r="CJ44" s="294"/>
      <c r="CK44" s="294"/>
      <c r="CL44" s="286"/>
      <c r="CM44" s="287"/>
      <c r="CN44" s="242"/>
      <c r="CO44" s="242"/>
      <c r="CP44" s="242"/>
      <c r="CQ44" s="242"/>
      <c r="CR44" s="242"/>
      <c r="CS44" s="242"/>
      <c r="CT44" s="145"/>
      <c r="CU44" s="145"/>
      <c r="CV44" s="146"/>
      <c r="CW44" s="145"/>
      <c r="CX44" s="145"/>
      <c r="CY44" s="145"/>
      <c r="CZ44" s="145"/>
      <c r="DA44" s="145"/>
      <c r="DB44" s="145"/>
      <c r="DC44" s="145"/>
    </row>
    <row r="45" spans="1:123" s="147" customFormat="1" ht="15.75" customHeight="1" thickBot="1" x14ac:dyDescent="0.25">
      <c r="A45" s="1141" t="s">
        <v>7941</v>
      </c>
      <c r="B45" s="1142"/>
      <c r="C45" s="1142"/>
      <c r="D45" s="1142"/>
      <c r="E45" s="1142"/>
      <c r="F45" s="1143"/>
      <c r="G45" s="1040"/>
      <c r="H45" s="610" t="s">
        <v>1</v>
      </c>
      <c r="I45" s="467" t="str">
        <f>IF(G45&gt;0.1,G45," ")</f>
        <v xml:space="preserve"> </v>
      </c>
      <c r="J45" s="470"/>
      <c r="K45" s="19"/>
      <c r="L45" s="145"/>
      <c r="M45" s="242"/>
      <c r="N45" s="239">
        <f>IF(I45=" ",0,I45)</f>
        <v>0</v>
      </c>
      <c r="O45" s="242"/>
      <c r="P45" s="242"/>
      <c r="Q45" s="242"/>
      <c r="R45" s="242"/>
      <c r="S45" s="242"/>
      <c r="T45" s="242"/>
      <c r="U45" s="242"/>
      <c r="V45" s="242"/>
      <c r="W45" s="373"/>
      <c r="X45" s="373"/>
      <c r="Y45" s="373"/>
      <c r="Z45" s="373"/>
      <c r="AA45" s="291"/>
      <c r="AB45" s="242"/>
      <c r="AC45" s="242"/>
      <c r="AD45" s="290"/>
      <c r="AE45" s="292"/>
      <c r="AF45" s="292"/>
      <c r="AG45" s="242"/>
      <c r="AH45" s="242"/>
      <c r="AI45" s="242"/>
      <c r="AJ45" s="291"/>
      <c r="AK45" s="242"/>
      <c r="AL45" s="290"/>
      <c r="AM45" s="292"/>
      <c r="AN45" s="242"/>
      <c r="AO45" s="242"/>
      <c r="AP45" s="242"/>
      <c r="AQ45" s="291"/>
      <c r="AR45" s="242"/>
      <c r="AS45" s="290"/>
      <c r="AT45" s="242"/>
      <c r="AU45" s="242"/>
      <c r="AV45" s="242"/>
      <c r="AW45" s="242"/>
      <c r="AX45" s="242"/>
      <c r="AY45" s="242"/>
      <c r="AZ45" s="242"/>
      <c r="BA45" s="242"/>
      <c r="BB45" s="242"/>
      <c r="BC45" s="242"/>
      <c r="BD45" s="242"/>
      <c r="BE45" s="242"/>
      <c r="BF45" s="242"/>
      <c r="BG45" s="242"/>
      <c r="BH45" s="242"/>
      <c r="BI45" s="242"/>
      <c r="BJ45" s="242"/>
      <c r="BK45" s="242"/>
      <c r="BL45" s="293"/>
      <c r="BM45" s="242"/>
      <c r="BN45" s="242"/>
      <c r="BO45" s="242"/>
      <c r="BP45" s="242"/>
      <c r="BQ45" s="242"/>
      <c r="BR45" s="242"/>
      <c r="BS45" s="242"/>
      <c r="BT45" s="242"/>
      <c r="BU45" s="242"/>
      <c r="BV45" s="242"/>
      <c r="BW45" s="242"/>
      <c r="BX45" s="242"/>
      <c r="BY45" s="242"/>
      <c r="BZ45" s="242"/>
      <c r="CA45" s="421"/>
      <c r="CB45" s="421"/>
      <c r="CC45" s="421"/>
      <c r="CD45" s="242"/>
      <c r="CE45" s="242"/>
      <c r="CF45" s="242"/>
      <c r="CG45" s="421"/>
      <c r="CH45" s="421"/>
      <c r="CI45" s="421"/>
      <c r="CJ45" s="294"/>
      <c r="CK45" s="294"/>
      <c r="CL45" s="286"/>
      <c r="CM45" s="287"/>
      <c r="CN45" s="242"/>
      <c r="CO45" s="242"/>
      <c r="CP45" s="242"/>
      <c r="CQ45" s="242"/>
      <c r="CR45" s="242"/>
      <c r="CS45" s="242"/>
      <c r="CT45" s="145"/>
      <c r="CU45" s="145"/>
      <c r="CV45" s="145"/>
      <c r="CW45" s="145"/>
      <c r="CX45" s="145"/>
      <c r="CY45" s="145"/>
      <c r="CZ45" s="145"/>
      <c r="DA45" s="145"/>
      <c r="DB45" s="145"/>
      <c r="DC45" s="145"/>
    </row>
    <row r="46" spans="1:123" s="147" customFormat="1" ht="21" customHeight="1" thickBot="1" x14ac:dyDescent="0.25">
      <c r="A46" s="595" t="s">
        <v>7876</v>
      </c>
      <c r="B46" s="589"/>
      <c r="C46" s="589"/>
      <c r="D46" s="590"/>
      <c r="E46" s="590"/>
      <c r="F46" s="590"/>
      <c r="G46" s="590"/>
      <c r="H46" s="596"/>
      <c r="I46" s="597"/>
      <c r="J46" s="204" t="str">
        <f>IF(N46=0," ",N46)</f>
        <v xml:space="preserve"> </v>
      </c>
      <c r="K46" s="20"/>
      <c r="L46" s="146"/>
      <c r="M46" s="298">
        <f>SUM(I23:I45)</f>
        <v>0</v>
      </c>
      <c r="N46" s="298">
        <f>SUM(J23:J45)</f>
        <v>0</v>
      </c>
      <c r="O46" s="299"/>
      <c r="P46" s="299"/>
      <c r="Q46" s="299"/>
      <c r="R46" s="299"/>
      <c r="S46" s="299"/>
      <c r="T46" s="299"/>
      <c r="U46" s="299"/>
      <c r="V46" s="299"/>
      <c r="W46" s="300">
        <f t="shared" ref="W46:AD46" si="80">SUM(W23:W45)</f>
        <v>0</v>
      </c>
      <c r="X46" s="300">
        <f t="shared" si="80"/>
        <v>0</v>
      </c>
      <c r="Y46" s="301">
        <f>SUM(Y23:Y45)</f>
        <v>0</v>
      </c>
      <c r="Z46" s="302">
        <f t="shared" si="80"/>
        <v>0</v>
      </c>
      <c r="AA46" s="300">
        <f t="shared" si="80"/>
        <v>0</v>
      </c>
      <c r="AB46" s="300">
        <f t="shared" si="80"/>
        <v>0</v>
      </c>
      <c r="AC46" s="301">
        <f t="shared" si="80"/>
        <v>0</v>
      </c>
      <c r="AD46" s="302">
        <f t="shared" si="80"/>
        <v>0</v>
      </c>
      <c r="AE46" s="303"/>
      <c r="AF46" s="303"/>
      <c r="AG46" s="300">
        <f t="shared" ref="AG46:AL46" si="81">SUM(AG23:AG45)</f>
        <v>0</v>
      </c>
      <c r="AH46" s="301">
        <f t="shared" si="81"/>
        <v>0</v>
      </c>
      <c r="AI46" s="302">
        <f t="shared" si="81"/>
        <v>0</v>
      </c>
      <c r="AJ46" s="300">
        <f t="shared" si="81"/>
        <v>0</v>
      </c>
      <c r="AK46" s="301">
        <f t="shared" si="81"/>
        <v>0</v>
      </c>
      <c r="AL46" s="302">
        <f t="shared" si="81"/>
        <v>0</v>
      </c>
      <c r="AM46" s="303"/>
      <c r="AN46" s="300">
        <f>SUM(AN23:AN45)</f>
        <v>0</v>
      </c>
      <c r="AO46" s="300">
        <f t="shared" ref="AO46:AS46" si="82">SUM(AO23:AO45)</f>
        <v>0</v>
      </c>
      <c r="AP46" s="304">
        <f>SUM(AP23:AP45)</f>
        <v>0</v>
      </c>
      <c r="AQ46" s="300">
        <f t="shared" si="82"/>
        <v>0</v>
      </c>
      <c r="AR46" s="300">
        <f t="shared" si="82"/>
        <v>0</v>
      </c>
      <c r="AS46" s="304">
        <f t="shared" si="82"/>
        <v>0</v>
      </c>
      <c r="AT46" s="299"/>
      <c r="AU46" s="299"/>
      <c r="AV46" s="299"/>
      <c r="AW46" s="299"/>
      <c r="AX46" s="299"/>
      <c r="AY46" s="299"/>
      <c r="AZ46" s="299"/>
      <c r="BA46" s="299"/>
      <c r="BB46" s="299"/>
      <c r="BC46" s="299"/>
      <c r="BD46" s="299"/>
      <c r="BE46" s="299"/>
      <c r="BF46" s="299"/>
      <c r="BG46" s="299"/>
      <c r="BH46" s="299"/>
      <c r="BI46" s="242"/>
      <c r="BJ46" s="242"/>
      <c r="BK46" s="242"/>
      <c r="BL46" s="305">
        <f>SUM(BL23:BL38)</f>
        <v>0</v>
      </c>
      <c r="BM46" s="242"/>
      <c r="BN46" s="242"/>
      <c r="BO46" s="242"/>
      <c r="BP46" s="242"/>
      <c r="BQ46" s="242"/>
      <c r="BR46" s="242"/>
      <c r="BS46" s="242"/>
      <c r="BT46" s="242"/>
      <c r="BU46" s="242"/>
      <c r="BV46" s="242"/>
      <c r="BW46" s="242"/>
      <c r="BX46" s="242"/>
      <c r="BY46" s="242"/>
      <c r="BZ46" s="242"/>
      <c r="CA46" s="421"/>
      <c r="CB46" s="421"/>
      <c r="CC46" s="421"/>
      <c r="CD46" s="242"/>
      <c r="CE46" s="242"/>
      <c r="CF46" s="242"/>
      <c r="CG46" s="421"/>
      <c r="CH46" s="421"/>
      <c r="CI46" s="421"/>
      <c r="CJ46" s="294"/>
      <c r="CK46" s="294"/>
      <c r="CL46" s="286"/>
      <c r="CM46" s="287"/>
      <c r="CN46" s="242"/>
      <c r="CO46" s="242"/>
      <c r="CP46" s="242"/>
      <c r="CQ46" s="242"/>
      <c r="CR46" s="242"/>
      <c r="CS46" s="242"/>
      <c r="CT46" s="145"/>
      <c r="CU46" s="145"/>
      <c r="CV46" s="145"/>
      <c r="CW46" s="145"/>
      <c r="CX46" s="145"/>
      <c r="CY46" s="145"/>
      <c r="CZ46" s="145"/>
      <c r="DA46" s="145"/>
      <c r="DB46" s="145"/>
      <c r="DC46" s="145"/>
    </row>
    <row r="47" spans="1:123" s="149" customFormat="1" ht="22.5" customHeight="1" thickBot="1" x14ac:dyDescent="0.25">
      <c r="A47" s="561" t="s">
        <v>7875</v>
      </c>
      <c r="B47" s="562"/>
      <c r="C47" s="562"/>
      <c r="D47" s="563"/>
      <c r="E47" s="563"/>
      <c r="F47" s="563"/>
      <c r="G47" s="563"/>
      <c r="H47" s="598"/>
      <c r="I47" s="218" t="str">
        <f>IF(M46=0," ",M46)</f>
        <v xml:space="preserve"> </v>
      </c>
      <c r="J47" s="218" t="str">
        <f>IF(N47=0," ",N47)</f>
        <v xml:space="preserve"> </v>
      </c>
      <c r="K47" s="121"/>
      <c r="L47" s="306"/>
      <c r="M47" s="307"/>
      <c r="N47" s="308">
        <f>SUM(N23:N38)</f>
        <v>0</v>
      </c>
      <c r="O47" s="307"/>
      <c r="P47" s="308">
        <f>SUM(P23:P38)+SUM(I40:I45)</f>
        <v>0</v>
      </c>
      <c r="Q47" s="307"/>
      <c r="R47" s="308">
        <f>SUM(R23:R38)+SUM(I40:I45)</f>
        <v>0</v>
      </c>
      <c r="S47" s="307"/>
      <c r="T47" s="308">
        <f>SUM(T23:T38)</f>
        <v>0</v>
      </c>
      <c r="U47" s="307"/>
      <c r="V47" s="307"/>
      <c r="W47" s="307"/>
      <c r="X47" s="307"/>
      <c r="Y47" s="307"/>
      <c r="Z47" s="307"/>
      <c r="AA47" s="307"/>
      <c r="AB47" s="307"/>
      <c r="AC47" s="307"/>
      <c r="AD47" s="307"/>
      <c r="AE47" s="307"/>
      <c r="AF47" s="307"/>
      <c r="AG47" s="307"/>
      <c r="AH47" s="307"/>
      <c r="AI47" s="307"/>
      <c r="AJ47" s="307"/>
      <c r="AK47" s="307"/>
      <c r="AL47" s="307"/>
      <c r="AM47" s="307"/>
      <c r="AN47" s="307"/>
      <c r="AO47" s="307"/>
      <c r="AP47" s="307"/>
      <c r="AQ47" s="307"/>
      <c r="AR47" s="307"/>
      <c r="AS47" s="307"/>
      <c r="AT47" s="307"/>
      <c r="AU47" s="307"/>
      <c r="AV47" s="307"/>
      <c r="AW47" s="307"/>
      <c r="AX47" s="307"/>
      <c r="AY47" s="307"/>
      <c r="AZ47" s="307"/>
      <c r="BA47" s="307"/>
      <c r="BB47" s="307"/>
      <c r="BC47" s="307"/>
      <c r="BD47" s="307"/>
      <c r="BE47" s="307"/>
      <c r="BF47" s="307"/>
      <c r="BG47" s="307"/>
      <c r="BH47" s="307"/>
      <c r="BI47" s="309"/>
      <c r="BJ47" s="309"/>
      <c r="BK47" s="309"/>
      <c r="BL47" s="310"/>
      <c r="BM47" s="309"/>
      <c r="BN47" s="309"/>
      <c r="BO47" s="309"/>
      <c r="BP47" s="309"/>
      <c r="BQ47" s="309"/>
      <c r="BR47" s="309"/>
      <c r="BS47" s="309"/>
      <c r="BT47" s="309"/>
      <c r="BU47" s="309"/>
      <c r="BV47" s="309"/>
      <c r="BW47" s="309"/>
      <c r="BX47" s="309"/>
      <c r="BY47" s="309"/>
      <c r="BZ47" s="309"/>
      <c r="CA47" s="309"/>
      <c r="CB47" s="309"/>
      <c r="CC47" s="309"/>
      <c r="CD47" s="309"/>
      <c r="CE47" s="309"/>
      <c r="CF47" s="309"/>
      <c r="CG47" s="309"/>
      <c r="CH47" s="309"/>
      <c r="CI47" s="309"/>
      <c r="CJ47" s="311"/>
      <c r="CK47" s="311"/>
      <c r="CL47" s="286"/>
      <c r="CM47" s="287"/>
      <c r="CN47" s="309"/>
      <c r="CO47" s="309"/>
      <c r="CP47" s="309"/>
      <c r="CQ47" s="309"/>
      <c r="CR47" s="309"/>
      <c r="CS47" s="309"/>
      <c r="CT47" s="148"/>
      <c r="CU47" s="148"/>
      <c r="CV47" s="148"/>
      <c r="CW47" s="148"/>
      <c r="CX47" s="148"/>
      <c r="CY47" s="148"/>
      <c r="CZ47" s="148"/>
      <c r="DA47" s="148"/>
      <c r="DB47" s="148"/>
      <c r="DC47" s="148"/>
    </row>
    <row r="48" spans="1:123" s="147" customFormat="1" ht="12" customHeight="1" x14ac:dyDescent="0.2">
      <c r="A48" s="416"/>
      <c r="B48" s="419"/>
      <c r="C48" s="419"/>
      <c r="D48" s="569"/>
      <c r="E48" s="217" t="str">
        <f>IF(SUM(L23:L38)&gt;0,"Abweichende Werte unvollständig","")</f>
        <v/>
      </c>
      <c r="F48" s="569"/>
      <c r="G48" s="569"/>
      <c r="H48" s="569"/>
      <c r="I48" s="599"/>
      <c r="J48" s="600"/>
      <c r="K48" s="20"/>
      <c r="L48" s="146"/>
      <c r="M48" s="299"/>
      <c r="N48" s="299"/>
      <c r="O48" s="299"/>
      <c r="P48" s="319" t="e">
        <f>+P47/M46</f>
        <v>#DIV/0!</v>
      </c>
      <c r="Q48" s="299" t="s">
        <v>2</v>
      </c>
      <c r="R48" s="319" t="e">
        <f>+R47/M46</f>
        <v>#DIV/0!</v>
      </c>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42"/>
      <c r="BJ48" s="242"/>
      <c r="BK48" s="242"/>
      <c r="BL48" s="312"/>
      <c r="BM48" s="242"/>
      <c r="BN48" s="242"/>
      <c r="BO48" s="242"/>
      <c r="BP48" s="242"/>
      <c r="BQ48" s="242"/>
      <c r="BR48" s="242"/>
      <c r="BS48" s="242"/>
      <c r="BT48" s="242"/>
      <c r="BU48" s="242"/>
      <c r="BV48" s="242"/>
      <c r="BW48" s="242"/>
      <c r="BX48" s="242"/>
      <c r="BY48" s="242"/>
      <c r="BZ48" s="242"/>
      <c r="CA48" s="421"/>
      <c r="CB48" s="421"/>
      <c r="CC48" s="421"/>
      <c r="CD48" s="242"/>
      <c r="CE48" s="242"/>
      <c r="CF48" s="242"/>
      <c r="CG48" s="421"/>
      <c r="CH48" s="421"/>
      <c r="CI48" s="421"/>
      <c r="CJ48" s="294"/>
      <c r="CK48" s="294"/>
      <c r="CL48" s="286"/>
      <c r="CM48" s="287"/>
      <c r="CN48" s="242"/>
      <c r="CO48" s="242"/>
      <c r="CP48" s="242"/>
      <c r="CQ48" s="242"/>
      <c r="CR48" s="242"/>
      <c r="CS48" s="242"/>
      <c r="CT48" s="145"/>
      <c r="CU48" s="145"/>
      <c r="CV48" s="145"/>
      <c r="CW48" s="145"/>
      <c r="CX48" s="145"/>
      <c r="CY48" s="145"/>
      <c r="CZ48" s="145"/>
      <c r="DA48" s="145"/>
      <c r="DB48" s="145"/>
      <c r="DC48" s="145"/>
    </row>
    <row r="49" spans="1:107" s="151" customFormat="1" ht="12" customHeight="1" x14ac:dyDescent="0.2">
      <c r="A49" s="1333" t="s">
        <v>481</v>
      </c>
      <c r="B49" s="1334"/>
      <c r="C49" s="601" t="s">
        <v>329</v>
      </c>
      <c r="D49" s="602" t="s">
        <v>4</v>
      </c>
      <c r="E49" s="363" t="s">
        <v>461</v>
      </c>
      <c r="F49" s="602" t="s">
        <v>337</v>
      </c>
      <c r="G49" s="363" t="s">
        <v>338</v>
      </c>
      <c r="H49" s="1296" t="s">
        <v>488</v>
      </c>
      <c r="I49" s="1296"/>
      <c r="J49" s="1296"/>
      <c r="K49" s="116"/>
      <c r="L49" s="313"/>
      <c r="M49" s="314"/>
      <c r="N49" s="315" t="str">
        <f>C50</f>
        <v xml:space="preserve"> </v>
      </c>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6"/>
      <c r="BJ49" s="316"/>
      <c r="BK49" s="316"/>
      <c r="BL49" s="317"/>
      <c r="BM49" s="316"/>
      <c r="BN49" s="316"/>
      <c r="BO49" s="316"/>
      <c r="BP49" s="316"/>
      <c r="BQ49" s="316"/>
      <c r="BR49" s="316"/>
      <c r="BS49" s="316"/>
      <c r="BT49" s="316"/>
      <c r="BU49" s="316"/>
      <c r="BV49" s="316"/>
      <c r="BW49" s="316"/>
      <c r="BX49" s="316"/>
      <c r="BY49" s="316"/>
      <c r="BZ49" s="316"/>
      <c r="CA49" s="316"/>
      <c r="CB49" s="316"/>
      <c r="CC49" s="316"/>
      <c r="CD49" s="316"/>
      <c r="CE49" s="316"/>
      <c r="CF49" s="316"/>
      <c r="CG49" s="316"/>
      <c r="CH49" s="316"/>
      <c r="CI49" s="316"/>
      <c r="CJ49" s="318"/>
      <c r="CK49" s="318"/>
      <c r="CL49" s="286"/>
      <c r="CM49" s="287"/>
      <c r="CN49" s="316"/>
      <c r="CO49" s="316"/>
      <c r="CP49" s="316"/>
      <c r="CQ49" s="316"/>
      <c r="CR49" s="316"/>
      <c r="CS49" s="316"/>
      <c r="CT49" s="150"/>
      <c r="CU49" s="150"/>
      <c r="CV49" s="150"/>
      <c r="CW49" s="150"/>
      <c r="CX49" s="150"/>
      <c r="CY49" s="150"/>
      <c r="CZ49" s="150"/>
      <c r="DA49" s="150"/>
      <c r="DB49" s="150"/>
      <c r="DC49" s="150"/>
    </row>
    <row r="50" spans="1:107" s="151" customFormat="1" ht="10.5" customHeight="1" x14ac:dyDescent="0.2">
      <c r="A50" s="603" t="s">
        <v>287</v>
      </c>
      <c r="B50" s="604"/>
      <c r="C50" s="205" t="str">
        <f>IF($M46=0," ",IF(AE52+AF52=0,"0,00",(AE52*CN40+AF52*CO40)/(CN40+CO40+N40+N41+N42+N43+N44+N45)))</f>
        <v xml:space="preserve"> </v>
      </c>
      <c r="D50" s="206" t="str">
        <f>IF($M46=0," ",(W52+AA52)/2)</f>
        <v xml:space="preserve"> </v>
      </c>
      <c r="E50" s="364" t="str">
        <f>IF($M46=0," ",CV40/M46)</f>
        <v xml:space="preserve"> </v>
      </c>
      <c r="F50" s="206" t="str">
        <f>IF($M46=0," ",(Y52+AC52)/2)</f>
        <v xml:space="preserve"> </v>
      </c>
      <c r="G50" s="206" t="str">
        <f>IF($M46=0," ",(Z52+AD52)/2)</f>
        <v xml:space="preserve"> </v>
      </c>
      <c r="H50" s="1330" t="str">
        <f>IF(SUM(Z56:Z59)=0,"---",W54)</f>
        <v>---</v>
      </c>
      <c r="I50" s="1296"/>
      <c r="J50" s="1296"/>
      <c r="K50" s="116"/>
      <c r="L50" s="313"/>
      <c r="O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6"/>
      <c r="BJ50" s="316"/>
      <c r="BK50" s="316"/>
      <c r="BL50" s="317"/>
      <c r="BM50" s="316"/>
      <c r="BN50" s="316"/>
      <c r="BO50" s="316"/>
      <c r="BP50" s="316"/>
      <c r="BQ50" s="316"/>
      <c r="BR50" s="316"/>
      <c r="BS50" s="316"/>
      <c r="BT50" s="316"/>
      <c r="BU50" s="316"/>
      <c r="BV50" s="316"/>
      <c r="BW50" s="316"/>
      <c r="BX50" s="316"/>
      <c r="BY50" s="316"/>
      <c r="BZ50" s="316"/>
      <c r="CA50" s="316"/>
      <c r="CB50" s="316"/>
      <c r="CC50" s="316"/>
      <c r="CD50" s="316"/>
      <c r="CE50" s="316"/>
      <c r="CF50" s="316"/>
      <c r="CG50" s="316"/>
      <c r="CH50" s="316"/>
      <c r="CI50" s="316"/>
      <c r="CJ50" s="318"/>
      <c r="CK50" s="318"/>
      <c r="CL50" s="286"/>
      <c r="CM50" s="287"/>
      <c r="CN50" s="316"/>
      <c r="CO50" s="316"/>
      <c r="CP50" s="316"/>
      <c r="CQ50" s="316"/>
      <c r="CR50" s="316"/>
      <c r="CS50" s="316"/>
      <c r="CT50" s="150"/>
      <c r="CU50" s="150"/>
      <c r="CV50" s="150"/>
      <c r="CW50" s="150"/>
      <c r="CX50" s="150"/>
      <c r="CY50" s="150"/>
      <c r="CZ50" s="150"/>
      <c r="DA50" s="150"/>
      <c r="DB50" s="150"/>
      <c r="DC50" s="150"/>
    </row>
    <row r="51" spans="1:107" s="151" customFormat="1" ht="10.5" customHeight="1" x14ac:dyDescent="0.2">
      <c r="A51" s="605" t="s">
        <v>288</v>
      </c>
      <c r="B51" s="606"/>
      <c r="C51" s="207" t="str">
        <f>IF(N46=0," ",AM54)</f>
        <v xml:space="preserve"> </v>
      </c>
      <c r="D51" s="206" t="str">
        <f>IF($N46=0," ",(AG52+AJ52)/2)</f>
        <v xml:space="preserve"> </v>
      </c>
      <c r="E51" s="364" t="str">
        <f>IF($N46=0," ",CW40/N46)</f>
        <v xml:space="preserve"> </v>
      </c>
      <c r="F51" s="206" t="str">
        <f>IF($N46=0," ",(AH52+AK52)/2)</f>
        <v xml:space="preserve"> </v>
      </c>
      <c r="G51" s="206" t="str">
        <f>IF($N46=0," ",(AI52+AL52)/2)</f>
        <v xml:space="preserve"> </v>
      </c>
      <c r="H51" s="1331"/>
      <c r="I51" s="1331"/>
      <c r="J51" s="1331"/>
      <c r="K51" s="116"/>
      <c r="L51" s="313"/>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6"/>
      <c r="BJ51" s="316"/>
      <c r="BK51" s="316"/>
      <c r="BL51" s="317"/>
      <c r="BM51" s="316"/>
      <c r="BN51" s="316"/>
      <c r="BO51" s="316"/>
      <c r="BP51" s="316"/>
      <c r="BQ51" s="316"/>
      <c r="BR51" s="316"/>
      <c r="BS51" s="316"/>
      <c r="BT51" s="316"/>
      <c r="BU51" s="316"/>
      <c r="BV51" s="316"/>
      <c r="BW51" s="316"/>
      <c r="BX51" s="316"/>
      <c r="BY51" s="316"/>
      <c r="BZ51" s="316"/>
      <c r="CA51" s="316"/>
      <c r="CB51" s="316"/>
      <c r="CC51" s="316"/>
      <c r="CD51" s="316"/>
      <c r="CE51" s="316"/>
      <c r="CF51" s="316"/>
      <c r="CG51" s="316"/>
      <c r="CH51" s="316"/>
      <c r="CI51" s="316"/>
      <c r="CJ51" s="318"/>
      <c r="CK51" s="318"/>
      <c r="CL51" s="286"/>
      <c r="CM51" s="287"/>
      <c r="CN51" s="316"/>
      <c r="CO51" s="316"/>
      <c r="CP51" s="316"/>
      <c r="CQ51" s="316"/>
      <c r="CR51" s="316"/>
      <c r="CS51" s="316"/>
      <c r="CT51" s="150"/>
      <c r="CU51" s="150"/>
      <c r="CV51" s="150"/>
      <c r="CW51" s="150"/>
      <c r="CX51" s="150"/>
      <c r="CY51" s="150"/>
      <c r="CZ51" s="150"/>
      <c r="DA51" s="150"/>
      <c r="DB51" s="150"/>
      <c r="DC51" s="150"/>
    </row>
    <row r="52" spans="1:107" s="147" customFormat="1" ht="14.25" customHeight="1" x14ac:dyDescent="0.2">
      <c r="A52" s="1329"/>
      <c r="B52" s="1329"/>
      <c r="C52" s="1329"/>
      <c r="D52" s="1329"/>
      <c r="E52" s="1329"/>
      <c r="F52" s="1329"/>
      <c r="G52" s="1329"/>
      <c r="H52" s="1329"/>
      <c r="I52" s="1329"/>
      <c r="J52" s="1329"/>
      <c r="K52" s="20"/>
      <c r="L52" s="146"/>
      <c r="M52" s="299"/>
      <c r="N52" s="299"/>
      <c r="O52" s="299"/>
      <c r="P52" s="299"/>
      <c r="Q52" s="299"/>
      <c r="R52" s="299"/>
      <c r="S52" s="299"/>
      <c r="T52" s="299"/>
      <c r="U52" s="299"/>
      <c r="V52" s="299"/>
      <c r="W52" s="147" t="e">
        <f>+W46/$M46</f>
        <v>#DIV/0!</v>
      </c>
      <c r="Y52" s="147" t="e">
        <f>+Y46/$M46</f>
        <v>#DIV/0!</v>
      </c>
      <c r="Z52" s="147" t="e">
        <f>+Z46/$M46</f>
        <v>#DIV/0!</v>
      </c>
      <c r="AA52" s="319" t="e">
        <f>+AA46/$M46</f>
        <v>#DIV/0!</v>
      </c>
      <c r="AB52" s="319"/>
      <c r="AC52" s="319" t="e">
        <f>+AC46/$M46</f>
        <v>#DIV/0!</v>
      </c>
      <c r="AD52" s="319" t="e">
        <f>+AD46/$M46</f>
        <v>#DIV/0!</v>
      </c>
      <c r="AE52" s="319">
        <f>SUMPRODUCT(AE23:AE38,$CN23:$CN38)/CN41</f>
        <v>0</v>
      </c>
      <c r="AF52" s="319">
        <f>SUMPRODUCT(AF23:AF38,$CO23:$CO38)/CO41</f>
        <v>0</v>
      </c>
      <c r="AG52" s="319" t="e">
        <f>+(AG46+AN46)/$N46</f>
        <v>#DIV/0!</v>
      </c>
      <c r="AH52" s="319" t="e">
        <f t="shared" ref="AH52:AL52" si="83">+(AH46+AO46)/$N46</f>
        <v>#DIV/0!</v>
      </c>
      <c r="AI52" s="319" t="e">
        <f t="shared" si="83"/>
        <v>#DIV/0!</v>
      </c>
      <c r="AJ52" s="319" t="e">
        <f t="shared" si="83"/>
        <v>#DIV/0!</v>
      </c>
      <c r="AK52" s="319" t="e">
        <f t="shared" si="83"/>
        <v>#DIV/0!</v>
      </c>
      <c r="AL52" s="319" t="e">
        <f t="shared" si="83"/>
        <v>#DIV/0!</v>
      </c>
      <c r="AM52" s="319" t="e">
        <f>SUMPRODUCT(AM23:AM38,$J23:$J38)/J46</f>
        <v>#VALUE!</v>
      </c>
      <c r="AN52" s="319"/>
      <c r="AO52" s="319"/>
      <c r="AP52" s="319"/>
      <c r="AQ52" s="319"/>
      <c r="AR52" s="319"/>
      <c r="AS52" s="319"/>
      <c r="AT52" s="320" t="s">
        <v>265</v>
      </c>
      <c r="AU52" s="299"/>
      <c r="AV52" s="299"/>
      <c r="AW52" s="299"/>
      <c r="AX52" s="299"/>
      <c r="AY52" s="299"/>
      <c r="AZ52" s="299"/>
      <c r="BA52" s="299"/>
      <c r="BB52" s="299"/>
      <c r="BC52" s="299"/>
      <c r="BD52" s="299"/>
      <c r="BE52" s="299"/>
      <c r="BF52" s="299"/>
      <c r="BG52" s="299"/>
      <c r="BH52" s="299"/>
      <c r="BI52" s="242"/>
      <c r="BJ52" s="242"/>
      <c r="BK52" s="242"/>
      <c r="BL52" s="242"/>
      <c r="BM52" s="242"/>
      <c r="BN52" s="242"/>
      <c r="BO52" s="242"/>
      <c r="BP52" s="242"/>
      <c r="BQ52" s="242"/>
      <c r="BR52" s="242"/>
      <c r="BS52" s="242"/>
      <c r="BT52" s="242"/>
      <c r="BU52" s="242"/>
      <c r="BV52" s="242"/>
      <c r="BW52" s="242"/>
      <c r="BX52" s="242"/>
      <c r="BY52" s="242"/>
      <c r="BZ52" s="242"/>
      <c r="CA52" s="421"/>
      <c r="CB52" s="421"/>
      <c r="CC52" s="421"/>
      <c r="CD52" s="242"/>
      <c r="CE52" s="242"/>
      <c r="CF52" s="242"/>
      <c r="CG52" s="421"/>
      <c r="CH52" s="421"/>
      <c r="CI52" s="421"/>
      <c r="CJ52" s="294"/>
      <c r="CK52" s="294"/>
      <c r="CL52" s="286"/>
      <c r="CM52" s="287"/>
      <c r="CN52" s="242"/>
      <c r="CO52" s="242"/>
      <c r="CP52" s="242"/>
      <c r="CQ52" s="242"/>
      <c r="CR52" s="242"/>
      <c r="CS52" s="242"/>
      <c r="CT52" s="145"/>
      <c r="CU52" s="145"/>
      <c r="CV52" s="145"/>
      <c r="CW52" s="145"/>
      <c r="CX52" s="145"/>
      <c r="CY52" s="145"/>
      <c r="CZ52" s="145"/>
      <c r="DA52" s="145"/>
      <c r="DB52" s="145"/>
      <c r="DC52" s="145"/>
    </row>
    <row r="53" spans="1:107" s="147" customFormat="1" ht="9" customHeight="1" thickBot="1" x14ac:dyDescent="0.25">
      <c r="A53" s="607"/>
      <c r="B53" s="607"/>
      <c r="C53" s="607"/>
      <c r="D53" s="607"/>
      <c r="E53" s="607"/>
      <c r="F53" s="607"/>
      <c r="G53" s="607"/>
      <c r="H53" s="607"/>
      <c r="I53" s="607"/>
      <c r="J53" s="145"/>
      <c r="K53" s="19"/>
      <c r="L53" s="145"/>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CJ53" s="294"/>
      <c r="CK53" s="294"/>
      <c r="CL53" s="286"/>
      <c r="CM53" s="287"/>
      <c r="CN53" s="242"/>
      <c r="CO53" s="242"/>
      <c r="CP53" s="145"/>
      <c r="CQ53" s="145"/>
      <c r="CR53" s="145"/>
      <c r="CS53" s="145"/>
      <c r="CT53" s="145"/>
      <c r="CU53" s="145"/>
      <c r="CV53" s="145"/>
      <c r="CW53" s="145"/>
      <c r="CX53" s="145"/>
      <c r="CY53" s="145"/>
    </row>
    <row r="54" spans="1:107" s="147" customFormat="1" ht="17.850000000000001" customHeight="1" thickBot="1" x14ac:dyDescent="0.25">
      <c r="A54" s="183" t="s">
        <v>7944</v>
      </c>
      <c r="B54" s="186"/>
      <c r="C54" s="186"/>
      <c r="D54" s="501"/>
      <c r="E54" s="186"/>
      <c r="F54" s="186"/>
      <c r="G54" s="186"/>
      <c r="H54" s="186"/>
      <c r="I54" s="186"/>
      <c r="J54" s="187"/>
      <c r="K54" s="19"/>
      <c r="L54" s="145"/>
      <c r="M54" s="242"/>
      <c r="N54" s="242"/>
      <c r="O54" s="242"/>
      <c r="P54" s="242"/>
      <c r="Q54" s="242"/>
      <c r="R54" s="242"/>
      <c r="S54" s="242"/>
      <c r="T54" s="242"/>
      <c r="U54" s="394" t="s">
        <v>488</v>
      </c>
      <c r="V54" s="395"/>
      <c r="W54" s="404" t="str">
        <f>CONCATENATE(Y54,AA54)</f>
        <v>Rinder - Jauche</v>
      </c>
      <c r="X54" s="396"/>
      <c r="Y54" s="404" t="str" cm="1">
        <f t="array" ref="Y54">INDEX(Tiere!$E$124:$E$127,MIN('Nährstoffe und Lagerraum'!AA56:AA59))</f>
        <v>Rinder</v>
      </c>
      <c r="Z54" s="396"/>
      <c r="AA54" s="405" t="str">
        <f>IF(CN40=0," - Jauche"," - Gülle")</f>
        <v xml:space="preserve"> - Jauche</v>
      </c>
      <c r="AB54" s="242"/>
      <c r="AC54" s="242"/>
      <c r="AD54" s="242"/>
      <c r="AE54" s="242" t="s">
        <v>519</v>
      </c>
      <c r="AF54" s="242"/>
      <c r="AG54" s="242" t="e">
        <f>AG46/$N$46</f>
        <v>#DIV/0!</v>
      </c>
      <c r="AH54" s="703" t="e">
        <f t="shared" ref="AH54:AL54" si="84">AH46/$N$46</f>
        <v>#DIV/0!</v>
      </c>
      <c r="AI54" s="703" t="e">
        <f t="shared" si="84"/>
        <v>#DIV/0!</v>
      </c>
      <c r="AJ54" s="703" t="e">
        <f t="shared" si="84"/>
        <v>#DIV/0!</v>
      </c>
      <c r="AK54" s="703" t="e">
        <f t="shared" si="84"/>
        <v>#DIV/0!</v>
      </c>
      <c r="AL54" s="703" t="e">
        <f t="shared" si="84"/>
        <v>#DIV/0!</v>
      </c>
      <c r="AM54" s="528" t="e">
        <f>IF(OR('Abweichende Werte'!Y61=0,'Abweichende Werte'!Y61&lt;'Abweichende Werte'!B52,DL42+DM42=0),AM52,(AM52/100*DP42-'Abweichende Werte'!B52*'Abweichende Werte'!I52/100+'Abweichende Werte'!Y61*'Abweichende Werte'!X61/100)/N46*100)</f>
        <v>#VALUE!</v>
      </c>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CJ54" s="294"/>
      <c r="CK54" s="294"/>
      <c r="CL54" s="286"/>
      <c r="CM54" s="287"/>
      <c r="CN54" s="242"/>
      <c r="CO54" s="242"/>
      <c r="CP54" s="145"/>
      <c r="CQ54" s="145"/>
      <c r="CR54" s="145"/>
      <c r="CS54" s="145"/>
      <c r="CT54" s="145"/>
      <c r="CU54" s="145"/>
      <c r="CV54" s="145"/>
      <c r="CW54" s="145"/>
      <c r="CX54" s="145"/>
      <c r="CY54" s="145"/>
    </row>
    <row r="55" spans="1:107" s="147" customFormat="1" ht="17.850000000000001" customHeight="1" x14ac:dyDescent="0.2">
      <c r="A55" s="1297" t="s">
        <v>7945</v>
      </c>
      <c r="B55" s="1298"/>
      <c r="C55" s="1298"/>
      <c r="D55" s="377">
        <f>CY39</f>
        <v>0</v>
      </c>
      <c r="E55" s="433" t="s">
        <v>4</v>
      </c>
      <c r="F55" s="22"/>
      <c r="G55" s="611"/>
      <c r="H55" s="607"/>
      <c r="I55" s="607"/>
      <c r="J55" s="145"/>
      <c r="K55" s="19"/>
      <c r="L55" s="145"/>
      <c r="M55" s="242"/>
      <c r="N55" s="242"/>
      <c r="O55" s="242"/>
      <c r="P55" s="242"/>
      <c r="Q55" s="242"/>
      <c r="R55" s="242"/>
      <c r="S55" s="242"/>
      <c r="T55" s="242"/>
      <c r="U55" s="397"/>
      <c r="V55" s="242"/>
      <c r="W55" s="241" t="s">
        <v>502</v>
      </c>
      <c r="X55" s="241" t="s">
        <v>503</v>
      </c>
      <c r="Y55" s="398"/>
      <c r="Z55" s="241" t="s">
        <v>504</v>
      </c>
      <c r="AA55" s="399"/>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CJ55" s="294"/>
      <c r="CK55" s="294"/>
      <c r="CL55" s="286"/>
      <c r="CM55" s="287"/>
      <c r="CN55" s="242"/>
      <c r="CO55" s="242"/>
      <c r="CP55" s="145"/>
      <c r="CQ55" s="145"/>
      <c r="CR55" s="145"/>
      <c r="CS55" s="145"/>
      <c r="CT55" s="145"/>
      <c r="CU55" s="145"/>
      <c r="CV55" s="145"/>
      <c r="CW55" s="145"/>
      <c r="CX55" s="145"/>
      <c r="CY55" s="145"/>
    </row>
    <row r="56" spans="1:107" s="147" customFormat="1" ht="17.850000000000001" customHeight="1" x14ac:dyDescent="0.2">
      <c r="A56" s="1299"/>
      <c r="B56" s="1298"/>
      <c r="C56" s="1298"/>
      <c r="D56" s="377">
        <f>CZ39</f>
        <v>0</v>
      </c>
      <c r="E56" s="433" t="s">
        <v>349</v>
      </c>
      <c r="F56" s="22"/>
      <c r="G56" s="607" t="str">
        <f>IF(OR(AND(D60&gt;0,E60=""),AND(D61&gt;0,E61=""),AND(D62&gt;0,E62=""),AND(D63&gt;0,E63=""),AND(D64&gt;0,E64="")),"Weideanteil fehlt","")</f>
        <v/>
      </c>
      <c r="H56" s="607"/>
      <c r="I56" s="607"/>
      <c r="J56" s="145"/>
      <c r="K56" s="19"/>
      <c r="L56" s="145"/>
      <c r="M56" s="242"/>
      <c r="N56" s="242"/>
      <c r="O56" s="242"/>
      <c r="P56" s="242"/>
      <c r="Q56" s="242"/>
      <c r="R56" s="242"/>
      <c r="S56" s="242"/>
      <c r="T56" s="242"/>
      <c r="U56" s="397">
        <v>1</v>
      </c>
      <c r="V56" s="242" t="s">
        <v>208</v>
      </c>
      <c r="W56" s="242">
        <f>SUMIF($BG$23:$BG$38,$U56,$W$23:$W$38)</f>
        <v>0</v>
      </c>
      <c r="X56" s="242">
        <f>SUMIF($BG$23:$BG$38,$U56,$AA$23:$AA$38)</f>
        <v>0</v>
      </c>
      <c r="Y56" s="242"/>
      <c r="Z56" s="242">
        <f>SUM(W56:X56)</f>
        <v>0</v>
      </c>
      <c r="AA56" s="400">
        <f>IF(Z56=MAX($Z$56:$Z$59),U56,"")</f>
        <v>1</v>
      </c>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CJ56" s="294"/>
      <c r="CK56" s="294"/>
      <c r="CL56" s="286"/>
      <c r="CM56" s="287"/>
      <c r="CN56" s="242"/>
      <c r="CO56" s="242"/>
      <c r="CP56" s="145"/>
      <c r="CQ56" s="145"/>
      <c r="CR56" s="145"/>
      <c r="CS56" s="145"/>
      <c r="CT56" s="145"/>
      <c r="CU56" s="145"/>
      <c r="CV56" s="145"/>
      <c r="CW56" s="145"/>
      <c r="CX56" s="145"/>
      <c r="CY56" s="145"/>
    </row>
    <row r="57" spans="1:107" s="147" customFormat="1" ht="17.850000000000001" customHeight="1" thickBot="1" x14ac:dyDescent="0.25">
      <c r="A57" s="1300"/>
      <c r="B57" s="1301"/>
      <c r="C57" s="1301"/>
      <c r="D57" s="379">
        <f>DA39</f>
        <v>0</v>
      </c>
      <c r="E57" s="434" t="s">
        <v>350</v>
      </c>
      <c r="F57" s="22"/>
      <c r="G57" s="611" t="str">
        <f>IF(CY39&gt;0,IF(M65&lt;0.1,"Flächenangabe fehlt",IF(SUM(D60:D64)&gt;M5,"Weidefläche nicht plausibel"," "))," ")</f>
        <v xml:space="preserve"> </v>
      </c>
      <c r="H57" s="607"/>
      <c r="I57" s="607"/>
      <c r="J57" s="145"/>
      <c r="K57" s="19"/>
      <c r="L57" s="145"/>
      <c r="M57" s="242"/>
      <c r="N57" s="242"/>
      <c r="O57" s="242"/>
      <c r="P57" s="242"/>
      <c r="Q57" s="242"/>
      <c r="R57" s="242"/>
      <c r="S57" s="242"/>
      <c r="T57" s="242"/>
      <c r="U57" s="397">
        <v>2</v>
      </c>
      <c r="V57" s="242" t="s">
        <v>214</v>
      </c>
      <c r="W57" s="242">
        <f>SUMIF($BG$23:$BG$38,$U57,$W$23:$W$38)</f>
        <v>0</v>
      </c>
      <c r="X57" s="242">
        <f>SUMIF($BG$23:$BG$38,$U57,$AA$23:$AA$38)</f>
        <v>0</v>
      </c>
      <c r="Y57" s="242"/>
      <c r="Z57" s="242">
        <f t="shared" ref="Z57:Z59" si="85">SUM(W57:X57)</f>
        <v>0</v>
      </c>
      <c r="AA57" s="400">
        <f t="shared" ref="AA57:AA59" si="86">IF(Z57=MAX($Z$56:$Z$59),U57,"")</f>
        <v>2</v>
      </c>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c r="BQ57" s="242"/>
      <c r="BR57" s="242"/>
      <c r="BS57" s="242"/>
      <c r="BT57" s="242"/>
      <c r="BU57" s="242"/>
      <c r="BV57" s="242"/>
      <c r="BW57" s="242"/>
      <c r="BX57" s="242"/>
      <c r="BY57" s="242"/>
      <c r="CJ57" s="294"/>
      <c r="CK57" s="294"/>
      <c r="CL57" s="286"/>
      <c r="CM57" s="287"/>
      <c r="CN57" s="242"/>
      <c r="CO57" s="242"/>
      <c r="CP57" s="145"/>
      <c r="CQ57" s="145"/>
      <c r="CR57" s="145"/>
      <c r="CS57" s="145"/>
      <c r="CT57" s="145"/>
      <c r="CU57" s="145"/>
      <c r="CV57" s="145"/>
      <c r="CW57" s="145"/>
      <c r="CX57" s="145"/>
      <c r="CY57" s="145"/>
    </row>
    <row r="58" spans="1:107" s="147" customFormat="1" ht="17.850000000000001" customHeight="1" x14ac:dyDescent="0.2">
      <c r="A58" s="1306" t="s">
        <v>534</v>
      </c>
      <c r="B58" s="1307"/>
      <c r="C58" s="1308"/>
      <c r="D58" s="1316" t="s">
        <v>509</v>
      </c>
      <c r="E58" s="1312" t="s">
        <v>7628</v>
      </c>
      <c r="F58" s="1313"/>
      <c r="G58" s="1320" t="s">
        <v>4</v>
      </c>
      <c r="H58" s="1321"/>
      <c r="I58" s="435" t="s">
        <v>349</v>
      </c>
      <c r="J58" s="436" t="s">
        <v>350</v>
      </c>
      <c r="K58" s="19"/>
      <c r="L58" s="145"/>
      <c r="M58" s="380" t="s">
        <v>486</v>
      </c>
      <c r="N58" s="380"/>
      <c r="O58" s="380"/>
      <c r="P58" s="380"/>
      <c r="Q58" s="380"/>
      <c r="R58" s="380"/>
      <c r="S58" s="242"/>
      <c r="T58" s="242"/>
      <c r="U58" s="397">
        <v>3</v>
      </c>
      <c r="V58" s="242" t="s">
        <v>86</v>
      </c>
      <c r="W58" s="242">
        <f>SUMIF($BG$23:$BG$38,$U58,$W$23:$W$38)</f>
        <v>0</v>
      </c>
      <c r="X58" s="242">
        <f>SUMIF($BG$23:$BG$38,$U58,$AA$23:$AA$38)</f>
        <v>0</v>
      </c>
      <c r="Y58" s="242"/>
      <c r="Z58" s="242">
        <f t="shared" si="85"/>
        <v>0</v>
      </c>
      <c r="AA58" s="400">
        <f t="shared" si="86"/>
        <v>3</v>
      </c>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CJ58" s="294"/>
      <c r="CK58" s="294"/>
      <c r="CL58" s="286"/>
      <c r="CM58" s="287"/>
      <c r="CN58" s="242"/>
      <c r="CO58" s="242"/>
      <c r="CP58" s="145"/>
      <c r="CQ58" s="145"/>
      <c r="CR58" s="145"/>
      <c r="CS58" s="145"/>
      <c r="CT58" s="145"/>
      <c r="CU58" s="145"/>
      <c r="CV58" s="145"/>
      <c r="CW58" s="145"/>
      <c r="CX58" s="145"/>
      <c r="CY58" s="145"/>
    </row>
    <row r="59" spans="1:107" s="147" customFormat="1" ht="17.850000000000001" customHeight="1" thickBot="1" x14ac:dyDescent="0.25">
      <c r="A59" s="1309"/>
      <c r="B59" s="1310"/>
      <c r="C59" s="1311"/>
      <c r="D59" s="1317"/>
      <c r="E59" s="1314"/>
      <c r="F59" s="1315"/>
      <c r="G59" s="1322" t="s">
        <v>535</v>
      </c>
      <c r="H59" s="1323"/>
      <c r="I59" s="1323"/>
      <c r="J59" s="1324"/>
      <c r="K59" s="19"/>
      <c r="L59" s="242"/>
      <c r="M59" s="381"/>
      <c r="N59" s="381" t="s">
        <v>485</v>
      </c>
      <c r="O59" s="380"/>
      <c r="P59" s="380" t="s">
        <v>4</v>
      </c>
      <c r="Q59" s="380" t="s">
        <v>483</v>
      </c>
      <c r="R59" s="380" t="s">
        <v>484</v>
      </c>
      <c r="S59" s="242"/>
      <c r="T59" s="242"/>
      <c r="U59" s="401">
        <v>4</v>
      </c>
      <c r="V59" s="402" t="s">
        <v>505</v>
      </c>
      <c r="W59" s="402">
        <f>SUMIF($BG$23:$BG$38,$U59,$W$23:$W$38)</f>
        <v>0</v>
      </c>
      <c r="X59" s="402">
        <f>SUMIF($BG$23:$BG$38,$U59,$AA$23:$AA$38)</f>
        <v>0</v>
      </c>
      <c r="Y59" s="402"/>
      <c r="Z59" s="402">
        <f t="shared" si="85"/>
        <v>0</v>
      </c>
      <c r="AA59" s="403">
        <f t="shared" si="86"/>
        <v>4</v>
      </c>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CJ59" s="294"/>
      <c r="CK59" s="294"/>
      <c r="CL59" s="286"/>
      <c r="CM59" s="287"/>
      <c r="CN59" s="242"/>
      <c r="CO59" s="242"/>
      <c r="CP59" s="145"/>
      <c r="CQ59" s="145"/>
      <c r="CR59" s="145"/>
      <c r="CS59" s="145"/>
      <c r="CT59" s="145"/>
      <c r="CU59" s="145"/>
      <c r="CV59" s="145"/>
      <c r="CW59" s="145"/>
      <c r="CX59" s="145"/>
      <c r="CY59" s="145"/>
    </row>
    <row r="60" spans="1:107" s="147" customFormat="1" ht="17.850000000000001" customHeight="1" x14ac:dyDescent="0.2">
      <c r="A60" s="1318"/>
      <c r="B60" s="1319"/>
      <c r="C60" s="1303"/>
      <c r="D60" s="1041"/>
      <c r="E60" s="1302">
        <v>100</v>
      </c>
      <c r="F60" s="1303"/>
      <c r="G60" s="1325" t="str">
        <f>P60</f>
        <v/>
      </c>
      <c r="H60" s="1326"/>
      <c r="I60" s="612" t="str">
        <f t="shared" ref="I60:J64" si="87">Q60</f>
        <v/>
      </c>
      <c r="J60" s="613" t="str">
        <f t="shared" si="87"/>
        <v/>
      </c>
      <c r="K60" s="19"/>
      <c r="L60" s="242"/>
      <c r="M60" s="380">
        <f>D60*E60/100</f>
        <v>0</v>
      </c>
      <c r="N60" s="382" t="e">
        <f>M60/$M$65</f>
        <v>#DIV/0!</v>
      </c>
      <c r="O60" s="380"/>
      <c r="P60" s="380" t="str">
        <f>IFERROR($D$55*N60/D60,"")</f>
        <v/>
      </c>
      <c r="Q60" s="380" t="str">
        <f>IFERROR($D$56*N60/D60,"")</f>
        <v/>
      </c>
      <c r="R60" s="380" t="str">
        <f>IFERROR($D$57*N60/D60,"")</f>
        <v/>
      </c>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CJ60" s="294"/>
      <c r="CK60" s="294"/>
      <c r="CL60" s="286"/>
      <c r="CM60" s="287"/>
      <c r="CN60" s="242"/>
      <c r="CO60" s="242"/>
      <c r="CP60" s="145"/>
      <c r="CQ60" s="145"/>
      <c r="CR60" s="145"/>
      <c r="CS60" s="145"/>
      <c r="CT60" s="145"/>
      <c r="CU60" s="145"/>
      <c r="CV60" s="145"/>
      <c r="CW60" s="145"/>
      <c r="CX60" s="145"/>
      <c r="CY60" s="145"/>
    </row>
    <row r="61" spans="1:107" s="147" customFormat="1" ht="17.850000000000001" customHeight="1" x14ac:dyDescent="0.2">
      <c r="A61" s="1290"/>
      <c r="B61" s="1291"/>
      <c r="C61" s="1292"/>
      <c r="D61" s="1042"/>
      <c r="E61" s="1304">
        <v>60</v>
      </c>
      <c r="F61" s="1292"/>
      <c r="G61" s="1327" t="str">
        <f>P61</f>
        <v/>
      </c>
      <c r="H61" s="1328"/>
      <c r="I61" s="614" t="str">
        <f t="shared" si="87"/>
        <v/>
      </c>
      <c r="J61" s="615" t="str">
        <f t="shared" si="87"/>
        <v/>
      </c>
      <c r="K61" s="19"/>
      <c r="L61" s="242"/>
      <c r="M61" s="380">
        <f>D61*E61/100</f>
        <v>0</v>
      </c>
      <c r="N61" s="382" t="e">
        <f>M61/$M$65</f>
        <v>#DIV/0!</v>
      </c>
      <c r="O61" s="380"/>
      <c r="P61" s="380" t="str">
        <f>IFERROR($D$55*N61/D61,"")</f>
        <v/>
      </c>
      <c r="Q61" s="380" t="str">
        <f>IFERROR($D$56*N61/D61,"")</f>
        <v/>
      </c>
      <c r="R61" s="380" t="str">
        <f>IFERROR($D$57*N61/D61,"")</f>
        <v/>
      </c>
      <c r="S61" s="242"/>
      <c r="T61" s="242"/>
      <c r="U61" s="242"/>
      <c r="V61" s="242"/>
      <c r="W61" s="242"/>
      <c r="X61" s="242"/>
      <c r="Y61" s="242"/>
      <c r="Z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CJ61" s="294"/>
      <c r="CK61" s="294"/>
      <c r="CL61" s="286"/>
      <c r="CM61" s="287"/>
      <c r="CN61" s="242"/>
      <c r="CO61" s="242"/>
      <c r="CP61" s="145"/>
      <c r="CQ61" s="145"/>
      <c r="CR61" s="145"/>
      <c r="CS61" s="145"/>
      <c r="CT61" s="145"/>
      <c r="CU61" s="145"/>
      <c r="CV61" s="145"/>
      <c r="CW61" s="145"/>
      <c r="CX61" s="145"/>
      <c r="CY61" s="145"/>
    </row>
    <row r="62" spans="1:107" s="147" customFormat="1" ht="17.850000000000001" customHeight="1" x14ac:dyDescent="0.2">
      <c r="A62" s="1290"/>
      <c r="B62" s="1291"/>
      <c r="C62" s="1292"/>
      <c r="D62" s="1042"/>
      <c r="E62" s="1304">
        <v>20</v>
      </c>
      <c r="F62" s="1292"/>
      <c r="G62" s="1327" t="str">
        <f>P62</f>
        <v/>
      </c>
      <c r="H62" s="1328"/>
      <c r="I62" s="614" t="str">
        <f t="shared" si="87"/>
        <v/>
      </c>
      <c r="J62" s="615" t="str">
        <f t="shared" si="87"/>
        <v/>
      </c>
      <c r="K62" s="19"/>
      <c r="L62" s="242"/>
      <c r="M62" s="380">
        <f>D62*E62/100</f>
        <v>0</v>
      </c>
      <c r="N62" s="382" t="e">
        <f>M62/$M$65</f>
        <v>#DIV/0!</v>
      </c>
      <c r="O62" s="380"/>
      <c r="P62" s="380" t="str">
        <f>IFERROR($D$55*N62/D62,"")</f>
        <v/>
      </c>
      <c r="Q62" s="380" t="str">
        <f>IFERROR($D$56*N62/D62,"")</f>
        <v/>
      </c>
      <c r="R62" s="380" t="str">
        <f>IFERROR($D$57*N62/D62,"")</f>
        <v/>
      </c>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CJ62" s="294"/>
      <c r="CK62" s="294"/>
      <c r="CL62" s="286"/>
      <c r="CM62" s="287"/>
      <c r="CN62" s="242"/>
      <c r="CO62" s="242"/>
      <c r="CP62" s="145"/>
      <c r="CQ62" s="145"/>
      <c r="CR62" s="145"/>
      <c r="CS62" s="145"/>
      <c r="CT62" s="145"/>
      <c r="CU62" s="145"/>
      <c r="CV62" s="145"/>
      <c r="CW62" s="145"/>
      <c r="CX62" s="145"/>
      <c r="CY62" s="145"/>
    </row>
    <row r="63" spans="1:107" s="147" customFormat="1" ht="17.850000000000001" customHeight="1" x14ac:dyDescent="0.2">
      <c r="A63" s="1290"/>
      <c r="B63" s="1291"/>
      <c r="C63" s="1292"/>
      <c r="D63" s="1042"/>
      <c r="E63" s="1304"/>
      <c r="F63" s="1292"/>
      <c r="G63" s="1327" t="str">
        <f>P63</f>
        <v/>
      </c>
      <c r="H63" s="1328"/>
      <c r="I63" s="614" t="str">
        <f t="shared" si="87"/>
        <v/>
      </c>
      <c r="J63" s="615" t="str">
        <f t="shared" si="87"/>
        <v/>
      </c>
      <c r="K63" s="19"/>
      <c r="L63" s="242"/>
      <c r="M63" s="380">
        <f>D63*E63/100</f>
        <v>0</v>
      </c>
      <c r="N63" s="382" t="e">
        <f>M63/$M$65</f>
        <v>#DIV/0!</v>
      </c>
      <c r="O63" s="380"/>
      <c r="P63" s="380" t="str">
        <f>IFERROR($D$55*N63/D63,"")</f>
        <v/>
      </c>
      <c r="Q63" s="380" t="str">
        <f>IFERROR($D$56*N63/D63,"")</f>
        <v/>
      </c>
      <c r="R63" s="380" t="str">
        <f>IFERROR($D$57*N63/D63,"")</f>
        <v/>
      </c>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CJ63" s="294"/>
      <c r="CK63" s="294"/>
      <c r="CL63" s="286"/>
      <c r="CM63" s="287"/>
      <c r="CN63" s="242"/>
      <c r="CO63" s="242"/>
      <c r="CP63" s="145"/>
      <c r="CQ63" s="145"/>
      <c r="CR63" s="145"/>
      <c r="CS63" s="145"/>
      <c r="CT63" s="145"/>
      <c r="CU63" s="145"/>
      <c r="CV63" s="145"/>
      <c r="CW63" s="145"/>
      <c r="CX63" s="145"/>
      <c r="CY63" s="145"/>
    </row>
    <row r="64" spans="1:107" s="147" customFormat="1" ht="17.850000000000001" customHeight="1" thickBot="1" x14ac:dyDescent="0.25">
      <c r="A64" s="1293"/>
      <c r="B64" s="1294"/>
      <c r="C64" s="1295"/>
      <c r="D64" s="1043"/>
      <c r="E64" s="1305"/>
      <c r="F64" s="1295"/>
      <c r="G64" s="1340" t="str">
        <f>P64</f>
        <v/>
      </c>
      <c r="H64" s="1341"/>
      <c r="I64" s="616" t="str">
        <f t="shared" si="87"/>
        <v/>
      </c>
      <c r="J64" s="617" t="str">
        <f t="shared" si="87"/>
        <v/>
      </c>
      <c r="K64" s="19"/>
      <c r="L64" s="242"/>
      <c r="M64" s="383">
        <f>D64*E64/100</f>
        <v>0</v>
      </c>
      <c r="N64" s="382" t="e">
        <f>M64/$M$65</f>
        <v>#DIV/0!</v>
      </c>
      <c r="O64" s="380"/>
      <c r="P64" s="380" t="str">
        <f>IFERROR($D$55*N64/D64,"")</f>
        <v/>
      </c>
      <c r="Q64" s="380" t="str">
        <f>IFERROR($D$56*N64/D64,"")</f>
        <v/>
      </c>
      <c r="R64" s="380" t="str">
        <f>IFERROR($D$57*N64/D64,"")</f>
        <v/>
      </c>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CJ64" s="294"/>
      <c r="CK64" s="294"/>
      <c r="CL64" s="286"/>
      <c r="CM64" s="287"/>
      <c r="CN64" s="242"/>
      <c r="CO64" s="242"/>
      <c r="CP64" s="145"/>
      <c r="CQ64" s="145"/>
      <c r="CR64" s="145"/>
      <c r="CS64" s="145"/>
      <c r="CT64" s="145"/>
      <c r="CU64" s="145"/>
      <c r="CV64" s="145"/>
      <c r="CW64" s="145"/>
      <c r="CX64" s="145"/>
      <c r="CY64" s="145"/>
    </row>
    <row r="65" spans="1:103" s="147" customFormat="1" ht="17.850000000000001" customHeight="1" x14ac:dyDescent="0.2">
      <c r="A65" s="560"/>
      <c r="B65" s="560"/>
      <c r="C65" s="560"/>
      <c r="D65" s="560"/>
      <c r="E65" s="560"/>
      <c r="F65" s="560"/>
      <c r="G65" s="560"/>
      <c r="H65" s="560"/>
      <c r="I65" s="560"/>
      <c r="J65" s="145"/>
      <c r="K65" s="19"/>
      <c r="L65" s="380" t="s">
        <v>263</v>
      </c>
      <c r="M65" s="381">
        <f>SUM(M60:M64)</f>
        <v>0</v>
      </c>
      <c r="N65" s="381"/>
      <c r="O65" s="380"/>
      <c r="P65" s="380"/>
      <c r="Q65" s="380"/>
      <c r="R65" s="380"/>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c r="BQ65" s="242"/>
      <c r="BR65" s="242"/>
      <c r="BS65" s="242"/>
      <c r="BT65" s="242"/>
      <c r="BU65" s="242"/>
      <c r="BV65" s="242"/>
      <c r="BW65" s="242"/>
      <c r="BX65" s="242"/>
      <c r="BY65" s="242"/>
      <c r="CJ65" s="294"/>
      <c r="CK65" s="294"/>
      <c r="CL65" s="286"/>
      <c r="CM65" s="287"/>
      <c r="CN65" s="242"/>
      <c r="CO65" s="242"/>
      <c r="CP65" s="145"/>
      <c r="CQ65" s="145"/>
      <c r="CR65" s="145"/>
      <c r="CS65" s="145"/>
      <c r="CT65" s="145"/>
      <c r="CU65" s="145"/>
      <c r="CV65" s="145"/>
      <c r="CW65" s="145"/>
      <c r="CX65" s="145"/>
      <c r="CY65" s="145"/>
    </row>
    <row r="66" spans="1:103" s="147" customFormat="1" ht="9" customHeight="1" thickBot="1" x14ac:dyDescent="0.25">
      <c r="A66" s="607"/>
      <c r="B66" s="607"/>
      <c r="C66" s="607"/>
      <c r="D66" s="607"/>
      <c r="E66" s="607"/>
      <c r="F66" s="607"/>
      <c r="G66" s="607"/>
      <c r="H66" s="607"/>
      <c r="I66" s="607"/>
      <c r="J66" s="145"/>
      <c r="K66" s="19"/>
      <c r="L66" s="145"/>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CJ66" s="294"/>
      <c r="CK66" s="294"/>
      <c r="CL66" s="286"/>
      <c r="CM66" s="287"/>
      <c r="CN66" s="242"/>
      <c r="CO66" s="242"/>
      <c r="CP66" s="145"/>
      <c r="CQ66" s="145"/>
      <c r="CR66" s="145"/>
      <c r="CS66" s="145"/>
      <c r="CT66" s="145"/>
      <c r="CU66" s="145"/>
      <c r="CV66" s="145"/>
      <c r="CW66" s="145"/>
      <c r="CX66" s="145"/>
      <c r="CY66" s="145"/>
    </row>
    <row r="67" spans="1:103" s="147" customFormat="1" ht="15.75" customHeight="1" thickBot="1" x14ac:dyDescent="0.25">
      <c r="A67" s="618" t="s">
        <v>7899</v>
      </c>
      <c r="B67" s="619"/>
      <c r="C67" s="619"/>
      <c r="D67" s="619"/>
      <c r="E67" s="619"/>
      <c r="F67" s="619"/>
      <c r="G67" s="619"/>
      <c r="H67" s="619"/>
      <c r="I67" s="619"/>
      <c r="J67" s="574"/>
      <c r="K67" s="19"/>
      <c r="L67" s="145"/>
      <c r="M67" s="242"/>
      <c r="N67" s="242"/>
      <c r="O67" s="242"/>
      <c r="P67" s="242"/>
      <c r="Q67" s="242"/>
      <c r="R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c r="BQ67" s="242"/>
      <c r="BR67" s="242"/>
      <c r="BS67" s="242"/>
      <c r="BT67" s="242"/>
      <c r="BU67" s="242"/>
      <c r="BV67" s="242"/>
      <c r="BW67" s="242"/>
      <c r="BX67" s="242"/>
      <c r="BY67" s="242"/>
      <c r="CJ67" s="294"/>
      <c r="CK67" s="294"/>
      <c r="CL67" s="286"/>
      <c r="CM67" s="287"/>
      <c r="CN67" s="242"/>
      <c r="CO67" s="242"/>
      <c r="CP67" s="145"/>
      <c r="CQ67" s="145"/>
      <c r="CR67" s="145"/>
      <c r="CS67" s="145"/>
      <c r="CT67" s="145"/>
      <c r="CU67" s="145"/>
      <c r="CV67" s="145"/>
      <c r="CW67" s="145"/>
      <c r="CX67" s="145"/>
      <c r="CY67" s="145"/>
    </row>
    <row r="68" spans="1:103" s="147" customFormat="1" ht="6.75" customHeight="1" thickBot="1" x14ac:dyDescent="0.25">
      <c r="A68" s="607"/>
      <c r="B68" s="607"/>
      <c r="C68" s="607"/>
      <c r="D68" s="607"/>
      <c r="E68" s="607"/>
      <c r="F68" s="607"/>
      <c r="G68" s="607"/>
      <c r="H68" s="607"/>
      <c r="I68" s="607"/>
      <c r="J68" s="145"/>
      <c r="K68" s="19"/>
      <c r="L68" s="145"/>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CJ68" s="294"/>
      <c r="CK68" s="294"/>
      <c r="CL68" s="286"/>
      <c r="CM68" s="287"/>
      <c r="CN68" s="242"/>
      <c r="CO68" s="242"/>
      <c r="CP68" s="145"/>
      <c r="CQ68" s="145"/>
      <c r="CR68" s="145"/>
      <c r="CS68" s="145"/>
      <c r="CT68" s="145"/>
      <c r="CU68" s="145"/>
      <c r="CV68" s="145"/>
      <c r="CW68" s="145"/>
      <c r="CX68" s="145"/>
      <c r="CY68" s="145"/>
    </row>
    <row r="69" spans="1:103" s="147" customFormat="1" ht="15.75" customHeight="1" x14ac:dyDescent="0.2">
      <c r="A69" s="620"/>
      <c r="B69" s="621" t="s">
        <v>323</v>
      </c>
      <c r="C69" s="622" t="s">
        <v>324</v>
      </c>
      <c r="D69" s="623" t="s">
        <v>4</v>
      </c>
      <c r="E69" s="624" t="s">
        <v>518</v>
      </c>
      <c r="F69" s="621" t="s">
        <v>349</v>
      </c>
      <c r="G69" s="625" t="s">
        <v>350</v>
      </c>
      <c r="H69" s="1219" t="s">
        <v>488</v>
      </c>
      <c r="I69" s="1220"/>
      <c r="J69" s="1221"/>
      <c r="K69" s="19"/>
      <c r="M69" s="145"/>
      <c r="N69" s="414"/>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CJ69" s="294"/>
      <c r="CK69" s="294"/>
      <c r="CL69" s="321"/>
      <c r="CM69" s="322"/>
      <c r="CN69" s="242"/>
      <c r="CO69" s="242"/>
      <c r="CP69" s="145"/>
      <c r="CQ69" s="145"/>
      <c r="CR69" s="145"/>
      <c r="CS69" s="145"/>
      <c r="CT69" s="145"/>
      <c r="CU69" s="145"/>
      <c r="CV69" s="145"/>
      <c r="CW69" s="145"/>
      <c r="CX69" s="145"/>
      <c r="CY69" s="145"/>
    </row>
    <row r="70" spans="1:103" s="147" customFormat="1" ht="15.75" customHeight="1" x14ac:dyDescent="0.2">
      <c r="A70" s="626"/>
      <c r="B70" s="627" t="s">
        <v>1</v>
      </c>
      <c r="C70" s="628" t="s">
        <v>2</v>
      </c>
      <c r="D70" s="1222" t="s">
        <v>641</v>
      </c>
      <c r="E70" s="1232"/>
      <c r="F70" s="1232"/>
      <c r="G70" s="1233"/>
      <c r="H70" s="1222"/>
      <c r="I70" s="1223"/>
      <c r="J70" s="1224"/>
      <c r="K70" s="19"/>
      <c r="L70" s="145"/>
      <c r="M70" s="242"/>
      <c r="N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CJ70" s="294"/>
      <c r="CK70" s="294"/>
      <c r="CL70" s="321"/>
      <c r="CM70" s="322"/>
      <c r="CN70" s="242"/>
      <c r="CO70" s="242"/>
      <c r="CP70" s="145"/>
      <c r="CQ70" s="145"/>
      <c r="CR70" s="145"/>
      <c r="CS70" s="145"/>
      <c r="CT70" s="145"/>
      <c r="CU70" s="145"/>
      <c r="CV70" s="145"/>
      <c r="CW70" s="145"/>
      <c r="CX70" s="145"/>
      <c r="CY70" s="145"/>
    </row>
    <row r="71" spans="1:103" s="147" customFormat="1" ht="15.75" customHeight="1" thickBot="1" x14ac:dyDescent="0.25">
      <c r="A71" s="629" t="s">
        <v>326</v>
      </c>
      <c r="B71" s="630">
        <f>M46</f>
        <v>0</v>
      </c>
      <c r="C71" s="631">
        <f>IF(C50=" ",0,C50)</f>
        <v>0</v>
      </c>
      <c r="D71" s="632">
        <f>IF(D50=" ",0,D50)</f>
        <v>0</v>
      </c>
      <c r="E71" s="633">
        <f>IF(E50=" ",0,E50)</f>
        <v>0</v>
      </c>
      <c r="F71" s="633">
        <f>IF(F50=" ",0,F50)</f>
        <v>0</v>
      </c>
      <c r="G71" s="634">
        <f>IF(G50=" ",0,G50)</f>
        <v>0</v>
      </c>
      <c r="H71" s="1225" t="str">
        <f>IF(B71=0,"---",H50)</f>
        <v>---</v>
      </c>
      <c r="I71" s="1226"/>
      <c r="J71" s="1227"/>
      <c r="K71" s="19"/>
      <c r="L71" s="145"/>
      <c r="O71" s="242"/>
      <c r="P71" s="242"/>
      <c r="Q71" s="242"/>
      <c r="R71" s="1398" t="s">
        <v>260</v>
      </c>
      <c r="S71" s="1398"/>
      <c r="T71" s="1398" t="s">
        <v>261</v>
      </c>
      <c r="U71" s="1398"/>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CJ71" s="294"/>
      <c r="CK71" s="294"/>
      <c r="CL71" s="321"/>
      <c r="CM71" s="322"/>
      <c r="CN71" s="242"/>
      <c r="CO71" s="242"/>
      <c r="CP71" s="145"/>
      <c r="CQ71" s="145"/>
      <c r="CR71" s="145"/>
      <c r="CS71" s="145"/>
      <c r="CT71" s="145"/>
      <c r="CU71" s="145"/>
      <c r="CV71" s="145"/>
      <c r="CW71" s="145"/>
      <c r="CX71" s="145"/>
      <c r="CY71" s="145"/>
    </row>
    <row r="72" spans="1:103" s="147" customFormat="1" ht="15.75" customHeight="1" x14ac:dyDescent="0.2">
      <c r="A72" s="132"/>
      <c r="B72" s="133"/>
      <c r="C72" s="136"/>
      <c r="D72" s="130"/>
      <c r="E72" s="130"/>
      <c r="F72" s="130"/>
      <c r="G72" s="136"/>
      <c r="H72" s="136"/>
      <c r="I72" s="136"/>
      <c r="J72" s="130"/>
      <c r="K72" s="19"/>
      <c r="L72" s="145"/>
      <c r="M72" s="242"/>
      <c r="N72" s="242"/>
      <c r="O72" s="242"/>
      <c r="P72" s="242"/>
      <c r="Q72" s="242"/>
      <c r="R72" s="147" t="s">
        <v>517</v>
      </c>
      <c r="T72" s="1399" t="s">
        <v>517</v>
      </c>
      <c r="U72" s="1400"/>
      <c r="V72" s="407"/>
      <c r="W72" s="395" t="s">
        <v>508</v>
      </c>
      <c r="X72" s="408"/>
      <c r="Y72" s="406"/>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242"/>
      <c r="BN72" s="242"/>
      <c r="BO72" s="242"/>
      <c r="BP72" s="242"/>
      <c r="BQ72" s="242"/>
      <c r="BR72" s="242"/>
      <c r="BS72" s="242"/>
      <c r="BT72" s="242"/>
      <c r="BU72" s="242"/>
      <c r="CJ72" s="294"/>
      <c r="CK72" s="294"/>
      <c r="CL72" s="286"/>
      <c r="CM72" s="287"/>
      <c r="CN72" s="242"/>
      <c r="CO72" s="242"/>
      <c r="CP72" s="145"/>
      <c r="CQ72" s="145"/>
      <c r="CR72" s="145"/>
      <c r="CS72" s="145"/>
      <c r="CT72" s="145"/>
      <c r="CU72" s="145"/>
      <c r="CV72" s="145"/>
      <c r="CW72" s="145"/>
      <c r="CX72" s="145"/>
      <c r="CY72" s="145"/>
    </row>
    <row r="73" spans="1:103" s="147" customFormat="1" ht="15.75" customHeight="1" x14ac:dyDescent="0.25">
      <c r="A73" s="129"/>
      <c r="B73" s="137"/>
      <c r="C73" s="137"/>
      <c r="D73" s="137"/>
      <c r="E73" s="137"/>
      <c r="F73" s="137"/>
      <c r="G73" s="137"/>
      <c r="H73" s="137"/>
      <c r="I73" s="137"/>
      <c r="J73" s="137"/>
      <c r="K73" s="19"/>
      <c r="L73" s="145"/>
      <c r="M73" s="242"/>
      <c r="N73" s="242" t="s">
        <v>510</v>
      </c>
      <c r="O73" s="242"/>
      <c r="P73" s="242" t="s">
        <v>511</v>
      </c>
      <c r="Q73" s="242"/>
      <c r="R73" s="147" t="s">
        <v>324</v>
      </c>
      <c r="S73" s="147" t="s">
        <v>511</v>
      </c>
      <c r="T73" s="147" t="s">
        <v>324</v>
      </c>
      <c r="U73" s="242" t="s">
        <v>511</v>
      </c>
      <c r="V73" s="397"/>
      <c r="W73" s="242" t="s">
        <v>260</v>
      </c>
      <c r="X73" s="400" t="s">
        <v>261</v>
      </c>
      <c r="Y73" s="406"/>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242"/>
      <c r="BN73" s="242"/>
      <c r="BO73" s="242"/>
      <c r="BP73" s="242"/>
      <c r="BQ73" s="242"/>
      <c r="BR73" s="242"/>
      <c r="BS73" s="242"/>
      <c r="BT73" s="242"/>
      <c r="BU73" s="242"/>
      <c r="CJ73" s="294"/>
      <c r="CK73" s="294"/>
      <c r="CL73" s="286"/>
      <c r="CM73" s="287"/>
      <c r="CN73" s="242"/>
      <c r="CO73" s="242"/>
      <c r="CP73" s="145"/>
      <c r="CQ73" s="145"/>
      <c r="CR73" s="145"/>
      <c r="CS73" s="145"/>
      <c r="CT73" s="145"/>
      <c r="CU73" s="145"/>
      <c r="CV73" s="145"/>
      <c r="CW73" s="145"/>
      <c r="CX73" s="145"/>
      <c r="CY73" s="145"/>
    </row>
    <row r="74" spans="1:103" s="147" customFormat="1" ht="15.75" customHeight="1" thickBot="1" x14ac:dyDescent="0.25">
      <c r="A74" s="134"/>
      <c r="B74" s="4"/>
      <c r="C74" s="4"/>
      <c r="D74" s="4"/>
      <c r="E74" s="4"/>
      <c r="F74" s="4"/>
      <c r="G74" s="4"/>
      <c r="H74" s="4"/>
      <c r="I74" s="4"/>
      <c r="J74" s="4"/>
      <c r="K74" s="19"/>
      <c r="L74" s="145"/>
      <c r="M74" s="242"/>
      <c r="N74" s="451">
        <v>30</v>
      </c>
      <c r="O74" s="451"/>
      <c r="P74" s="451">
        <f>100-N74</f>
        <v>70</v>
      </c>
      <c r="Q74" s="312"/>
      <c r="R74" s="414">
        <f>IF(OR(C71="0,00",B71=0,D75=0),0,B71*D75/100*D71*N74/100/(B71*D75/100*C71/100)*F89*F90/100)</f>
        <v>0</v>
      </c>
      <c r="S74" s="415">
        <f>IF(OR(C71="0,00",B71=0,D75=0),0,B71*D75/100*D71*P74/100/(B71*D75/100*(1-(C71/100)))*F89*(1-(F90/100)))</f>
        <v>0</v>
      </c>
      <c r="T74" s="415">
        <f>IF(OR(C71="0,00",B71=0,D75=0),0,B71*D75/100*D71*N74/100/(B71*D75/100*C71/100)*J89*J90/100)</f>
        <v>0</v>
      </c>
      <c r="U74" s="312">
        <f>IF(OR(C71="0,00",B71=0,D75=0),0,B71*D75/100*D71*P74/100/(B71*D75/100*(1-(C71/100)))*J89*(1-(J90/100)))</f>
        <v>0</v>
      </c>
      <c r="V74" s="409" t="s">
        <v>4</v>
      </c>
      <c r="W74" s="147">
        <f>IF($F$89=0,0,(R74+S74)/$F$89)</f>
        <v>0</v>
      </c>
      <c r="X74" s="400" t="e">
        <f>IF($J$89=0,0,(T74+U74)/$J$89)</f>
        <v>#DIV/0!</v>
      </c>
      <c r="Y74" s="406"/>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CJ74" s="294"/>
      <c r="CK74" s="294"/>
      <c r="CL74" s="286"/>
      <c r="CM74" s="287"/>
      <c r="CN74" s="242"/>
      <c r="CO74" s="242"/>
      <c r="CP74" s="145"/>
      <c r="CQ74" s="145"/>
      <c r="CR74" s="145"/>
      <c r="CS74" s="145"/>
      <c r="CT74" s="145"/>
      <c r="CU74" s="145"/>
      <c r="CV74" s="145"/>
      <c r="CW74" s="145"/>
      <c r="CX74" s="145"/>
      <c r="CY74" s="145"/>
    </row>
    <row r="75" spans="1:103" s="147" customFormat="1" ht="15.75" customHeight="1" thickBot="1" x14ac:dyDescent="0.3">
      <c r="A75" s="4"/>
      <c r="B75" s="128"/>
      <c r="C75" s="208">
        <f>100-D75</f>
        <v>100</v>
      </c>
      <c r="D75" s="1044"/>
      <c r="E75" s="441" t="s">
        <v>348</v>
      </c>
      <c r="F75" s="128"/>
      <c r="G75" s="128"/>
      <c r="H75" s="128"/>
      <c r="I75" s="128"/>
      <c r="J75" s="128"/>
      <c r="K75" s="19"/>
      <c r="L75" s="145"/>
      <c r="M75" s="242"/>
      <c r="N75" s="452">
        <v>10</v>
      </c>
      <c r="O75" s="451"/>
      <c r="P75" s="451">
        <f t="shared" ref="P75:P77" si="88">100-N75</f>
        <v>90</v>
      </c>
      <c r="Q75" s="312"/>
      <c r="R75" s="415">
        <f>IF(OR(C71="0,00",B71=0,D75=0),0,B71*D75/100*E71*N75/100/(B71*D75/100*C71/100)*F89*F90/100)</f>
        <v>0</v>
      </c>
      <c r="S75" s="415">
        <f>IF(OR(C71="0,00",B71=0,D75=0),0,B71*D75/100*E71*P75/100/(B71*D75/100*(1-(C71/100)))*F89*(1-(F90/100)))</f>
        <v>0</v>
      </c>
      <c r="T75" s="415">
        <f>IF(OR(C71="0,00",B71=0,D75=0),0,B71*D75/100*E71*N75/100/(B71*D75/100*C71/100)*J89*J90/100)</f>
        <v>0</v>
      </c>
      <c r="U75" s="312">
        <f>IF(OR(C71="0,00",B71=0,D75=0),0,B71*D75/100*E71*P75/100/(B71*D75/100*(1-(C71/100)))*J89*(1-(J90/100)))</f>
        <v>0</v>
      </c>
      <c r="V75" s="410" t="s">
        <v>461</v>
      </c>
      <c r="W75" s="242">
        <f>IF($F$89=0,0,(R75+S75)/$F$89)</f>
        <v>0</v>
      </c>
      <c r="X75" s="400" t="e">
        <f>IF($J$89=0,0,(T75+U75)/$J$89)</f>
        <v>#DIV/0!</v>
      </c>
      <c r="Y75" s="406"/>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CJ75" s="294"/>
      <c r="CK75" s="294"/>
      <c r="CL75" s="286"/>
      <c r="CM75" s="287"/>
      <c r="CN75" s="242"/>
      <c r="CO75" s="242"/>
      <c r="CP75" s="145"/>
      <c r="CQ75" s="145"/>
      <c r="CR75" s="145"/>
      <c r="CS75" s="145"/>
      <c r="CT75" s="145"/>
      <c r="CU75" s="145"/>
      <c r="CV75" s="145"/>
      <c r="CW75" s="145"/>
      <c r="CX75" s="145"/>
      <c r="CY75" s="145"/>
    </row>
    <row r="76" spans="1:103" s="147" customFormat="1" ht="15.75" customHeight="1" x14ac:dyDescent="0.25">
      <c r="A76" s="134"/>
      <c r="B76" s="128"/>
      <c r="C76" s="135"/>
      <c r="D76" s="130"/>
      <c r="E76" s="131"/>
      <c r="F76" s="128"/>
      <c r="G76" s="128"/>
      <c r="H76" s="128"/>
      <c r="I76" s="128"/>
      <c r="J76" s="128"/>
      <c r="K76" s="19"/>
      <c r="L76" s="145"/>
      <c r="M76" s="242"/>
      <c r="N76" s="453">
        <v>75</v>
      </c>
      <c r="O76" s="451"/>
      <c r="P76" s="451">
        <f t="shared" si="88"/>
        <v>25</v>
      </c>
      <c r="Q76" s="312"/>
      <c r="R76" s="415">
        <f>IF(OR(C71="0,00",B71=0,D75=0),0,B71*D75/100*F71*N76/100/(B71*D75/100*C71/100)*F89*F90/100)</f>
        <v>0</v>
      </c>
      <c r="S76" s="415">
        <f>IF(OR(C71="0,00",B71=0,D75=0),0,B71*D75/100*F71*P76/100/(B71*D75/100*(1-(C71/100)))*F89*(1-(F90/100)))</f>
        <v>0</v>
      </c>
      <c r="T76" s="415">
        <f>IF(OR(C71="0,00",B71=0,D75=0),0,B71*D75/100*F71*N76/100/(B71*D75/100*C71/100)*J89*J90/100)</f>
        <v>0</v>
      </c>
      <c r="U76" s="312">
        <f>IF(OR(C71="0,00",B71=0,D75=0),0,B71*D75/100*F71*P76/100/(B71*D75/100*(1-(C71/100)))*J89*(1-(J90/100)))</f>
        <v>0</v>
      </c>
      <c r="V76" s="409" t="s">
        <v>337</v>
      </c>
      <c r="W76" s="242">
        <f>IF($F$89=0,0,(R76+S76)/$F$89)</f>
        <v>0</v>
      </c>
      <c r="X76" s="400" t="e">
        <f>IF($J$89=0,0,(T76+U76)/$J$89)</f>
        <v>#DIV/0!</v>
      </c>
      <c r="Y76" s="406"/>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CJ76" s="294"/>
      <c r="CK76" s="294"/>
      <c r="CL76" s="286"/>
      <c r="CM76" s="287"/>
      <c r="CN76" s="242"/>
      <c r="CO76" s="242"/>
      <c r="CP76" s="145"/>
      <c r="CQ76" s="145"/>
      <c r="CR76" s="145"/>
      <c r="CS76" s="145"/>
      <c r="CT76" s="145"/>
      <c r="CU76" s="145"/>
      <c r="CV76" s="145"/>
      <c r="CW76" s="145"/>
      <c r="CX76" s="145"/>
      <c r="CY76" s="145"/>
    </row>
    <row r="77" spans="1:103" s="147" customFormat="1" ht="15.75" customHeight="1" thickBot="1" x14ac:dyDescent="0.3">
      <c r="A77" s="134"/>
      <c r="B77" s="128"/>
      <c r="C77" s="135"/>
      <c r="D77" s="130"/>
      <c r="E77" s="131"/>
      <c r="F77" s="128"/>
      <c r="G77" s="128"/>
      <c r="H77" s="128"/>
      <c r="I77" s="128"/>
      <c r="J77" s="128"/>
      <c r="K77" s="19"/>
      <c r="L77" s="145"/>
      <c r="M77" s="242"/>
      <c r="N77" s="452">
        <v>10</v>
      </c>
      <c r="O77" s="451"/>
      <c r="P77" s="451">
        <f t="shared" si="88"/>
        <v>90</v>
      </c>
      <c r="Q77" s="312"/>
      <c r="R77" s="415">
        <f>IF(OR(C71="0,00",B71=0,D75=0),0,B71*D75/100*G71*N77/100/(B71*D75/100*C71/100)*F89*F90/100)</f>
        <v>0</v>
      </c>
      <c r="S77" s="415">
        <f>IF(OR(C71="0,00",B71=0,D75=0),0,B71*D75/100*G71*P77/100/(B71*D75/100*(1-(C71/100)))*F89*(1-(F90/100)))</f>
        <v>0</v>
      </c>
      <c r="T77" s="415">
        <f>IF(OR(C71="0,00",B71=0,D75=0),0,B71*D75/100*G71*N77/100/(B71*D75/100*C71/100)*J89*J90/100)</f>
        <v>0</v>
      </c>
      <c r="U77" s="312">
        <f>IF(OR(C71="0,00",B71=0,D75=0),0,B71*D75/100*G71*P77/100/(B71*D75/100*(1-(C71/100)))*J89*(1-(J90/100)))</f>
        <v>0</v>
      </c>
      <c r="V77" s="411" t="s">
        <v>338</v>
      </c>
      <c r="W77" s="402">
        <f>IF($F$89=0,0,(R77+S77)/$F$89)</f>
        <v>0</v>
      </c>
      <c r="X77" s="403" t="e">
        <f>IF($J$89=0,0,(T77+U77)/$J$89)</f>
        <v>#DIV/0!</v>
      </c>
      <c r="Y77" s="406"/>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CJ77" s="294"/>
      <c r="CK77" s="294"/>
      <c r="CL77" s="286"/>
      <c r="CM77" s="287"/>
      <c r="CN77" s="242"/>
      <c r="CO77" s="242"/>
      <c r="CP77" s="145"/>
      <c r="CQ77" s="145"/>
      <c r="CR77" s="145"/>
      <c r="CS77" s="145"/>
      <c r="CT77" s="145"/>
      <c r="CU77" s="145"/>
      <c r="CV77" s="145"/>
      <c r="CW77" s="145"/>
      <c r="CX77" s="145"/>
      <c r="CY77" s="145"/>
    </row>
    <row r="78" spans="1:103" s="147" customFormat="1" ht="15.75" customHeight="1" x14ac:dyDescent="0.25">
      <c r="A78" s="134"/>
      <c r="B78" s="128"/>
      <c r="C78" s="135"/>
      <c r="D78" s="130"/>
      <c r="E78" s="131"/>
      <c r="F78" s="128"/>
      <c r="G78" s="128"/>
      <c r="H78" s="128"/>
      <c r="I78" s="128"/>
      <c r="J78" s="128"/>
      <c r="K78" s="19"/>
      <c r="L78" s="145"/>
      <c r="M78" s="242"/>
      <c r="N78" s="387"/>
      <c r="O78" s="242"/>
      <c r="P78" s="242"/>
      <c r="Q78" s="242"/>
      <c r="R78" s="242"/>
      <c r="S78" s="242"/>
      <c r="T78" s="242"/>
      <c r="U78" s="242"/>
      <c r="V78" s="242"/>
      <c r="W78" s="406"/>
      <c r="X78" s="406"/>
      <c r="Y78" s="406"/>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2"/>
      <c r="BR78" s="242"/>
      <c r="BS78" s="242"/>
      <c r="BT78" s="242"/>
      <c r="BU78" s="242"/>
      <c r="CJ78" s="294"/>
      <c r="CK78" s="294"/>
      <c r="CL78" s="286"/>
      <c r="CM78" s="287"/>
      <c r="CN78" s="242"/>
      <c r="CO78" s="242"/>
      <c r="CP78" s="145"/>
      <c r="CQ78" s="145"/>
      <c r="CR78" s="145"/>
      <c r="CS78" s="145"/>
      <c r="CT78" s="145"/>
      <c r="CU78" s="145"/>
      <c r="CV78" s="145"/>
      <c r="CW78" s="145"/>
      <c r="CX78" s="145"/>
      <c r="CY78" s="145"/>
    </row>
    <row r="79" spans="1:103" s="147" customFormat="1" ht="15.75" customHeight="1" x14ac:dyDescent="0.25">
      <c r="A79" s="134"/>
      <c r="B79" s="128"/>
      <c r="C79" s="135"/>
      <c r="D79" s="130"/>
      <c r="E79" s="131"/>
      <c r="F79" s="128"/>
      <c r="G79" s="128"/>
      <c r="H79" s="128"/>
      <c r="I79" s="128"/>
      <c r="J79" s="128"/>
      <c r="K79" s="19"/>
      <c r="L79" s="145"/>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CJ79" s="294"/>
      <c r="CK79" s="294"/>
      <c r="CL79" s="286"/>
      <c r="CM79" s="287"/>
      <c r="CN79" s="242"/>
      <c r="CO79" s="242"/>
      <c r="CP79" s="145"/>
      <c r="CQ79" s="145"/>
      <c r="CR79" s="145"/>
      <c r="CS79" s="145"/>
      <c r="CT79" s="145"/>
      <c r="CU79" s="145"/>
      <c r="CV79" s="145"/>
      <c r="CW79" s="145"/>
      <c r="CX79" s="145"/>
      <c r="CY79" s="145"/>
    </row>
    <row r="80" spans="1:103" s="147" customFormat="1" ht="15.75" customHeight="1" x14ac:dyDescent="0.25">
      <c r="A80" s="134"/>
      <c r="B80" s="128"/>
      <c r="C80" s="135"/>
      <c r="D80" s="130"/>
      <c r="E80" s="131"/>
      <c r="F80" s="128"/>
      <c r="G80" s="128"/>
      <c r="H80" s="128"/>
      <c r="I80" s="128"/>
      <c r="J80" s="128"/>
      <c r="K80" s="19"/>
      <c r="L80" s="145"/>
      <c r="M80" s="242"/>
      <c r="N80" s="242"/>
      <c r="O80" s="242"/>
      <c r="P80" s="242"/>
      <c r="Q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CJ80" s="294"/>
      <c r="CK80" s="294"/>
      <c r="CL80" s="286"/>
      <c r="CM80" s="287"/>
      <c r="CN80" s="242"/>
      <c r="CO80" s="242"/>
      <c r="CP80" s="145"/>
      <c r="CQ80" s="145"/>
      <c r="CR80" s="145"/>
      <c r="CS80" s="145"/>
      <c r="CT80" s="145"/>
      <c r="CU80" s="145"/>
      <c r="CV80" s="145"/>
      <c r="CW80" s="145"/>
      <c r="CX80" s="145"/>
      <c r="CY80" s="145"/>
    </row>
    <row r="81" spans="1:103" s="147" customFormat="1" ht="15.75" customHeight="1" x14ac:dyDescent="0.25">
      <c r="A81" s="134"/>
      <c r="B81" s="128"/>
      <c r="C81" s="135"/>
      <c r="D81" s="130"/>
      <c r="E81" s="131"/>
      <c r="F81" s="128"/>
      <c r="G81" s="128"/>
      <c r="H81" s="128"/>
      <c r="I81" s="128"/>
      <c r="J81" s="128"/>
      <c r="K81" s="19"/>
      <c r="L81" s="145"/>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CJ81" s="294"/>
      <c r="CK81" s="294"/>
      <c r="CL81" s="286"/>
      <c r="CM81" s="287"/>
      <c r="CN81" s="242"/>
      <c r="CO81" s="242"/>
      <c r="CP81" s="145"/>
      <c r="CQ81" s="145"/>
      <c r="CR81" s="145"/>
      <c r="CS81" s="145"/>
      <c r="CT81" s="145"/>
      <c r="CU81" s="145"/>
      <c r="CV81" s="145"/>
      <c r="CW81" s="145"/>
      <c r="CX81" s="145"/>
      <c r="CY81" s="145"/>
    </row>
    <row r="82" spans="1:103" s="147" customFormat="1" ht="15.75" customHeight="1" x14ac:dyDescent="0.25">
      <c r="A82" s="134"/>
      <c r="B82" s="128"/>
      <c r="C82" s="135"/>
      <c r="D82" s="130"/>
      <c r="E82" s="131"/>
      <c r="F82" s="128"/>
      <c r="G82" s="128"/>
      <c r="H82" s="128"/>
      <c r="I82" s="128"/>
      <c r="J82" s="128"/>
      <c r="K82" s="19"/>
      <c r="L82" s="145"/>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CJ82" s="294"/>
      <c r="CK82" s="294"/>
      <c r="CL82" s="286"/>
      <c r="CM82" s="287"/>
      <c r="CN82" s="242"/>
      <c r="CO82" s="242"/>
      <c r="CP82" s="145"/>
      <c r="CQ82" s="145"/>
      <c r="CR82" s="145"/>
      <c r="CS82" s="145"/>
      <c r="CT82" s="145"/>
      <c r="CU82" s="145"/>
      <c r="CV82" s="145"/>
      <c r="CW82" s="145"/>
      <c r="CX82" s="145"/>
      <c r="CY82" s="145"/>
    </row>
    <row r="83" spans="1:103" s="147" customFormat="1" ht="15.75" customHeight="1" x14ac:dyDescent="0.25">
      <c r="A83" s="132"/>
      <c r="B83" s="128"/>
      <c r="C83" s="128"/>
      <c r="D83" s="199"/>
      <c r="E83" s="128"/>
      <c r="F83" s="128"/>
      <c r="G83" s="128"/>
      <c r="H83" s="128"/>
      <c r="I83" s="128"/>
      <c r="J83" s="128"/>
      <c r="K83" s="19"/>
      <c r="L83" s="145"/>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CJ83" s="294"/>
      <c r="CK83" s="294"/>
      <c r="CL83" s="286"/>
      <c r="CM83" s="287"/>
      <c r="CN83" s="242"/>
      <c r="CO83" s="242"/>
      <c r="CP83" s="145"/>
      <c r="CQ83" s="145"/>
      <c r="CR83" s="145"/>
      <c r="CS83" s="145"/>
      <c r="CT83" s="145"/>
      <c r="CU83" s="145"/>
      <c r="CV83" s="145"/>
      <c r="CW83" s="145"/>
      <c r="CX83" s="145"/>
      <c r="CY83" s="145"/>
    </row>
    <row r="84" spans="1:103" s="147" customFormat="1" ht="15.75" customHeight="1" x14ac:dyDescent="0.25">
      <c r="A84" s="132"/>
      <c r="B84" s="128"/>
      <c r="C84" s="128"/>
      <c r="D84" s="199"/>
      <c r="E84" s="128"/>
      <c r="F84" s="128"/>
      <c r="G84" s="128"/>
      <c r="H84" s="128"/>
      <c r="I84" s="128"/>
      <c r="J84" s="128"/>
      <c r="K84" s="19"/>
      <c r="L84" s="145"/>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CJ84" s="294"/>
      <c r="CK84" s="294"/>
      <c r="CL84" s="286"/>
      <c r="CM84" s="287"/>
      <c r="CN84" s="242"/>
      <c r="CO84" s="242"/>
      <c r="CP84" s="145"/>
      <c r="CQ84" s="145"/>
      <c r="CR84" s="145"/>
      <c r="CS84" s="145"/>
      <c r="CT84" s="145"/>
      <c r="CU84" s="145"/>
      <c r="CV84" s="145"/>
      <c r="CW84" s="145"/>
      <c r="CX84" s="145"/>
      <c r="CY84" s="145"/>
    </row>
    <row r="85" spans="1:103" s="147" customFormat="1" ht="15.75" customHeight="1" x14ac:dyDescent="0.2">
      <c r="A85" s="4"/>
      <c r="B85" s="4"/>
      <c r="C85" s="4"/>
      <c r="D85" s="2"/>
      <c r="E85" s="4"/>
      <c r="F85" s="4"/>
      <c r="G85" s="4"/>
      <c r="H85" s="4"/>
      <c r="I85" s="4"/>
      <c r="J85" s="4"/>
      <c r="K85" s="19"/>
      <c r="L85" s="145"/>
      <c r="M85" s="242"/>
      <c r="N85" s="242"/>
      <c r="O85" s="242"/>
      <c r="P85" s="242"/>
      <c r="Q85" s="242"/>
      <c r="R85" s="242"/>
      <c r="S85" s="242" t="s">
        <v>471</v>
      </c>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c r="BT85" s="242"/>
      <c r="BU85" s="242"/>
      <c r="CJ85" s="294"/>
      <c r="CK85" s="294"/>
      <c r="CL85" s="286"/>
      <c r="CM85" s="287"/>
      <c r="CN85" s="242"/>
      <c r="CO85" s="242"/>
      <c r="CP85" s="145"/>
      <c r="CQ85" s="145"/>
      <c r="CR85" s="145"/>
      <c r="CS85" s="145"/>
      <c r="CT85" s="145"/>
      <c r="CU85" s="145"/>
      <c r="CV85" s="145"/>
      <c r="CW85" s="145"/>
      <c r="CX85" s="145"/>
      <c r="CY85" s="145"/>
    </row>
    <row r="86" spans="1:103" s="147" customFormat="1" ht="15.75" customHeight="1" thickBot="1" x14ac:dyDescent="0.3">
      <c r="A86" s="129"/>
      <c r="B86" s="128"/>
      <c r="C86" s="128"/>
      <c r="D86" s="199"/>
      <c r="E86" s="128"/>
      <c r="F86" s="128"/>
      <c r="G86" s="128"/>
      <c r="H86" s="128"/>
      <c r="I86" s="128"/>
      <c r="J86" s="128"/>
      <c r="K86" s="19"/>
      <c r="L86" s="145"/>
      <c r="M86" s="242"/>
      <c r="N86" s="242"/>
      <c r="O86" s="242"/>
      <c r="P86" s="242"/>
      <c r="Q86" s="242"/>
      <c r="R86" s="242"/>
      <c r="S86" s="242" t="s">
        <v>466</v>
      </c>
      <c r="T86" s="242" t="s">
        <v>467</v>
      </c>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242"/>
      <c r="BI86" s="242"/>
      <c r="BJ86" s="242"/>
      <c r="BK86" s="242"/>
      <c r="BL86" s="242"/>
      <c r="BM86" s="242"/>
      <c r="BN86" s="242"/>
      <c r="BO86" s="242"/>
      <c r="BP86" s="242"/>
      <c r="BQ86" s="242"/>
      <c r="BR86" s="242"/>
      <c r="BS86" s="242"/>
      <c r="BT86" s="242"/>
      <c r="BU86" s="242"/>
      <c r="CJ86" s="294"/>
      <c r="CK86" s="294"/>
      <c r="CL86" s="286"/>
      <c r="CM86" s="287"/>
      <c r="CN86" s="242"/>
      <c r="CO86" s="242"/>
      <c r="CP86" s="145"/>
      <c r="CQ86" s="145"/>
      <c r="CR86" s="145"/>
      <c r="CS86" s="145"/>
      <c r="CT86" s="145"/>
      <c r="CU86" s="145"/>
      <c r="CV86" s="145"/>
      <c r="CW86" s="145"/>
      <c r="CX86" s="145"/>
      <c r="CY86" s="145"/>
    </row>
    <row r="87" spans="1:103" s="147" customFormat="1" ht="15.75" customHeight="1" thickBot="1" x14ac:dyDescent="0.3">
      <c r="A87" s="1428" t="s">
        <v>643</v>
      </c>
      <c r="B87" s="1429"/>
      <c r="C87" s="1429"/>
      <c r="D87" s="1429"/>
      <c r="E87" s="1429"/>
      <c r="F87" s="1429"/>
      <c r="G87" s="1429"/>
      <c r="H87" s="1429"/>
      <c r="I87" s="1429"/>
      <c r="J87" s="1430"/>
      <c r="K87" s="19"/>
      <c r="L87" s="145"/>
      <c r="M87" s="242"/>
      <c r="N87" s="242"/>
      <c r="O87" s="242"/>
      <c r="P87" s="323" t="s">
        <v>262</v>
      </c>
      <c r="Q87" s="323" t="s">
        <v>339</v>
      </c>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CJ87" s="294"/>
      <c r="CK87" s="294"/>
      <c r="CL87" s="286"/>
      <c r="CM87" s="287"/>
      <c r="CN87" s="242"/>
      <c r="CO87" s="242"/>
      <c r="CP87" s="145"/>
      <c r="CQ87" s="145"/>
      <c r="CR87" s="145"/>
      <c r="CS87" s="145"/>
      <c r="CT87" s="145"/>
      <c r="CU87" s="145"/>
      <c r="CV87" s="145"/>
      <c r="CW87" s="145"/>
      <c r="CX87" s="145"/>
      <c r="CY87" s="145"/>
    </row>
    <row r="88" spans="1:103" s="193" customFormat="1" ht="5.45" customHeight="1" thickBot="1" x14ac:dyDescent="0.25">
      <c r="K88" s="19"/>
      <c r="L88" s="145"/>
      <c r="M88" s="324">
        <f>B71*C75/100</f>
        <v>0</v>
      </c>
      <c r="N88" s="325">
        <f>B71-B89-J89</f>
        <v>0</v>
      </c>
      <c r="O88" s="326"/>
      <c r="P88" s="325" t="str">
        <f>IF(F90+J90=0,"0",B71*D75/100*((C71-F90)/(J90-F90)))</f>
        <v>0</v>
      </c>
      <c r="Q88" s="327">
        <f>P88*(1/0.9)</f>
        <v>0</v>
      </c>
      <c r="R88" s="242"/>
      <c r="S88" s="242">
        <f>IF(Q88=0,0,Q88*P48)</f>
        <v>0</v>
      </c>
      <c r="T88" s="242">
        <f>IF(Q88=0,0,Q88*R48)</f>
        <v>0</v>
      </c>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CJ88" s="293">
        <v>6</v>
      </c>
      <c r="CK88" s="293">
        <v>6</v>
      </c>
      <c r="CL88" s="328">
        <f>IF(Q88=" ",0,CJ88*Q88)</f>
        <v>0</v>
      </c>
      <c r="CM88" s="329">
        <f>IF(Q88=" ",0,CK88*Q88)</f>
        <v>0</v>
      </c>
      <c r="CN88" s="242"/>
      <c r="CO88" s="242"/>
      <c r="CP88" s="145"/>
      <c r="CQ88" s="145"/>
      <c r="CR88" s="145"/>
      <c r="CS88" s="145"/>
      <c r="CT88" s="145"/>
      <c r="CU88" s="145"/>
      <c r="CV88" s="145"/>
      <c r="CW88" s="145"/>
      <c r="CX88" s="145"/>
      <c r="CY88" s="145"/>
    </row>
    <row r="89" spans="1:103" s="193" customFormat="1" ht="15.75" customHeight="1" x14ac:dyDescent="0.2">
      <c r="A89" s="412" t="s">
        <v>327</v>
      </c>
      <c r="B89" s="209">
        <f>M88</f>
        <v>0</v>
      </c>
      <c r="C89" s="203"/>
      <c r="D89" s="1228" t="s">
        <v>327</v>
      </c>
      <c r="E89" s="1229"/>
      <c r="F89" s="209">
        <f>B71-B89-J89</f>
        <v>0</v>
      </c>
      <c r="G89" s="203"/>
      <c r="H89" s="1405" t="s">
        <v>328</v>
      </c>
      <c r="I89" s="1406"/>
      <c r="J89" s="417" t="str">
        <f>P88</f>
        <v>0</v>
      </c>
      <c r="K89" s="19"/>
      <c r="L89" s="145"/>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CJ89" s="294"/>
      <c r="CK89" s="294"/>
      <c r="CL89" s="321"/>
      <c r="CM89" s="322"/>
      <c r="CN89" s="242"/>
      <c r="CO89" s="242"/>
      <c r="CP89" s="145"/>
      <c r="CQ89" s="145"/>
      <c r="CR89" s="145"/>
      <c r="CS89" s="145"/>
      <c r="CT89" s="145"/>
      <c r="CU89" s="145"/>
      <c r="CV89" s="145"/>
      <c r="CW89" s="145"/>
      <c r="CX89" s="145"/>
      <c r="CY89" s="145"/>
    </row>
    <row r="90" spans="1:103" s="193" customFormat="1" ht="15.75" customHeight="1" x14ac:dyDescent="0.2">
      <c r="A90" s="518" t="s">
        <v>329</v>
      </c>
      <c r="B90" s="413" t="str">
        <f>IF(B89=0,"",C71)</f>
        <v/>
      </c>
      <c r="C90" s="203"/>
      <c r="D90" s="1401" t="s">
        <v>329</v>
      </c>
      <c r="E90" s="1402"/>
      <c r="F90" s="1045"/>
      <c r="G90" s="203"/>
      <c r="H90" s="1403" t="s">
        <v>329</v>
      </c>
      <c r="I90" s="1404"/>
      <c r="J90" s="1045"/>
      <c r="K90" s="19"/>
      <c r="L90" s="145"/>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CJ90" s="294"/>
      <c r="CK90" s="294"/>
      <c r="CL90" s="286"/>
      <c r="CM90" s="287"/>
      <c r="CN90" s="242"/>
      <c r="CO90" s="242"/>
      <c r="CP90" s="145"/>
      <c r="CQ90" s="145"/>
      <c r="CR90" s="145"/>
      <c r="CS90" s="145"/>
      <c r="CT90" s="145"/>
      <c r="CU90" s="145"/>
      <c r="CV90" s="145"/>
      <c r="CW90" s="145"/>
      <c r="CX90" s="145"/>
      <c r="CY90" s="145"/>
    </row>
    <row r="91" spans="1:103" s="193" customFormat="1" ht="15.75" customHeight="1" x14ac:dyDescent="0.2">
      <c r="A91" s="518" t="s">
        <v>7867</v>
      </c>
      <c r="B91" s="448" t="str">
        <f>IF(B89=0,"",D71)</f>
        <v/>
      </c>
      <c r="C91" s="635"/>
      <c r="D91" s="1230" t="s">
        <v>7867</v>
      </c>
      <c r="E91" s="1231"/>
      <c r="F91" s="460" t="str">
        <f>IF(OR($F$89=0,F90=""),"",W74)</f>
        <v/>
      </c>
      <c r="G91" s="635"/>
      <c r="H91" s="1230" t="s">
        <v>7871</v>
      </c>
      <c r="I91" s="1231"/>
      <c r="J91" s="460" t="str">
        <f>IF(OR($J$89=0,$J$89="0",J90=""),"",X74)</f>
        <v/>
      </c>
      <c r="K91" s="19"/>
      <c r="L91" s="145"/>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CJ91" s="294"/>
      <c r="CK91" s="294"/>
      <c r="CL91" s="286"/>
      <c r="CM91" s="287"/>
      <c r="CN91" s="242"/>
      <c r="CO91" s="242"/>
      <c r="CP91" s="145"/>
      <c r="CQ91" s="145"/>
      <c r="CR91" s="145"/>
      <c r="CS91" s="145"/>
      <c r="CT91" s="145"/>
      <c r="CU91" s="145"/>
      <c r="CV91" s="145"/>
      <c r="CW91" s="145"/>
      <c r="CX91" s="145"/>
      <c r="CY91" s="145"/>
    </row>
    <row r="92" spans="1:103" s="195" customFormat="1" ht="15.75" x14ac:dyDescent="0.2">
      <c r="A92" s="518" t="s">
        <v>7868</v>
      </c>
      <c r="B92" s="449" t="str">
        <f>IF(B89=0,"",E71)</f>
        <v/>
      </c>
      <c r="C92" s="635"/>
      <c r="D92" s="1230" t="s">
        <v>7868</v>
      </c>
      <c r="E92" s="1231"/>
      <c r="F92" s="460" t="str">
        <f>IF(OR($F$89=0,F90=""),"",W75)</f>
        <v/>
      </c>
      <c r="G92" s="635"/>
      <c r="H92" s="1230" t="s">
        <v>7872</v>
      </c>
      <c r="I92" s="1231"/>
      <c r="J92" s="460" t="str">
        <f>IF(OR($J$89=0,$J$89="0",J90=""),"",X75)</f>
        <v/>
      </c>
      <c r="K92" s="194"/>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CJ92" s="330"/>
      <c r="CK92" s="330"/>
      <c r="CL92" s="286"/>
      <c r="CM92" s="287"/>
      <c r="CN92" s="229"/>
      <c r="CO92" s="229"/>
    </row>
    <row r="93" spans="1:103" s="195" customFormat="1" ht="15.75" x14ac:dyDescent="0.2">
      <c r="A93" s="518" t="s">
        <v>7869</v>
      </c>
      <c r="B93" s="448" t="str">
        <f>IF(B89=0,"",F71)</f>
        <v/>
      </c>
      <c r="D93" s="1230" t="s">
        <v>7869</v>
      </c>
      <c r="E93" s="1231"/>
      <c r="F93" s="460" t="str">
        <f>IF(OR($F$89=0,F90=""),"",W76)</f>
        <v/>
      </c>
      <c r="H93" s="1230" t="s">
        <v>542</v>
      </c>
      <c r="I93" s="1231"/>
      <c r="J93" s="460" t="str">
        <f>IF(OR($J$89=0,$J$89="0",J90=""),"",X76)</f>
        <v/>
      </c>
      <c r="K93" s="194"/>
      <c r="M93" s="229" t="s">
        <v>489</v>
      </c>
      <c r="N93" s="229" t="s">
        <v>261</v>
      </c>
      <c r="O93" s="229"/>
      <c r="P93" s="229"/>
      <c r="Q93" s="229"/>
      <c r="R93" s="229"/>
      <c r="S93" s="242" t="s">
        <v>472</v>
      </c>
      <c r="T93" s="242"/>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CJ93" s="330"/>
      <c r="CK93" s="330"/>
      <c r="CL93" s="286"/>
      <c r="CM93" s="287"/>
      <c r="CN93" s="229"/>
      <c r="CO93" s="229"/>
    </row>
    <row r="94" spans="1:103" s="193" customFormat="1" ht="15.75" customHeight="1" thickBot="1" x14ac:dyDescent="0.25">
      <c r="A94" s="636" t="s">
        <v>7870</v>
      </c>
      <c r="B94" s="450" t="str">
        <f>IF(B89=0,"",G71)</f>
        <v/>
      </c>
      <c r="C94" s="195"/>
      <c r="D94" s="1238" t="s">
        <v>7870</v>
      </c>
      <c r="E94" s="1239"/>
      <c r="F94" s="461" t="str">
        <f>IF(OR($F$89=0,F90=""),"",W77)</f>
        <v/>
      </c>
      <c r="G94" s="195"/>
      <c r="H94" s="1238" t="s">
        <v>7873</v>
      </c>
      <c r="I94" s="1239"/>
      <c r="J94" s="461" t="str">
        <f>IF(OR($J$89=0,$J$89="0",J90=""),"",X77)</f>
        <v/>
      </c>
      <c r="K94" s="19"/>
      <c r="L94" s="145"/>
      <c r="M94" s="242"/>
      <c r="N94" s="299"/>
      <c r="O94" s="242"/>
      <c r="P94" s="242"/>
      <c r="Q94" s="242"/>
      <c r="R94" s="242"/>
      <c r="S94" s="242" t="s">
        <v>466</v>
      </c>
      <c r="T94" s="242" t="s">
        <v>467</v>
      </c>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CJ94" s="294"/>
      <c r="CK94" s="294"/>
      <c r="CL94" s="286"/>
      <c r="CM94" s="287"/>
      <c r="CN94" s="242"/>
      <c r="CO94" s="242"/>
      <c r="CP94" s="145"/>
      <c r="CQ94" s="145"/>
      <c r="CR94" s="145"/>
      <c r="CS94" s="145"/>
      <c r="CT94" s="145"/>
      <c r="CU94" s="145"/>
      <c r="CV94" s="145"/>
      <c r="CW94" s="145"/>
      <c r="CX94" s="145"/>
      <c r="CY94" s="145"/>
    </row>
    <row r="95" spans="1:103" s="193" customFormat="1" ht="15.75" customHeight="1" x14ac:dyDescent="0.2">
      <c r="A95" s="637"/>
      <c r="B95" s="437"/>
      <c r="C95" s="638"/>
      <c r="D95" s="439"/>
      <c r="E95" s="439"/>
      <c r="F95" s="438"/>
      <c r="G95" s="416"/>
      <c r="H95" s="439"/>
      <c r="I95" s="439"/>
      <c r="J95" s="438"/>
      <c r="K95" s="19"/>
      <c r="L95" s="145"/>
      <c r="M95" s="327">
        <f>B89+F89</f>
        <v>0</v>
      </c>
      <c r="N95" s="327">
        <f>N46+J89</f>
        <v>0</v>
      </c>
      <c r="O95" s="242"/>
      <c r="P95" s="242"/>
      <c r="Q95" s="242"/>
      <c r="R95" s="242"/>
      <c r="S95" s="242">
        <f>IF(M95=0,0,M95*P48)</f>
        <v>0</v>
      </c>
      <c r="T95" s="242">
        <f>IF(M95=0,0,M95*R48)</f>
        <v>0</v>
      </c>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CJ95" s="294"/>
      <c r="CK95" s="294"/>
      <c r="CL95" s="286"/>
      <c r="CM95" s="287"/>
      <c r="CN95" s="242"/>
      <c r="CO95" s="242"/>
      <c r="CP95" s="145"/>
      <c r="CQ95" s="145"/>
      <c r="CR95" s="145"/>
      <c r="CS95" s="145"/>
      <c r="CT95" s="145"/>
      <c r="CU95" s="145"/>
      <c r="CV95" s="145"/>
      <c r="CW95" s="145"/>
      <c r="CX95" s="145"/>
      <c r="CY95" s="145"/>
    </row>
    <row r="96" spans="1:103" s="193" customFormat="1" ht="15.75" customHeight="1" thickBot="1" x14ac:dyDescent="0.25">
      <c r="B96" s="416"/>
      <c r="C96" s="145"/>
      <c r="G96" s="420" t="str">
        <f>IF(OR(F89&lt;-0.01,J89&lt;0,AND(D75&gt;0,OR(F90="",J90=""))),"Fehler TS","")</f>
        <v/>
      </c>
      <c r="K96" s="19"/>
      <c r="L96" s="145"/>
      <c r="M96" s="290"/>
      <c r="N96" s="302">
        <f>N47+J89*(1/0.9)</f>
        <v>0</v>
      </c>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CJ96" s="254"/>
      <c r="CK96" s="254"/>
      <c r="CL96" s="270"/>
      <c r="CM96" s="271"/>
      <c r="CN96" s="242"/>
      <c r="CO96" s="242"/>
      <c r="CP96" s="145"/>
      <c r="CQ96" s="145"/>
      <c r="CR96" s="145"/>
      <c r="CS96" s="145"/>
      <c r="CT96" s="145"/>
      <c r="CU96" s="145"/>
      <c r="CV96" s="145"/>
      <c r="CW96" s="145"/>
      <c r="CX96" s="145"/>
      <c r="CY96" s="145"/>
    </row>
    <row r="97" spans="1:103" s="193" customFormat="1" ht="15.75" customHeight="1" thickBot="1" x14ac:dyDescent="0.25">
      <c r="B97" s="639" t="s">
        <v>327</v>
      </c>
      <c r="C97" s="462" t="str">
        <f>IF(M95=0," ",M95)</f>
        <v xml:space="preserve"> </v>
      </c>
      <c r="E97" s="640"/>
      <c r="F97" s="560"/>
      <c r="G97" s="560"/>
      <c r="I97" s="416"/>
      <c r="J97" s="416"/>
      <c r="K97" s="19"/>
      <c r="L97" s="145"/>
      <c r="M97" s="242" t="e">
        <f>(F89*F90/100+B89*C71/100)/M95*100</f>
        <v>#DIV/0!</v>
      </c>
      <c r="N97" s="319"/>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CJ97" s="293"/>
      <c r="CK97" s="293"/>
      <c r="CL97" s="270">
        <f>SUM(CL23:CL96)</f>
        <v>0</v>
      </c>
      <c r="CM97" s="270">
        <f>SUM(CM23:CM96)</f>
        <v>0</v>
      </c>
      <c r="CN97" s="242"/>
      <c r="CO97" s="242"/>
      <c r="CP97" s="145"/>
      <c r="CQ97" s="145"/>
      <c r="CR97" s="145"/>
      <c r="CS97" s="145"/>
      <c r="CT97" s="145"/>
      <c r="CU97" s="145"/>
      <c r="CV97" s="145"/>
      <c r="CW97" s="145"/>
      <c r="CX97" s="145"/>
      <c r="CY97" s="145"/>
    </row>
    <row r="98" spans="1:103" s="193" customFormat="1" ht="15.75" customHeight="1" x14ac:dyDescent="0.2">
      <c r="A98" s="638"/>
      <c r="B98" s="518" t="s">
        <v>329</v>
      </c>
      <c r="C98" s="418" t="str">
        <f>IF(M95=0,"",M97)</f>
        <v/>
      </c>
      <c r="E98" s="640"/>
      <c r="F98" s="560"/>
      <c r="G98" s="1431" t="s">
        <v>536</v>
      </c>
      <c r="H98" s="1432"/>
      <c r="I98" s="1432"/>
      <c r="J98" s="1433"/>
      <c r="K98" s="19"/>
      <c r="L98" s="145"/>
      <c r="M98" s="242" t="e">
        <f>(F89*W74/100+B89*D71/100)/M95*100</f>
        <v>#DIV/0!</v>
      </c>
      <c r="N98" s="299"/>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CJ98" s="297"/>
      <c r="CK98" s="297"/>
      <c r="CL98" s="374">
        <f>IF(N96=0,0,CL97/(N47+Q88))</f>
        <v>0</v>
      </c>
      <c r="CM98" s="375">
        <f>IF(N96=0,0,CM97/(T47+Q88))</f>
        <v>0</v>
      </c>
      <c r="CN98" s="242"/>
      <c r="CO98" s="242"/>
      <c r="CP98" s="145"/>
      <c r="CQ98" s="145"/>
      <c r="CR98" s="145"/>
      <c r="CS98" s="145"/>
      <c r="CT98" s="145"/>
      <c r="CU98" s="145"/>
      <c r="CV98" s="145"/>
      <c r="CW98" s="145"/>
      <c r="CX98" s="145"/>
      <c r="CY98" s="145"/>
    </row>
    <row r="99" spans="1:103" s="147" customFormat="1" ht="15.75" customHeight="1" x14ac:dyDescent="0.2">
      <c r="A99" s="193"/>
      <c r="B99" s="518" t="s">
        <v>7867</v>
      </c>
      <c r="C99" s="418" t="str">
        <f>IF(M$95=0,"",M98)</f>
        <v/>
      </c>
      <c r="D99" s="193"/>
      <c r="E99" s="416"/>
      <c r="F99" s="416"/>
      <c r="G99" s="1342"/>
      <c r="H99" s="1343"/>
      <c r="I99" s="519" t="s">
        <v>245</v>
      </c>
      <c r="J99" s="524" t="s">
        <v>244</v>
      </c>
      <c r="K99" s="19"/>
      <c r="L99" s="145"/>
      <c r="M99" s="242" t="e">
        <f>(F89*W75/100+B89*E71/100)/M95*100</f>
        <v>#DIV/0!</v>
      </c>
      <c r="N99" s="299"/>
      <c r="O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421"/>
      <c r="CB99" s="421"/>
      <c r="CC99" s="421"/>
      <c r="CD99" s="242"/>
      <c r="CE99" s="242"/>
      <c r="CF99" s="242"/>
      <c r="CG99" s="421"/>
      <c r="CH99" s="421"/>
      <c r="CI99" s="421"/>
      <c r="CJ99" s="242"/>
      <c r="CK99" s="242"/>
      <c r="CL99" s="145"/>
      <c r="CM99" s="145"/>
      <c r="CN99" s="145"/>
      <c r="CO99" s="145"/>
      <c r="CP99" s="145"/>
      <c r="CQ99" s="145"/>
      <c r="CR99" s="145"/>
      <c r="CS99" s="145"/>
      <c r="CT99" s="145"/>
      <c r="CU99" s="145"/>
    </row>
    <row r="100" spans="1:103" s="147" customFormat="1" ht="15.75" customHeight="1" x14ac:dyDescent="0.2">
      <c r="A100" s="638"/>
      <c r="B100" s="518" t="s">
        <v>7868</v>
      </c>
      <c r="C100" s="418" t="str">
        <f>IF(M$95=0,"",M99)</f>
        <v/>
      </c>
      <c r="E100" s="419"/>
      <c r="F100" s="641"/>
      <c r="G100" s="1230" t="s">
        <v>195</v>
      </c>
      <c r="H100" s="1231"/>
      <c r="I100" s="642" t="str">
        <f>J46</f>
        <v xml:space="preserve"> </v>
      </c>
      <c r="J100" s="643" t="str">
        <f>J47</f>
        <v xml:space="preserve"> </v>
      </c>
      <c r="K100" s="19"/>
      <c r="L100" s="145"/>
      <c r="M100" s="242" t="e">
        <f>(F89*W76/100+B89*F71/100)/M95*100</f>
        <v>#DIV/0!</v>
      </c>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421"/>
      <c r="CB100" s="421"/>
      <c r="CC100" s="421"/>
      <c r="CD100" s="242"/>
      <c r="CE100" s="242"/>
      <c r="CF100" s="242"/>
      <c r="CG100" s="421"/>
      <c r="CH100" s="421"/>
      <c r="CI100" s="421"/>
      <c r="CJ100" s="242"/>
      <c r="CK100" s="242"/>
      <c r="CL100" s="145"/>
      <c r="CM100" s="145"/>
      <c r="CN100" s="145"/>
      <c r="CO100" s="145"/>
      <c r="CP100" s="145"/>
      <c r="CQ100" s="145"/>
      <c r="CR100" s="145"/>
      <c r="CS100" s="145"/>
      <c r="CT100" s="145"/>
      <c r="CU100" s="145"/>
    </row>
    <row r="101" spans="1:103" s="147" customFormat="1" ht="14.25" customHeight="1" x14ac:dyDescent="0.2">
      <c r="A101" s="607"/>
      <c r="B101" s="518" t="s">
        <v>7869</v>
      </c>
      <c r="C101" s="418" t="str">
        <f>IF(M$95=0,"",M100)</f>
        <v/>
      </c>
      <c r="G101" s="1230" t="s">
        <v>642</v>
      </c>
      <c r="H101" s="1231"/>
      <c r="I101" s="520" t="str">
        <f>IF(J89="0","",J89)</f>
        <v/>
      </c>
      <c r="J101" s="521" t="str">
        <f>IF(Q88=0,"",Q88)</f>
        <v/>
      </c>
      <c r="K101" s="19"/>
      <c r="L101" s="145"/>
      <c r="M101" s="242" t="e">
        <f>(F89*W77/100+B89*G71/100)/M95*100</f>
        <v>#DIV/0!</v>
      </c>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421"/>
      <c r="CB101" s="421"/>
      <c r="CC101" s="421"/>
      <c r="CD101" s="242"/>
      <c r="CE101" s="242"/>
      <c r="CF101" s="242"/>
      <c r="CG101" s="421"/>
      <c r="CH101" s="421"/>
      <c r="CI101" s="421"/>
      <c r="CJ101" s="242"/>
      <c r="CK101" s="242"/>
      <c r="CL101" s="145"/>
      <c r="CM101" s="145"/>
      <c r="CN101" s="145"/>
      <c r="CO101" s="145"/>
      <c r="CP101" s="145"/>
      <c r="CQ101" s="145"/>
      <c r="CR101" s="145"/>
      <c r="CS101" s="145"/>
      <c r="CT101" s="145"/>
      <c r="CU101" s="145"/>
    </row>
    <row r="102" spans="1:103" s="147" customFormat="1" ht="14.25" customHeight="1" thickBot="1" x14ac:dyDescent="0.25">
      <c r="A102" s="607"/>
      <c r="B102" s="636" t="s">
        <v>7870</v>
      </c>
      <c r="C102" s="463" t="str">
        <f>IF(M$95=0,"",M101)</f>
        <v/>
      </c>
      <c r="G102" s="1238" t="s">
        <v>263</v>
      </c>
      <c r="H102" s="1239"/>
      <c r="I102" s="522" t="str">
        <f>IF(N95=0," ",N95)</f>
        <v xml:space="preserve"> </v>
      </c>
      <c r="J102" s="440" t="str">
        <f>IF(N96=0," ",N96)</f>
        <v xml:space="preserve"> </v>
      </c>
      <c r="K102" s="19"/>
      <c r="L102" s="145"/>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421"/>
      <c r="CB102" s="421"/>
      <c r="CC102" s="421"/>
      <c r="CD102" s="242"/>
      <c r="CE102" s="242"/>
      <c r="CF102" s="242"/>
      <c r="CG102" s="421"/>
      <c r="CH102" s="421"/>
      <c r="CI102" s="421"/>
      <c r="CJ102" s="242"/>
      <c r="CK102" s="242"/>
      <c r="CL102" s="145"/>
      <c r="CM102" s="145"/>
      <c r="CN102" s="145"/>
      <c r="CO102" s="145"/>
      <c r="CP102" s="145"/>
      <c r="CQ102" s="145"/>
      <c r="CR102" s="145"/>
      <c r="CS102" s="145"/>
      <c r="CT102" s="145"/>
      <c r="CU102" s="145"/>
    </row>
    <row r="103" spans="1:103" s="147" customFormat="1" ht="11.45" customHeight="1" x14ac:dyDescent="0.2">
      <c r="A103" s="607"/>
      <c r="B103" s="526"/>
      <c r="C103" s="525"/>
      <c r="G103" s="526"/>
      <c r="H103" s="526"/>
      <c r="I103" s="527"/>
      <c r="J103" s="527"/>
      <c r="K103" s="19"/>
      <c r="L103" s="145"/>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7"/>
      <c r="BT103" s="517"/>
      <c r="BU103" s="517"/>
      <c r="BV103" s="517"/>
      <c r="BW103" s="517"/>
      <c r="BX103" s="517"/>
      <c r="BY103" s="517"/>
      <c r="BZ103" s="517"/>
      <c r="CA103" s="517"/>
      <c r="CB103" s="517"/>
      <c r="CC103" s="517"/>
      <c r="CD103" s="517"/>
      <c r="CE103" s="517"/>
      <c r="CF103" s="517"/>
      <c r="CG103" s="517"/>
      <c r="CH103" s="517"/>
      <c r="CI103" s="517"/>
      <c r="CJ103" s="517"/>
      <c r="CK103" s="517"/>
      <c r="CL103" s="145"/>
      <c r="CM103" s="145"/>
      <c r="CN103" s="145"/>
      <c r="CO103" s="145"/>
      <c r="CP103" s="145"/>
      <c r="CQ103" s="145"/>
      <c r="CR103" s="145"/>
      <c r="CS103" s="145"/>
      <c r="CT103" s="145"/>
      <c r="CU103" s="145"/>
    </row>
    <row r="104" spans="1:103" s="147" customFormat="1" ht="15.75" customHeight="1" x14ac:dyDescent="0.2">
      <c r="A104" s="805"/>
      <c r="B104" s="805"/>
      <c r="C104" s="805"/>
      <c r="D104" s="805"/>
      <c r="E104" s="805"/>
      <c r="F104" s="805"/>
      <c r="G104" s="805"/>
      <c r="H104" s="805"/>
      <c r="I104" s="805"/>
      <c r="J104" s="805"/>
      <c r="K104" s="19"/>
      <c r="L104" s="145"/>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421"/>
      <c r="CB104" s="421"/>
      <c r="CC104" s="421"/>
      <c r="CD104" s="242"/>
      <c r="CE104" s="242"/>
      <c r="CF104" s="242"/>
      <c r="CG104" s="421"/>
      <c r="CH104" s="421"/>
      <c r="CI104" s="421"/>
      <c r="CJ104" s="242"/>
      <c r="CK104" s="242"/>
      <c r="CL104" s="145"/>
      <c r="CM104" s="145"/>
      <c r="CN104" s="145"/>
      <c r="CO104" s="145"/>
      <c r="CP104" s="145"/>
      <c r="CQ104" s="145"/>
      <c r="CR104" s="145"/>
      <c r="CS104" s="145"/>
      <c r="CT104" s="145"/>
      <c r="CU104" s="145"/>
    </row>
    <row r="105" spans="1:103" s="147" customFormat="1" ht="15.75" customHeight="1" thickBot="1" x14ac:dyDescent="0.25">
      <c r="A105" s="644"/>
      <c r="B105" s="644"/>
      <c r="C105" s="644"/>
      <c r="D105" s="644"/>
      <c r="E105" s="644"/>
      <c r="F105" s="644"/>
      <c r="G105" s="644"/>
      <c r="H105" s="644"/>
      <c r="I105" s="644"/>
      <c r="J105" s="644"/>
      <c r="K105" s="19"/>
      <c r="L105" s="145"/>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421"/>
      <c r="CB105" s="421"/>
      <c r="CC105" s="421"/>
      <c r="CD105" s="242"/>
      <c r="CE105" s="242"/>
      <c r="CF105" s="242"/>
      <c r="CG105" s="421"/>
      <c r="CH105" s="421"/>
      <c r="CI105" s="421"/>
      <c r="CJ105" s="242"/>
      <c r="CK105" s="242"/>
      <c r="CL105" s="145"/>
      <c r="CM105" s="145"/>
      <c r="CN105" s="145"/>
      <c r="CO105" s="145"/>
      <c r="CP105" s="145"/>
      <c r="CQ105" s="145"/>
      <c r="CR105" s="145"/>
      <c r="CS105" s="145"/>
      <c r="CT105" s="145"/>
      <c r="CU105" s="145"/>
    </row>
    <row r="106" spans="1:103" s="147" customFormat="1" ht="15.75" customHeight="1" thickBot="1" x14ac:dyDescent="0.25">
      <c r="A106" s="1234" t="s">
        <v>344</v>
      </c>
      <c r="B106" s="1235"/>
      <c r="C106" s="1235"/>
      <c r="D106" s="1235"/>
      <c r="E106" s="1235"/>
      <c r="F106" s="1235"/>
      <c r="G106" s="1235"/>
      <c r="H106" s="1235"/>
      <c r="I106" s="1235"/>
      <c r="J106" s="1236"/>
      <c r="K106" s="19"/>
      <c r="L106" s="145"/>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421"/>
      <c r="CB106" s="421"/>
      <c r="CC106" s="421"/>
      <c r="CD106" s="242"/>
      <c r="CE106" s="242"/>
      <c r="CF106" s="242"/>
      <c r="CG106" s="421"/>
      <c r="CH106" s="421"/>
      <c r="CI106" s="421"/>
      <c r="CJ106" s="242"/>
      <c r="CK106" s="242"/>
      <c r="CL106" s="145"/>
      <c r="CM106" s="145"/>
      <c r="CN106" s="145"/>
      <c r="CO106" s="145"/>
      <c r="CP106" s="145"/>
      <c r="CQ106" s="145"/>
      <c r="CR106" s="145"/>
      <c r="CS106" s="145"/>
      <c r="CT106" s="145"/>
      <c r="CU106" s="145"/>
    </row>
    <row r="107" spans="1:103" s="141" customFormat="1" ht="6.75" customHeight="1" thickBot="1" x14ac:dyDescent="0.25">
      <c r="A107" s="1"/>
      <c r="B107" s="23"/>
      <c r="C107" s="23"/>
      <c r="D107" s="24"/>
      <c r="E107" s="24"/>
      <c r="F107" s="24"/>
      <c r="G107" s="24"/>
      <c r="H107" s="24"/>
      <c r="I107" s="24"/>
      <c r="J107" s="25"/>
      <c r="K107" s="25"/>
      <c r="L107" s="152"/>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152"/>
      <c r="CF107" s="152"/>
      <c r="CG107" s="152"/>
      <c r="CH107" s="152"/>
      <c r="CI107" s="152"/>
      <c r="CJ107" s="152"/>
      <c r="CK107" s="152"/>
      <c r="CL107" s="152"/>
      <c r="CM107" s="152"/>
      <c r="CN107" s="152"/>
      <c r="CO107" s="152"/>
      <c r="CP107" s="152"/>
      <c r="CQ107" s="152"/>
    </row>
    <row r="108" spans="1:103" s="147" customFormat="1" ht="15.75" customHeight="1" x14ac:dyDescent="0.2">
      <c r="A108" s="156" t="s">
        <v>272</v>
      </c>
      <c r="B108" s="157"/>
      <c r="C108" s="1191" t="s">
        <v>271</v>
      </c>
      <c r="D108" s="1192"/>
      <c r="E108" s="1191" t="s">
        <v>28</v>
      </c>
      <c r="F108" s="1192"/>
      <c r="G108" s="1190" t="s">
        <v>342</v>
      </c>
      <c r="H108" s="1190"/>
      <c r="I108" s="1185" t="s">
        <v>277</v>
      </c>
      <c r="J108" s="1186"/>
      <c r="K108" s="19"/>
      <c r="L108" s="145"/>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421"/>
      <c r="CB108" s="421"/>
      <c r="CC108" s="421"/>
      <c r="CD108" s="242"/>
      <c r="CE108" s="145"/>
      <c r="CF108" s="145"/>
      <c r="CG108" s="145"/>
      <c r="CH108" s="145"/>
      <c r="CI108" s="145"/>
      <c r="CJ108" s="145"/>
      <c r="CK108" s="145"/>
      <c r="CL108" s="145"/>
      <c r="CM108" s="145"/>
      <c r="CN108" s="145"/>
      <c r="CO108" s="145"/>
      <c r="CP108" s="145"/>
      <c r="CQ108" s="145"/>
    </row>
    <row r="109" spans="1:103" s="147" customFormat="1" ht="16.5" customHeight="1" thickBot="1" x14ac:dyDescent="0.25">
      <c r="A109" s="158"/>
      <c r="B109" s="159"/>
      <c r="C109" s="1188" t="s">
        <v>332</v>
      </c>
      <c r="D109" s="1194"/>
      <c r="E109" s="1188" t="s">
        <v>27</v>
      </c>
      <c r="F109" s="1194"/>
      <c r="G109" s="1189" t="s">
        <v>27</v>
      </c>
      <c r="H109" s="1189"/>
      <c r="I109" s="160" t="s">
        <v>260</v>
      </c>
      <c r="J109" s="181" t="s">
        <v>261</v>
      </c>
      <c r="K109" s="19"/>
      <c r="L109" s="145"/>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c r="CA109" s="421"/>
      <c r="CB109" s="421"/>
      <c r="CC109" s="421"/>
      <c r="CD109" s="242"/>
      <c r="CE109" s="145"/>
      <c r="CF109" s="145"/>
      <c r="CG109" s="145"/>
      <c r="CH109" s="145"/>
      <c r="CI109" s="145"/>
      <c r="CJ109" s="145"/>
      <c r="CK109" s="145"/>
      <c r="CL109" s="145"/>
      <c r="CM109" s="145"/>
      <c r="CN109" s="145"/>
      <c r="CO109" s="145"/>
      <c r="CP109" s="145"/>
      <c r="CQ109" s="145"/>
    </row>
    <row r="110" spans="1:103" s="147" customFormat="1" ht="18" customHeight="1" x14ac:dyDescent="0.2">
      <c r="A110" s="1196" t="s">
        <v>29</v>
      </c>
      <c r="B110" s="1237"/>
      <c r="C110" s="1160" t="s">
        <v>260</v>
      </c>
      <c r="D110" s="1161"/>
      <c r="E110" s="1174"/>
      <c r="F110" s="1193"/>
      <c r="G110" s="1240"/>
      <c r="H110" s="1176"/>
      <c r="I110" s="464" t="str">
        <f>IF(M110=TRUE,E110/2*E110/2*3.1415926*G110," ")</f>
        <v xml:space="preserve"> </v>
      </c>
      <c r="J110" s="472"/>
      <c r="K110" s="19"/>
      <c r="L110" s="145"/>
      <c r="M110" s="242" t="b">
        <f>AND(E110&gt;0.1,G110&gt;0.1)</f>
        <v>0</v>
      </c>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421"/>
      <c r="CB110" s="421"/>
      <c r="CC110" s="421"/>
      <c r="CD110" s="242"/>
      <c r="CE110" s="145"/>
      <c r="CF110" s="145"/>
      <c r="CG110" s="145"/>
      <c r="CH110" s="145"/>
      <c r="CI110" s="145"/>
      <c r="CJ110" s="145"/>
      <c r="CK110" s="145"/>
      <c r="CL110" s="145"/>
      <c r="CM110" s="145"/>
      <c r="CN110" s="145"/>
      <c r="CO110" s="145"/>
      <c r="CP110" s="145"/>
      <c r="CQ110" s="145"/>
    </row>
    <row r="111" spans="1:103" s="147" customFormat="1" ht="18" customHeight="1" x14ac:dyDescent="0.2">
      <c r="A111" s="1183" t="s">
        <v>30</v>
      </c>
      <c r="B111" s="1200"/>
      <c r="C111" s="1201" t="s">
        <v>260</v>
      </c>
      <c r="D111" s="1202"/>
      <c r="E111" s="1168"/>
      <c r="F111" s="1195"/>
      <c r="G111" s="1187"/>
      <c r="H111" s="1170"/>
      <c r="I111" s="466" t="str">
        <f>IF(M111=TRUE,E111/2*E111/2*3.1415926*G111," ")</f>
        <v xml:space="preserve"> </v>
      </c>
      <c r="J111" s="473"/>
      <c r="K111" s="19"/>
      <c r="L111" s="145"/>
      <c r="M111" s="242" t="b">
        <f>AND(E111&gt;0.1,G111&gt;0.1)</f>
        <v>0</v>
      </c>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421"/>
      <c r="CB111" s="421"/>
      <c r="CC111" s="421"/>
      <c r="CD111" s="242"/>
      <c r="CE111" s="145"/>
      <c r="CF111" s="145"/>
      <c r="CG111" s="145"/>
      <c r="CH111" s="145"/>
      <c r="CI111" s="145"/>
      <c r="CJ111" s="145"/>
      <c r="CK111" s="145"/>
      <c r="CL111" s="145"/>
      <c r="CM111" s="145"/>
      <c r="CN111" s="145"/>
      <c r="CO111" s="145"/>
      <c r="CP111" s="145"/>
      <c r="CQ111" s="145"/>
    </row>
    <row r="112" spans="1:103" s="147" customFormat="1" ht="18" customHeight="1" x14ac:dyDescent="0.2">
      <c r="A112" s="1183" t="s">
        <v>31</v>
      </c>
      <c r="B112" s="1200"/>
      <c r="C112" s="1201" t="s">
        <v>260</v>
      </c>
      <c r="D112" s="1202"/>
      <c r="E112" s="1168"/>
      <c r="F112" s="1195"/>
      <c r="G112" s="1187"/>
      <c r="H112" s="1170"/>
      <c r="I112" s="466" t="str">
        <f>IF(M112=TRUE,E112/2*E112/2*3.1415926*G112," ")</f>
        <v xml:space="preserve"> </v>
      </c>
      <c r="J112" s="473"/>
      <c r="K112" s="19"/>
      <c r="L112" s="145"/>
      <c r="M112" s="242" t="b">
        <f>AND(E112&gt;0.1,G112&gt;0.1)</f>
        <v>0</v>
      </c>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c r="CA112" s="421"/>
      <c r="CB112" s="421"/>
      <c r="CC112" s="421"/>
      <c r="CD112" s="242"/>
      <c r="CE112" s="145"/>
      <c r="CF112" s="145"/>
      <c r="CG112" s="145"/>
      <c r="CH112" s="145"/>
      <c r="CI112" s="145"/>
      <c r="CJ112" s="145"/>
      <c r="CK112" s="145"/>
      <c r="CL112" s="145"/>
      <c r="CM112" s="145"/>
      <c r="CN112" s="145"/>
      <c r="CO112" s="145"/>
      <c r="CP112" s="145"/>
      <c r="CQ112" s="145"/>
    </row>
    <row r="113" spans="1:95" s="147" customFormat="1" ht="18" customHeight="1" thickBot="1" x14ac:dyDescent="0.25">
      <c r="A113" s="1203" t="s">
        <v>33</v>
      </c>
      <c r="B113" s="1204"/>
      <c r="C113" s="1346" t="s">
        <v>260</v>
      </c>
      <c r="D113" s="1347"/>
      <c r="E113" s="1215"/>
      <c r="F113" s="1335"/>
      <c r="G113" s="1166"/>
      <c r="H113" s="1167"/>
      <c r="I113" s="471" t="str">
        <f>IF(M113=TRUE,E113/2*E113/2*3.1415926*G113," ")</f>
        <v xml:space="preserve"> </v>
      </c>
      <c r="J113" s="470"/>
      <c r="K113" s="19"/>
      <c r="L113" s="145"/>
      <c r="M113" s="242" t="b">
        <f>AND(E113&gt;0.1,G113&gt;0.1)</f>
        <v>0</v>
      </c>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c r="CA113" s="421"/>
      <c r="CB113" s="421"/>
      <c r="CC113" s="421"/>
      <c r="CD113" s="242"/>
      <c r="CE113" s="145"/>
      <c r="CF113" s="145"/>
      <c r="CG113" s="145"/>
      <c r="CH113" s="145"/>
      <c r="CI113" s="145"/>
      <c r="CJ113" s="145"/>
      <c r="CK113" s="145"/>
      <c r="CL113" s="145"/>
      <c r="CM113" s="145"/>
      <c r="CN113" s="145"/>
      <c r="CO113" s="145"/>
      <c r="CP113" s="145"/>
      <c r="CQ113" s="145"/>
    </row>
    <row r="114" spans="1:95" s="147" customFormat="1" ht="16.5" customHeight="1" x14ac:dyDescent="0.2">
      <c r="A114" s="161" t="s">
        <v>273</v>
      </c>
      <c r="B114" s="162"/>
      <c r="C114" s="1188" t="s">
        <v>271</v>
      </c>
      <c r="D114" s="1194"/>
      <c r="E114" s="180" t="s">
        <v>32</v>
      </c>
      <c r="F114" s="180" t="s">
        <v>35</v>
      </c>
      <c r="G114" s="1188" t="s">
        <v>342</v>
      </c>
      <c r="H114" s="1189"/>
      <c r="I114" s="178"/>
      <c r="J114" s="177"/>
      <c r="K114" s="19"/>
      <c r="L114" s="145"/>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c r="CA114" s="421"/>
      <c r="CB114" s="421"/>
      <c r="CC114" s="421"/>
      <c r="CD114" s="242"/>
      <c r="CE114" s="145"/>
      <c r="CF114" s="145"/>
      <c r="CG114" s="145"/>
      <c r="CH114" s="145"/>
      <c r="CI114" s="145"/>
      <c r="CJ114" s="145"/>
      <c r="CK114" s="145"/>
      <c r="CL114" s="145"/>
      <c r="CM114" s="145"/>
      <c r="CN114" s="145"/>
      <c r="CO114" s="145"/>
      <c r="CP114" s="145"/>
      <c r="CQ114" s="145"/>
    </row>
    <row r="115" spans="1:95" s="147" customFormat="1" ht="16.5" customHeight="1" thickBot="1" x14ac:dyDescent="0.25">
      <c r="A115" s="161" t="s">
        <v>274</v>
      </c>
      <c r="B115" s="162"/>
      <c r="C115" s="1188" t="s">
        <v>332</v>
      </c>
      <c r="D115" s="1194"/>
      <c r="E115" s="180" t="s">
        <v>27</v>
      </c>
      <c r="F115" s="180" t="s">
        <v>27</v>
      </c>
      <c r="G115" s="1198" t="s">
        <v>27</v>
      </c>
      <c r="H115" s="1199"/>
      <c r="I115" s="177"/>
      <c r="J115" s="177"/>
      <c r="K115" s="19"/>
      <c r="L115" s="145"/>
      <c r="M115" s="242"/>
      <c r="N115" s="242"/>
      <c r="O115" s="242"/>
      <c r="P115" s="242"/>
      <c r="Q115" s="242"/>
      <c r="R115" s="242" t="s">
        <v>21</v>
      </c>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c r="CA115" s="421"/>
      <c r="CB115" s="421"/>
      <c r="CC115" s="421"/>
      <c r="CD115" s="242"/>
      <c r="CE115" s="145"/>
      <c r="CF115" s="145"/>
      <c r="CG115" s="145"/>
      <c r="CH115" s="145"/>
      <c r="CI115" s="145"/>
      <c r="CJ115" s="145"/>
      <c r="CK115" s="145"/>
      <c r="CL115" s="145"/>
      <c r="CM115" s="145"/>
      <c r="CN115" s="145"/>
      <c r="CO115" s="145"/>
      <c r="CP115" s="145"/>
      <c r="CQ115" s="145"/>
    </row>
    <row r="116" spans="1:95" s="147" customFormat="1" ht="18" customHeight="1" x14ac:dyDescent="0.2">
      <c r="A116" s="1196" t="s">
        <v>275</v>
      </c>
      <c r="B116" s="1197"/>
      <c r="C116" s="1344"/>
      <c r="D116" s="1345"/>
      <c r="E116" s="1046"/>
      <c r="F116" s="1047"/>
      <c r="G116" s="1240"/>
      <c r="H116" s="1176"/>
      <c r="I116" s="464" t="str">
        <f>IF(M116=TRUE,IF(U116=2,E116*F116*G116," ")," ")</f>
        <v xml:space="preserve"> </v>
      </c>
      <c r="J116" s="475" t="str">
        <f>IF(M116=TRUE,IF(U116=3,E116*F116*G116," ")," ")</f>
        <v xml:space="preserve"> </v>
      </c>
      <c r="K116" s="19"/>
      <c r="L116" s="145"/>
      <c r="M116" s="242" t="b">
        <f>AND(E116&gt;0.1,F116&gt;0.1,G116&gt;0.1)</f>
        <v>0</v>
      </c>
      <c r="N116" s="242"/>
      <c r="O116" s="242"/>
      <c r="P116" s="242"/>
      <c r="Q116" s="242"/>
      <c r="R116" s="242" t="s">
        <v>260</v>
      </c>
      <c r="S116" s="242"/>
      <c r="T116" s="242"/>
      <c r="U116" s="242">
        <v>1</v>
      </c>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c r="CA116" s="421"/>
      <c r="CB116" s="421"/>
      <c r="CC116" s="421"/>
      <c r="CD116" s="242"/>
      <c r="CE116" s="145"/>
      <c r="CF116" s="145"/>
      <c r="CG116" s="145"/>
      <c r="CH116" s="145"/>
      <c r="CI116" s="145"/>
      <c r="CJ116" s="145"/>
      <c r="CK116" s="145"/>
      <c r="CL116" s="145"/>
      <c r="CM116" s="145"/>
      <c r="CN116" s="145"/>
      <c r="CO116" s="145"/>
      <c r="CP116" s="145"/>
      <c r="CQ116" s="145"/>
    </row>
    <row r="117" spans="1:95" s="147" customFormat="1" ht="18" customHeight="1" x14ac:dyDescent="0.2">
      <c r="A117" s="1183" t="s">
        <v>304</v>
      </c>
      <c r="B117" s="1184"/>
      <c r="C117" s="1181"/>
      <c r="D117" s="1182"/>
      <c r="E117" s="1048"/>
      <c r="F117" s="1049"/>
      <c r="G117" s="1187"/>
      <c r="H117" s="1170"/>
      <c r="I117" s="466" t="str">
        <f>IF(M117=TRUE,IF(U117=2,E117*F117*G117," ")," ")</f>
        <v xml:space="preserve"> </v>
      </c>
      <c r="J117" s="476" t="str">
        <f>IF(M117=TRUE,IF(U117=3,E117*F117*G117," ")," ")</f>
        <v xml:space="preserve"> </v>
      </c>
      <c r="K117" s="19"/>
      <c r="L117" s="145"/>
      <c r="M117" s="242" t="b">
        <f>AND(E117&gt;0.1,F117&gt;0.1,G117&gt;0.1)</f>
        <v>0</v>
      </c>
      <c r="N117" s="242"/>
      <c r="O117" s="242"/>
      <c r="P117" s="242"/>
      <c r="Q117" s="242"/>
      <c r="R117" s="242" t="s">
        <v>261</v>
      </c>
      <c r="S117" s="242"/>
      <c r="T117" s="242"/>
      <c r="U117" s="242">
        <v>1</v>
      </c>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c r="CA117" s="421"/>
      <c r="CB117" s="421"/>
      <c r="CC117" s="421"/>
      <c r="CD117" s="242"/>
      <c r="CE117" s="145"/>
      <c r="CF117" s="145"/>
      <c r="CG117" s="145"/>
      <c r="CH117" s="145"/>
      <c r="CI117" s="145"/>
      <c r="CJ117" s="145"/>
      <c r="CK117" s="145"/>
      <c r="CL117" s="145"/>
      <c r="CM117" s="145"/>
      <c r="CN117" s="145"/>
      <c r="CO117" s="145"/>
      <c r="CP117" s="145"/>
      <c r="CQ117" s="145"/>
    </row>
    <row r="118" spans="1:95" s="147" customFormat="1" ht="18" customHeight="1" x14ac:dyDescent="0.2">
      <c r="A118" s="1183" t="s">
        <v>305</v>
      </c>
      <c r="B118" s="1184"/>
      <c r="C118" s="1181"/>
      <c r="D118" s="1182"/>
      <c r="E118" s="1048"/>
      <c r="F118" s="1049"/>
      <c r="G118" s="1187"/>
      <c r="H118" s="1170"/>
      <c r="I118" s="466" t="str">
        <f>IF(M118=TRUE,IF(U118=2,E118*F118*G118," ")," ")</f>
        <v xml:space="preserve"> </v>
      </c>
      <c r="J118" s="476" t="str">
        <f>IF(M118=TRUE,IF(U118=3,E118*F118*G118," ")," ")</f>
        <v xml:space="preserve"> </v>
      </c>
      <c r="K118" s="19"/>
      <c r="L118" s="145"/>
      <c r="M118" s="242" t="b">
        <f>AND(E118&gt;0.1,F118&gt;0.1,G118&gt;0.1)</f>
        <v>0</v>
      </c>
      <c r="N118" s="242"/>
      <c r="O118" s="242"/>
      <c r="P118" s="242"/>
      <c r="Q118" s="242"/>
      <c r="R118" s="242"/>
      <c r="S118" s="242"/>
      <c r="T118" s="242"/>
      <c r="U118" s="242">
        <v>1</v>
      </c>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c r="CA118" s="421"/>
      <c r="CB118" s="421"/>
      <c r="CC118" s="421"/>
      <c r="CD118" s="242"/>
      <c r="CE118" s="145"/>
      <c r="CF118" s="145"/>
      <c r="CG118" s="145"/>
      <c r="CH118" s="145"/>
      <c r="CI118" s="145"/>
      <c r="CJ118" s="145"/>
      <c r="CK118" s="145"/>
      <c r="CL118" s="145"/>
      <c r="CM118" s="145"/>
      <c r="CN118" s="145"/>
      <c r="CO118" s="145"/>
      <c r="CP118" s="145"/>
      <c r="CQ118" s="145"/>
    </row>
    <row r="119" spans="1:95" s="147" customFormat="1" ht="18" customHeight="1" thickBot="1" x14ac:dyDescent="0.25">
      <c r="A119" s="1203" t="s">
        <v>306</v>
      </c>
      <c r="B119" s="1350"/>
      <c r="C119" s="1177"/>
      <c r="D119" s="1178"/>
      <c r="E119" s="1050"/>
      <c r="F119" s="1051"/>
      <c r="G119" s="1166"/>
      <c r="H119" s="1167"/>
      <c r="I119" s="471" t="str">
        <f>IF(M119=TRUE,IF(U119=2,E119*F119*G119," ")," ")</f>
        <v xml:space="preserve"> </v>
      </c>
      <c r="J119" s="474" t="str">
        <f>IF(M119=TRUE,IF(U119=3,E119*F119*G119," ")," ")</f>
        <v xml:space="preserve"> </v>
      </c>
      <c r="K119" s="19"/>
      <c r="L119" s="145"/>
      <c r="M119" s="242" t="b">
        <f>AND(E119&gt;0.1,F119&gt;0.1,G119&gt;0.1)</f>
        <v>0</v>
      </c>
      <c r="N119" s="242"/>
      <c r="O119" s="242"/>
      <c r="P119" s="242"/>
      <c r="Q119" s="242"/>
      <c r="R119" s="242"/>
      <c r="S119" s="242"/>
      <c r="T119" s="242"/>
      <c r="U119" s="242">
        <v>1</v>
      </c>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c r="BX119" s="242"/>
      <c r="BY119" s="242"/>
      <c r="BZ119" s="242"/>
      <c r="CA119" s="421"/>
      <c r="CB119" s="421"/>
      <c r="CC119" s="421"/>
      <c r="CD119" s="242"/>
      <c r="CE119" s="145"/>
      <c r="CF119" s="145"/>
      <c r="CG119" s="145"/>
      <c r="CH119" s="145"/>
      <c r="CI119" s="145"/>
      <c r="CJ119" s="145"/>
      <c r="CK119" s="145"/>
      <c r="CL119" s="145"/>
      <c r="CM119" s="145"/>
      <c r="CN119" s="145"/>
      <c r="CO119" s="145"/>
      <c r="CP119" s="145"/>
      <c r="CQ119" s="145"/>
    </row>
    <row r="120" spans="1:95" s="147" customFormat="1" ht="21" customHeight="1" thickBot="1" x14ac:dyDescent="0.25">
      <c r="A120" s="1351" t="s">
        <v>335</v>
      </c>
      <c r="B120" s="1352"/>
      <c r="C120" s="1352"/>
      <c r="D120" s="1352"/>
      <c r="E120" s="1352"/>
      <c r="F120" s="1352"/>
      <c r="G120" s="1352"/>
      <c r="H120" s="1353"/>
      <c r="I120" s="179"/>
      <c r="J120" s="179"/>
      <c r="K120" s="19"/>
      <c r="L120" s="145"/>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c r="BQ120" s="242"/>
      <c r="BR120" s="242"/>
      <c r="BS120" s="242"/>
      <c r="BT120" s="242"/>
      <c r="BU120" s="242"/>
      <c r="BV120" s="242"/>
      <c r="BW120" s="242"/>
      <c r="BX120" s="242"/>
      <c r="BY120" s="242"/>
      <c r="BZ120" s="242"/>
      <c r="CA120" s="421"/>
      <c r="CB120" s="421"/>
      <c r="CC120" s="421"/>
      <c r="CD120" s="242"/>
      <c r="CE120" s="145"/>
      <c r="CF120" s="145"/>
      <c r="CG120" s="145"/>
      <c r="CH120" s="145"/>
      <c r="CI120" s="145"/>
      <c r="CJ120" s="145"/>
      <c r="CK120" s="145"/>
      <c r="CL120" s="145"/>
      <c r="CM120" s="145"/>
      <c r="CN120" s="145"/>
      <c r="CO120" s="145"/>
      <c r="CP120" s="145"/>
      <c r="CQ120" s="145"/>
    </row>
    <row r="121" spans="1:95" s="147" customFormat="1" ht="18" customHeight="1" x14ac:dyDescent="0.2">
      <c r="A121" s="1348" t="s">
        <v>276</v>
      </c>
      <c r="B121" s="1349"/>
      <c r="C121" s="1174"/>
      <c r="D121" s="1175"/>
      <c r="E121" s="1175"/>
      <c r="F121" s="1175"/>
      <c r="G121" s="1175"/>
      <c r="H121" s="1176"/>
      <c r="I121" s="1052"/>
      <c r="J121" s="1053"/>
      <c r="K121" s="19"/>
      <c r="L121" s="145"/>
      <c r="M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c r="CA121" s="421"/>
      <c r="CB121" s="421"/>
      <c r="CC121" s="421"/>
      <c r="CD121" s="242"/>
      <c r="CE121" s="145"/>
      <c r="CF121" s="145"/>
      <c r="CG121" s="145"/>
      <c r="CH121" s="145"/>
      <c r="CI121" s="145"/>
      <c r="CJ121" s="145"/>
      <c r="CK121" s="145"/>
      <c r="CL121" s="145"/>
      <c r="CM121" s="145"/>
      <c r="CN121" s="145"/>
      <c r="CO121" s="145"/>
      <c r="CP121" s="145"/>
      <c r="CQ121" s="145"/>
    </row>
    <row r="122" spans="1:95" s="147" customFormat="1" ht="18" customHeight="1" x14ac:dyDescent="0.2">
      <c r="A122" s="1179" t="s">
        <v>280</v>
      </c>
      <c r="B122" s="1180"/>
      <c r="C122" s="1168"/>
      <c r="D122" s="1169"/>
      <c r="E122" s="1169"/>
      <c r="F122" s="1169"/>
      <c r="G122" s="1169"/>
      <c r="H122" s="1170"/>
      <c r="I122" s="1054"/>
      <c r="J122" s="1055"/>
      <c r="K122" s="19"/>
      <c r="L122" s="145"/>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c r="CA122" s="421"/>
      <c r="CB122" s="421"/>
      <c r="CC122" s="421"/>
      <c r="CD122" s="242"/>
      <c r="CE122" s="145"/>
      <c r="CF122" s="145"/>
      <c r="CG122" s="145"/>
      <c r="CH122" s="145"/>
      <c r="CI122" s="145"/>
      <c r="CJ122" s="145"/>
      <c r="CK122" s="145"/>
      <c r="CL122" s="145"/>
      <c r="CM122" s="145"/>
      <c r="CN122" s="145"/>
      <c r="CO122" s="145"/>
      <c r="CP122" s="145"/>
      <c r="CQ122" s="145"/>
    </row>
    <row r="123" spans="1:95" s="147" customFormat="1" ht="18" customHeight="1" x14ac:dyDescent="0.2">
      <c r="A123" s="1179" t="s">
        <v>281</v>
      </c>
      <c r="B123" s="1180"/>
      <c r="C123" s="1168"/>
      <c r="D123" s="1169"/>
      <c r="E123" s="1169"/>
      <c r="F123" s="1169"/>
      <c r="G123" s="1169"/>
      <c r="H123" s="1170"/>
      <c r="I123" s="1054"/>
      <c r="J123" s="1055"/>
      <c r="K123" s="19"/>
      <c r="L123" s="145"/>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c r="CA123" s="421"/>
      <c r="CB123" s="421"/>
      <c r="CC123" s="421"/>
      <c r="CD123" s="242"/>
      <c r="CE123" s="145"/>
      <c r="CF123" s="145"/>
      <c r="CG123" s="145"/>
      <c r="CH123" s="145"/>
      <c r="CI123" s="145"/>
      <c r="CJ123" s="145"/>
      <c r="CK123" s="145"/>
      <c r="CL123" s="145"/>
      <c r="CM123" s="145"/>
      <c r="CN123" s="145"/>
      <c r="CO123" s="145"/>
      <c r="CP123" s="145"/>
      <c r="CQ123" s="145"/>
    </row>
    <row r="124" spans="1:95" s="147" customFormat="1" ht="18" customHeight="1" thickBot="1" x14ac:dyDescent="0.25">
      <c r="A124" s="1217" t="s">
        <v>282</v>
      </c>
      <c r="B124" s="1218"/>
      <c r="C124" s="1215"/>
      <c r="D124" s="1216"/>
      <c r="E124" s="1216"/>
      <c r="F124" s="1216"/>
      <c r="G124" s="1216"/>
      <c r="H124" s="1167"/>
      <c r="I124" s="1056"/>
      <c r="J124" s="1057"/>
      <c r="K124" s="19"/>
      <c r="L124" s="145"/>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c r="CA124" s="421"/>
      <c r="CB124" s="421"/>
      <c r="CC124" s="421"/>
      <c r="CD124" s="242"/>
      <c r="CE124" s="145"/>
      <c r="CF124" s="145"/>
      <c r="CG124" s="145"/>
      <c r="CH124" s="145"/>
      <c r="CI124" s="145"/>
      <c r="CJ124" s="145"/>
      <c r="CK124" s="145"/>
      <c r="CL124" s="145"/>
      <c r="CM124" s="145"/>
      <c r="CN124" s="145"/>
      <c r="CO124" s="145"/>
      <c r="CP124" s="145"/>
      <c r="CQ124" s="145"/>
    </row>
    <row r="125" spans="1:95" s="141" customFormat="1" ht="20.25" customHeight="1" thickBot="1" x14ac:dyDescent="0.25">
      <c r="A125" s="173" t="s">
        <v>283</v>
      </c>
      <c r="B125" s="174"/>
      <c r="C125" s="174"/>
      <c r="D125" s="222" t="str">
        <f>IF(X131&gt;1,"Verpacht mit Vorzeichen minus"," ")</f>
        <v xml:space="preserve"> </v>
      </c>
      <c r="E125" s="175"/>
      <c r="F125" s="175"/>
      <c r="G125" s="175"/>
      <c r="H125" s="175"/>
      <c r="I125" s="189"/>
      <c r="J125" s="189"/>
      <c r="K125" s="25"/>
      <c r="L125" s="152"/>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c r="AH125" s="331"/>
      <c r="AI125" s="331"/>
      <c r="AJ125" s="331"/>
      <c r="AK125" s="331"/>
      <c r="AL125" s="331"/>
      <c r="AM125" s="331"/>
      <c r="AN125" s="331"/>
      <c r="AO125" s="331"/>
      <c r="AP125" s="331"/>
      <c r="AQ125" s="331"/>
      <c r="AR125" s="331"/>
      <c r="AS125" s="331"/>
      <c r="AT125" s="331"/>
      <c r="AU125" s="331"/>
      <c r="AV125" s="331"/>
      <c r="AW125" s="331"/>
      <c r="AX125" s="331"/>
      <c r="AY125" s="331"/>
      <c r="AZ125" s="331"/>
      <c r="BA125" s="331"/>
      <c r="BB125" s="331"/>
      <c r="BC125" s="331"/>
      <c r="BD125" s="331"/>
      <c r="BE125" s="331"/>
      <c r="BF125" s="331"/>
      <c r="BG125" s="331"/>
      <c r="BH125" s="331"/>
      <c r="BI125" s="331"/>
      <c r="BJ125" s="331"/>
      <c r="BK125" s="331"/>
      <c r="BL125" s="331"/>
      <c r="BM125" s="331"/>
      <c r="BN125" s="331"/>
      <c r="BO125" s="331"/>
      <c r="BP125" s="331"/>
      <c r="BQ125" s="331"/>
      <c r="BR125" s="331"/>
      <c r="BS125" s="331"/>
      <c r="BT125" s="331"/>
      <c r="BU125" s="331"/>
      <c r="BV125" s="331"/>
      <c r="BW125" s="331"/>
      <c r="BX125" s="331"/>
      <c r="BY125" s="331"/>
      <c r="BZ125" s="331"/>
      <c r="CA125" s="331"/>
      <c r="CB125" s="331"/>
      <c r="CC125" s="331"/>
      <c r="CD125" s="331"/>
      <c r="CE125" s="152"/>
      <c r="CF125" s="152"/>
      <c r="CG125" s="152"/>
      <c r="CH125" s="152"/>
      <c r="CI125" s="152"/>
      <c r="CJ125" s="152"/>
      <c r="CK125" s="152"/>
      <c r="CL125" s="152"/>
      <c r="CM125" s="152"/>
      <c r="CN125" s="152"/>
      <c r="CO125" s="152"/>
      <c r="CP125" s="152"/>
      <c r="CQ125" s="152"/>
    </row>
    <row r="126" spans="1:95" s="147" customFormat="1" ht="19.5" customHeight="1" thickBot="1" x14ac:dyDescent="0.25">
      <c r="A126" s="173" t="s">
        <v>279</v>
      </c>
      <c r="B126" s="173" t="s">
        <v>278</v>
      </c>
      <c r="C126" s="176"/>
      <c r="D126" s="182"/>
      <c r="E126" s="182"/>
      <c r="F126" s="182"/>
      <c r="G126" s="182"/>
      <c r="H126" s="182"/>
      <c r="I126" s="188"/>
      <c r="J126" s="188"/>
      <c r="K126" s="20"/>
      <c r="L126" s="146"/>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421"/>
      <c r="CB126" s="421"/>
      <c r="CC126" s="421"/>
      <c r="CD126" s="242"/>
      <c r="CE126" s="145"/>
      <c r="CF126" s="145"/>
      <c r="CG126" s="145"/>
      <c r="CH126" s="145"/>
      <c r="CI126" s="145"/>
      <c r="CJ126" s="145"/>
      <c r="CK126" s="145"/>
      <c r="CL126" s="145"/>
      <c r="CM126" s="145"/>
      <c r="CN126" s="145"/>
      <c r="CO126" s="145"/>
      <c r="CP126" s="145"/>
      <c r="CQ126" s="145"/>
    </row>
    <row r="127" spans="1:95" s="147" customFormat="1" ht="18" customHeight="1" x14ac:dyDescent="0.2">
      <c r="A127" s="117"/>
      <c r="B127" s="1206"/>
      <c r="C127" s="1207"/>
      <c r="D127" s="1207"/>
      <c r="E127" s="1207"/>
      <c r="F127" s="1207"/>
      <c r="G127" s="1207"/>
      <c r="H127" s="1208"/>
      <c r="I127" s="1052"/>
      <c r="J127" s="1058"/>
      <c r="K127" s="20"/>
      <c r="L127" s="146"/>
      <c r="M127" s="299"/>
      <c r="N127" s="299"/>
      <c r="O127" s="299"/>
      <c r="P127" s="299"/>
      <c r="Q127" s="299"/>
      <c r="R127" s="242" t="s">
        <v>21</v>
      </c>
      <c r="S127" s="299"/>
      <c r="T127" s="299"/>
      <c r="U127" s="299">
        <v>1</v>
      </c>
      <c r="V127" s="299"/>
      <c r="W127" s="299"/>
      <c r="X127" s="299">
        <f>IF(U127=3,IF(I127&gt;0,99,IF(J127&gt;0,99,0)),0)</f>
        <v>0</v>
      </c>
      <c r="Y127" s="299">
        <f>IF(U127=1,IF(I127&gt;0,99,IF(J127&gt;0,99,0)),0)</f>
        <v>0</v>
      </c>
      <c r="Z127" s="299">
        <f>IF(U127=1,IF(I127&lt;0,99,IF(J127&lt;0,99,0)),0)</f>
        <v>0</v>
      </c>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421"/>
      <c r="CB127" s="421"/>
      <c r="CC127" s="421"/>
      <c r="CD127" s="242"/>
      <c r="CE127" s="145"/>
      <c r="CF127" s="145"/>
      <c r="CG127" s="145"/>
      <c r="CH127" s="145"/>
      <c r="CI127" s="145"/>
      <c r="CJ127" s="145"/>
      <c r="CK127" s="145"/>
      <c r="CL127" s="145"/>
      <c r="CM127" s="145"/>
      <c r="CN127" s="145"/>
      <c r="CO127" s="145"/>
      <c r="CP127" s="145"/>
      <c r="CQ127" s="145"/>
    </row>
    <row r="128" spans="1:95" s="147" customFormat="1" ht="18" customHeight="1" x14ac:dyDescent="0.2">
      <c r="A128" s="118"/>
      <c r="B128" s="1209"/>
      <c r="C128" s="1210"/>
      <c r="D128" s="1210"/>
      <c r="E128" s="1210"/>
      <c r="F128" s="1210"/>
      <c r="G128" s="1210"/>
      <c r="H128" s="1211"/>
      <c r="I128" s="1054"/>
      <c r="J128" s="1059"/>
      <c r="K128" s="20"/>
      <c r="L128" s="146"/>
      <c r="M128" s="299"/>
      <c r="N128" s="299"/>
      <c r="O128" s="299"/>
      <c r="P128" s="299"/>
      <c r="Q128" s="299"/>
      <c r="R128" s="242" t="s">
        <v>307</v>
      </c>
      <c r="S128" s="299"/>
      <c r="T128" s="299"/>
      <c r="U128" s="299">
        <v>1</v>
      </c>
      <c r="V128" s="299"/>
      <c r="W128" s="299"/>
      <c r="X128" s="299">
        <f>IF(U128=3,IF(I128&gt;0,99,IF(J128&gt;0,99,0)),0)</f>
        <v>0</v>
      </c>
      <c r="Y128" s="299">
        <f>IF(U128=1,IF(I128&gt;0,99,IF(J128&gt;0,99,0)),0)</f>
        <v>0</v>
      </c>
      <c r="Z128" s="299">
        <f>IF(U128=1,IF(I128&lt;0,99,IF(J128&lt;0,99,0)),0)</f>
        <v>0</v>
      </c>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421"/>
      <c r="CB128" s="421"/>
      <c r="CC128" s="421"/>
      <c r="CD128" s="242"/>
      <c r="CE128" s="145"/>
      <c r="CF128" s="145"/>
      <c r="CG128" s="145"/>
      <c r="CH128" s="145"/>
      <c r="CI128" s="145"/>
      <c r="CJ128" s="145"/>
      <c r="CK128" s="145"/>
      <c r="CL128" s="145"/>
      <c r="CM128" s="145"/>
      <c r="CN128" s="145"/>
      <c r="CO128" s="145"/>
      <c r="CP128" s="145"/>
      <c r="CQ128" s="145"/>
    </row>
    <row r="129" spans="1:95" s="147" customFormat="1" ht="18" customHeight="1" x14ac:dyDescent="0.2">
      <c r="A129" s="118"/>
      <c r="B129" s="1209"/>
      <c r="C129" s="1210"/>
      <c r="D129" s="1210"/>
      <c r="E129" s="1210"/>
      <c r="F129" s="1210"/>
      <c r="G129" s="1210"/>
      <c r="H129" s="1211"/>
      <c r="I129" s="1054"/>
      <c r="J129" s="1059"/>
      <c r="K129" s="20"/>
      <c r="L129" s="146"/>
      <c r="M129" s="299"/>
      <c r="N129" s="299"/>
      <c r="O129" s="299"/>
      <c r="P129" s="299"/>
      <c r="Q129" s="299"/>
      <c r="R129" s="242" t="s">
        <v>308</v>
      </c>
      <c r="S129" s="299"/>
      <c r="T129" s="299"/>
      <c r="U129" s="299">
        <v>1</v>
      </c>
      <c r="V129" s="299"/>
      <c r="W129" s="299"/>
      <c r="X129" s="299">
        <f>IF(U129=3,IF(I129&gt;0,99,IF(J129&gt;0,99,0)),0)</f>
        <v>0</v>
      </c>
      <c r="Y129" s="299">
        <f>IF(U129=1,IF(I129&gt;0,99,IF(J129&gt;0,99,0)),0)</f>
        <v>0</v>
      </c>
      <c r="Z129" s="299">
        <f>IF(U129=1,IF(I129&lt;0,99,IF(J129&lt;0,99,0)),0)</f>
        <v>0</v>
      </c>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421"/>
      <c r="CB129" s="421"/>
      <c r="CC129" s="421"/>
      <c r="CD129" s="242"/>
      <c r="CE129" s="145"/>
      <c r="CF129" s="145"/>
      <c r="CG129" s="145"/>
      <c r="CH129" s="145"/>
      <c r="CI129" s="145"/>
      <c r="CJ129" s="145"/>
      <c r="CK129" s="145"/>
      <c r="CL129" s="145"/>
      <c r="CM129" s="145"/>
      <c r="CN129" s="145"/>
      <c r="CO129" s="145"/>
      <c r="CP129" s="145"/>
      <c r="CQ129" s="145"/>
    </row>
    <row r="130" spans="1:95" s="147" customFormat="1" ht="18" customHeight="1" thickBot="1" x14ac:dyDescent="0.25">
      <c r="A130" s="118"/>
      <c r="B130" s="1212"/>
      <c r="C130" s="1213"/>
      <c r="D130" s="1213"/>
      <c r="E130" s="1213"/>
      <c r="F130" s="1213"/>
      <c r="G130" s="1213"/>
      <c r="H130" s="1214"/>
      <c r="I130" s="1056"/>
      <c r="J130" s="1060"/>
      <c r="K130" s="20"/>
      <c r="L130" s="146"/>
      <c r="M130" s="299"/>
      <c r="N130" s="299"/>
      <c r="O130" s="299"/>
      <c r="P130" s="299"/>
      <c r="Q130" s="299"/>
      <c r="R130" s="299"/>
      <c r="S130" s="299"/>
      <c r="T130" s="299"/>
      <c r="U130" s="299">
        <v>1</v>
      </c>
      <c r="V130" s="299"/>
      <c r="W130" s="299"/>
      <c r="X130" s="299">
        <f>IF(U130=3,IF(I130&gt;0,99,IF(J130&gt;0,99,0)),0)</f>
        <v>0</v>
      </c>
      <c r="Y130" s="299">
        <f>IF(U130=1,IF(I130&gt;0,99,IF(J130&gt;0,99,0)),0)</f>
        <v>0</v>
      </c>
      <c r="Z130" s="299">
        <f>IF(U130=1,IF(I130&lt;0,99,IF(J130&lt;0,99,0)),0)</f>
        <v>0</v>
      </c>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421"/>
      <c r="CB130" s="421"/>
      <c r="CC130" s="421"/>
      <c r="CD130" s="242"/>
      <c r="CE130" s="145"/>
      <c r="CF130" s="145"/>
      <c r="CG130" s="145"/>
      <c r="CH130" s="145"/>
      <c r="CI130" s="145"/>
      <c r="CJ130" s="145"/>
      <c r="CK130" s="145"/>
      <c r="CL130" s="145"/>
      <c r="CM130" s="145"/>
      <c r="CN130" s="145"/>
      <c r="CO130" s="145"/>
      <c r="CP130" s="145"/>
      <c r="CQ130" s="145"/>
    </row>
    <row r="131" spans="1:95" s="149" customFormat="1" ht="27.75" customHeight="1" thickBot="1" x14ac:dyDescent="0.25">
      <c r="A131" s="561" t="s">
        <v>343</v>
      </c>
      <c r="B131" s="562"/>
      <c r="C131" s="562"/>
      <c r="D131" s="563"/>
      <c r="E131" s="563"/>
      <c r="F131" s="563"/>
      <c r="G131" s="563"/>
      <c r="H131" s="563"/>
      <c r="I131" s="218" t="str">
        <f>IF(M131=0," ",IF(AA131&gt;1,"Fehler",M131))</f>
        <v xml:space="preserve"> </v>
      </c>
      <c r="J131" s="218" t="str">
        <f>IF(N131=0," ",IF(AA131&gt;0,"Fehler",N131))</f>
        <v xml:space="preserve"> </v>
      </c>
      <c r="K131" s="121"/>
      <c r="L131" s="306"/>
      <c r="M131" s="308">
        <f>+M132+M133</f>
        <v>0</v>
      </c>
      <c r="N131" s="308">
        <f>+N132+N133</f>
        <v>0</v>
      </c>
      <c r="O131" s="307"/>
      <c r="P131" s="307"/>
      <c r="Q131" s="307"/>
      <c r="R131" s="307"/>
      <c r="S131" s="307"/>
      <c r="T131" s="307"/>
      <c r="U131" s="307"/>
      <c r="V131" s="307"/>
      <c r="W131" s="307"/>
      <c r="X131" s="307">
        <f>SUM(X127:X130)</f>
        <v>0</v>
      </c>
      <c r="Y131" s="307">
        <f>SUM(Y127:Y130)</f>
        <v>0</v>
      </c>
      <c r="Z131" s="307">
        <f>SUM(Z127:Z130)</f>
        <v>0</v>
      </c>
      <c r="AA131" s="307">
        <f>+X131+Y131+Z131</f>
        <v>0</v>
      </c>
      <c r="AB131" s="307"/>
      <c r="AC131" s="307"/>
      <c r="AD131" s="307"/>
      <c r="AE131" s="307"/>
      <c r="AF131" s="307"/>
      <c r="AG131" s="307"/>
      <c r="AH131" s="307"/>
      <c r="AI131" s="307"/>
      <c r="AJ131" s="307"/>
      <c r="AK131" s="307"/>
      <c r="AL131" s="307"/>
      <c r="AM131" s="307"/>
      <c r="AN131" s="307"/>
      <c r="AO131" s="307"/>
      <c r="AP131" s="307"/>
      <c r="AQ131" s="307"/>
      <c r="AR131" s="307"/>
      <c r="AS131" s="307"/>
      <c r="AT131" s="307"/>
      <c r="AU131" s="307"/>
      <c r="AV131" s="309"/>
      <c r="AW131" s="309"/>
      <c r="AX131" s="309"/>
      <c r="AY131" s="309"/>
      <c r="AZ131" s="309"/>
      <c r="BA131" s="309"/>
      <c r="BB131" s="309"/>
      <c r="BC131" s="309"/>
      <c r="BD131" s="309"/>
      <c r="BE131" s="309"/>
      <c r="BF131" s="309"/>
      <c r="BG131" s="309"/>
      <c r="BH131" s="309"/>
      <c r="BI131" s="309"/>
      <c r="BJ131" s="309"/>
      <c r="BK131" s="309"/>
      <c r="BL131" s="309"/>
      <c r="BM131" s="309"/>
      <c r="BN131" s="309"/>
      <c r="BO131" s="309"/>
      <c r="BP131" s="309"/>
      <c r="BQ131" s="309"/>
      <c r="BR131" s="309"/>
      <c r="BS131" s="309"/>
      <c r="BT131" s="309"/>
      <c r="BU131" s="309"/>
      <c r="BV131" s="309"/>
      <c r="BW131" s="309"/>
      <c r="BX131" s="309"/>
      <c r="BY131" s="309"/>
      <c r="BZ131" s="309"/>
      <c r="CA131" s="309"/>
      <c r="CB131" s="309"/>
      <c r="CC131" s="309"/>
      <c r="CD131" s="309"/>
      <c r="CE131" s="148"/>
      <c r="CF131" s="148"/>
      <c r="CG131" s="148"/>
      <c r="CH131" s="148"/>
      <c r="CI131" s="148"/>
      <c r="CJ131" s="148"/>
      <c r="CK131" s="148"/>
      <c r="CL131" s="148"/>
      <c r="CM131" s="148"/>
      <c r="CN131" s="148"/>
      <c r="CO131" s="148"/>
      <c r="CP131" s="148"/>
      <c r="CQ131" s="148"/>
    </row>
    <row r="132" spans="1:95" s="151" customFormat="1" ht="10.5" customHeight="1" thickBot="1" x14ac:dyDescent="0.25">
      <c r="A132" s="564" t="s">
        <v>564</v>
      </c>
      <c r="B132" s="565"/>
      <c r="C132" s="565"/>
      <c r="D132" s="566"/>
      <c r="E132" s="566"/>
      <c r="F132" s="566"/>
      <c r="G132" s="566"/>
      <c r="H132" s="566"/>
      <c r="I132" s="210" t="str">
        <f>IF(M132=0," ",M132)</f>
        <v xml:space="preserve"> </v>
      </c>
      <c r="J132" s="211" t="str">
        <f>IF(N132=0," ",N132)</f>
        <v xml:space="preserve"> </v>
      </c>
      <c r="K132" s="116"/>
      <c r="L132" s="313"/>
      <c r="M132" s="332">
        <f>SUM(I110:I124)</f>
        <v>0</v>
      </c>
      <c r="N132" s="333">
        <f>SUM(J110:J124)</f>
        <v>0</v>
      </c>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6"/>
      <c r="AW132" s="316"/>
      <c r="AX132" s="316"/>
      <c r="AY132" s="316"/>
      <c r="AZ132" s="316"/>
      <c r="BA132" s="316"/>
      <c r="BB132" s="316"/>
      <c r="BC132" s="316"/>
      <c r="BD132" s="316"/>
      <c r="BE132" s="316"/>
      <c r="BF132" s="316"/>
      <c r="BG132" s="316"/>
      <c r="BH132" s="316"/>
      <c r="BI132" s="316"/>
      <c r="BJ132" s="316"/>
      <c r="BK132" s="316"/>
      <c r="BL132" s="316"/>
      <c r="BM132" s="316"/>
      <c r="BN132" s="316"/>
      <c r="BO132" s="316"/>
      <c r="BP132" s="316"/>
      <c r="BQ132" s="316"/>
      <c r="BR132" s="316"/>
      <c r="BS132" s="316"/>
      <c r="BT132" s="316"/>
      <c r="BU132" s="316"/>
      <c r="BV132" s="316"/>
      <c r="BW132" s="316"/>
      <c r="BX132" s="316"/>
      <c r="BY132" s="316"/>
      <c r="BZ132" s="316"/>
      <c r="CA132" s="316"/>
      <c r="CB132" s="316"/>
      <c r="CC132" s="316"/>
      <c r="CD132" s="316"/>
      <c r="CE132" s="150"/>
      <c r="CF132" s="150"/>
      <c r="CG132" s="150"/>
      <c r="CH132" s="150"/>
      <c r="CI132" s="150"/>
      <c r="CJ132" s="150"/>
      <c r="CK132" s="150"/>
      <c r="CL132" s="150"/>
      <c r="CM132" s="150"/>
      <c r="CN132" s="150"/>
      <c r="CO132" s="150"/>
      <c r="CP132" s="150"/>
      <c r="CQ132" s="150"/>
    </row>
    <row r="133" spans="1:95" s="151" customFormat="1" ht="10.5" customHeight="1" thickBot="1" x14ac:dyDescent="0.25">
      <c r="A133" s="567" t="s">
        <v>565</v>
      </c>
      <c r="B133" s="565"/>
      <c r="C133" s="565"/>
      <c r="D133" s="566"/>
      <c r="E133" s="566"/>
      <c r="F133" s="566"/>
      <c r="G133" s="566"/>
      <c r="H133" s="566"/>
      <c r="I133" s="210" t="str">
        <f>IF(M133=0," ",M133)</f>
        <v xml:space="preserve"> </v>
      </c>
      <c r="J133" s="211" t="str">
        <f>IF(N133=0," ",N133)</f>
        <v xml:space="preserve"> </v>
      </c>
      <c r="K133" s="116"/>
      <c r="L133" s="313"/>
      <c r="M133" s="334">
        <f>SUM(I127:I130)</f>
        <v>0</v>
      </c>
      <c r="N133" s="334">
        <f>SUM(J127:J130)</f>
        <v>0</v>
      </c>
      <c r="O133" s="314"/>
      <c r="P133" s="314"/>
      <c r="Q133" s="314"/>
      <c r="R133" s="335" t="s">
        <v>295</v>
      </c>
      <c r="S133" s="314"/>
      <c r="T133" s="314"/>
      <c r="U133" s="314"/>
      <c r="V133" s="314"/>
      <c r="W133" s="314"/>
      <c r="X133" s="314"/>
      <c r="Y133" s="314"/>
      <c r="Z133" s="336" t="s">
        <v>293</v>
      </c>
      <c r="AA133" s="336"/>
      <c r="AB133" s="336"/>
      <c r="AC133" s="336"/>
      <c r="AD133" s="336"/>
      <c r="AE133" s="336"/>
      <c r="AF133" s="336"/>
      <c r="AG133" s="336"/>
      <c r="AH133" s="314"/>
      <c r="AI133" s="314"/>
      <c r="AJ133" s="314"/>
      <c r="AK133" s="314"/>
      <c r="AL133" s="314"/>
      <c r="AM133" s="314"/>
      <c r="AN133" s="314"/>
      <c r="AO133" s="314"/>
      <c r="AP133" s="335" t="s">
        <v>296</v>
      </c>
      <c r="AQ133" s="314"/>
      <c r="AR133" s="314"/>
      <c r="AS133" s="314"/>
      <c r="AT133" s="314"/>
      <c r="AU133" s="314"/>
      <c r="AV133" s="316"/>
      <c r="AW133" s="316"/>
      <c r="AX133" s="316"/>
      <c r="AY133" s="316"/>
      <c r="AZ133" s="316"/>
      <c r="BA133" s="316"/>
      <c r="BB133" s="316"/>
      <c r="BC133" s="316"/>
      <c r="BD133" s="316"/>
      <c r="BE133" s="316"/>
      <c r="BF133" s="316"/>
      <c r="BG133" s="316"/>
      <c r="BH133" s="316"/>
      <c r="BI133" s="316"/>
      <c r="BJ133" s="316"/>
      <c r="BK133" s="316"/>
      <c r="BL133" s="316"/>
      <c r="BM133" s="316"/>
      <c r="BN133" s="316"/>
      <c r="BO133" s="316"/>
      <c r="BP133" s="316"/>
      <c r="BQ133" s="316"/>
      <c r="BR133" s="316"/>
      <c r="BS133" s="316"/>
      <c r="BT133" s="316"/>
      <c r="BU133" s="316"/>
      <c r="BV133" s="316"/>
      <c r="BW133" s="316"/>
      <c r="BX133" s="316"/>
      <c r="BY133" s="316"/>
      <c r="BZ133" s="316"/>
      <c r="CA133" s="316"/>
      <c r="CB133" s="316"/>
      <c r="CC133" s="316"/>
      <c r="CD133" s="316"/>
      <c r="CE133" s="150"/>
      <c r="CF133" s="150"/>
      <c r="CG133" s="150"/>
      <c r="CH133" s="150"/>
      <c r="CI133" s="150"/>
      <c r="CJ133" s="150"/>
      <c r="CK133" s="150"/>
      <c r="CL133" s="150"/>
      <c r="CM133" s="150"/>
      <c r="CN133" s="150"/>
      <c r="CO133" s="150"/>
      <c r="CP133" s="150"/>
      <c r="CQ133" s="150"/>
    </row>
    <row r="134" spans="1:95" s="147" customFormat="1" ht="7.5" customHeight="1" x14ac:dyDescent="0.2">
      <c r="K134" s="21"/>
      <c r="M134" s="337"/>
      <c r="N134" s="337"/>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421"/>
      <c r="CB134" s="421"/>
      <c r="CC134" s="421"/>
      <c r="CD134" s="242"/>
      <c r="CE134" s="145"/>
      <c r="CF134" s="145"/>
      <c r="CG134" s="145"/>
      <c r="CH134" s="145"/>
      <c r="CI134" s="145"/>
      <c r="CJ134" s="145"/>
      <c r="CK134" s="145"/>
      <c r="CL134" s="145"/>
      <c r="CM134" s="145"/>
      <c r="CN134" s="145"/>
      <c r="CO134" s="145"/>
      <c r="CP134" s="145"/>
      <c r="CQ134" s="145"/>
    </row>
    <row r="135" spans="1:95" s="147" customFormat="1" ht="7.5" customHeight="1" thickBot="1" x14ac:dyDescent="0.25">
      <c r="A135" s="568"/>
      <c r="B135" s="419"/>
      <c r="C135" s="419"/>
      <c r="D135" s="569"/>
      <c r="E135" s="569"/>
      <c r="F135" s="569"/>
      <c r="G135" s="569"/>
      <c r="H135" s="569"/>
      <c r="I135" s="145"/>
      <c r="J135" s="570"/>
      <c r="K135" s="19"/>
      <c r="L135" s="145"/>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c r="CA135" s="421"/>
      <c r="CB135" s="421"/>
      <c r="CC135" s="421"/>
      <c r="CD135" s="242"/>
      <c r="CE135" s="145"/>
      <c r="CF135" s="145"/>
      <c r="CG135" s="145"/>
      <c r="CH135" s="145"/>
      <c r="CI135" s="145"/>
      <c r="CJ135" s="145"/>
      <c r="CK135" s="145"/>
      <c r="CL135" s="145"/>
      <c r="CM135" s="145"/>
      <c r="CN135" s="145"/>
      <c r="CO135" s="145"/>
      <c r="CP135" s="145"/>
      <c r="CQ135" s="145"/>
    </row>
    <row r="136" spans="1:95" s="147" customFormat="1" ht="26.25" hidden="1" customHeight="1" thickBot="1" x14ac:dyDescent="0.25">
      <c r="A136" s="571" t="s">
        <v>355</v>
      </c>
      <c r="B136" s="572"/>
      <c r="C136" s="1154"/>
      <c r="D136" s="1154"/>
      <c r="E136" s="1154"/>
      <c r="F136" s="1154"/>
      <c r="G136" s="1154"/>
      <c r="H136" s="1155"/>
      <c r="I136" s="573" t="s">
        <v>260</v>
      </c>
      <c r="J136" s="574" t="s">
        <v>261</v>
      </c>
      <c r="K136" s="19"/>
      <c r="L136" s="145"/>
      <c r="M136" s="242">
        <f>IF(C97=0,"0",6)</f>
        <v>6</v>
      </c>
      <c r="N136" s="338">
        <f>ROUND(N137,1)</f>
        <v>0</v>
      </c>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c r="CA136" s="421"/>
      <c r="CB136" s="421"/>
      <c r="CC136" s="421"/>
      <c r="CD136" s="242"/>
      <c r="CE136" s="145"/>
      <c r="CF136" s="145"/>
      <c r="CG136" s="145"/>
      <c r="CH136" s="145"/>
      <c r="CI136" s="145"/>
      <c r="CJ136" s="145"/>
      <c r="CK136" s="145"/>
      <c r="CL136" s="145"/>
      <c r="CM136" s="145"/>
      <c r="CN136" s="145"/>
      <c r="CO136" s="145"/>
      <c r="CP136" s="145"/>
      <c r="CQ136" s="145"/>
    </row>
    <row r="137" spans="1:95" s="147" customFormat="1" ht="15.75" hidden="1" customHeight="1" thickBot="1" x14ac:dyDescent="0.25">
      <c r="A137" s="575" t="s">
        <v>302</v>
      </c>
      <c r="B137" s="576"/>
      <c r="C137" s="576"/>
      <c r="D137" s="576"/>
      <c r="E137" s="576"/>
      <c r="F137" s="576"/>
      <c r="G137" s="576"/>
      <c r="H137" s="577"/>
      <c r="I137" s="223" t="str">
        <f>CONCATENATE(M136," Mo.")</f>
        <v>6 Mo.</v>
      </c>
      <c r="J137" s="224" t="str">
        <f>CONCATENATE(N136," Mo.")</f>
        <v>0 Mo.</v>
      </c>
      <c r="K137" s="19"/>
      <c r="L137" s="145"/>
      <c r="M137" s="339">
        <v>6</v>
      </c>
      <c r="N137" s="340">
        <f>+CL98</f>
        <v>0</v>
      </c>
      <c r="O137" s="242"/>
      <c r="P137" s="242"/>
      <c r="Q137" s="242"/>
      <c r="R137" s="1205" t="s">
        <v>285</v>
      </c>
      <c r="S137" s="1205" t="s">
        <v>286</v>
      </c>
      <c r="T137" s="1205" t="s">
        <v>290</v>
      </c>
      <c r="U137" s="1205" t="s">
        <v>474</v>
      </c>
      <c r="V137" s="341"/>
      <c r="W137" s="341"/>
      <c r="X137" s="1205" t="s">
        <v>475</v>
      </c>
      <c r="Y137" s="242"/>
      <c r="Z137" s="1242" t="s">
        <v>285</v>
      </c>
      <c r="AA137" s="341"/>
      <c r="AB137" s="341"/>
      <c r="AC137" s="341"/>
      <c r="AD137" s="341"/>
      <c r="AE137" s="341"/>
      <c r="AF137" s="341"/>
      <c r="AG137" s="341"/>
      <c r="AH137" s="1205" t="s">
        <v>286</v>
      </c>
      <c r="AI137" s="1205" t="s">
        <v>294</v>
      </c>
      <c r="AJ137" s="1241" t="s">
        <v>476</v>
      </c>
      <c r="AK137" s="1205" t="s">
        <v>477</v>
      </c>
      <c r="AL137" s="1205" t="s">
        <v>340</v>
      </c>
      <c r="AM137" s="1205" t="s">
        <v>478</v>
      </c>
      <c r="AN137" s="1205" t="s">
        <v>479</v>
      </c>
      <c r="AO137" s="337"/>
      <c r="AP137" s="1205" t="s">
        <v>291</v>
      </c>
      <c r="AQ137" s="1205" t="s">
        <v>292</v>
      </c>
      <c r="AR137" s="341"/>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c r="CA137" s="421"/>
      <c r="CB137" s="421"/>
      <c r="CC137" s="421"/>
      <c r="CD137" s="242"/>
      <c r="CE137" s="145"/>
      <c r="CF137" s="145"/>
      <c r="CG137" s="145"/>
      <c r="CH137" s="145"/>
      <c r="CI137" s="145"/>
      <c r="CJ137" s="145"/>
      <c r="CK137" s="145"/>
      <c r="CL137" s="145"/>
      <c r="CM137" s="145"/>
      <c r="CN137" s="145"/>
      <c r="CO137" s="145"/>
      <c r="CP137" s="145"/>
      <c r="CQ137" s="145"/>
    </row>
    <row r="138" spans="1:95" s="147" customFormat="1" ht="15.75" hidden="1" customHeight="1" x14ac:dyDescent="0.2">
      <c r="A138" s="578" t="s">
        <v>303</v>
      </c>
      <c r="B138" s="579"/>
      <c r="C138" s="579"/>
      <c r="D138" s="580"/>
      <c r="E138" s="580"/>
      <c r="F138" s="580"/>
      <c r="G138" s="580"/>
      <c r="H138" s="580"/>
      <c r="I138" s="212" t="str">
        <f>IF(M138=0," ",M138)</f>
        <v xml:space="preserve"> </v>
      </c>
      <c r="J138" s="212" t="str">
        <f>IF(N138=0," ",N138)</f>
        <v xml:space="preserve"> </v>
      </c>
      <c r="K138" s="19"/>
      <c r="L138" s="145"/>
      <c r="M138" s="342">
        <f>+T95/12*M137</f>
        <v>0</v>
      </c>
      <c r="N138" s="343">
        <f>+(T47+T88)/12*N137</f>
        <v>0</v>
      </c>
      <c r="O138" s="242"/>
      <c r="P138" s="242"/>
      <c r="Q138" s="242"/>
      <c r="R138" s="1205"/>
      <c r="S138" s="1205"/>
      <c r="T138" s="1205"/>
      <c r="U138" s="1205"/>
      <c r="V138" s="341"/>
      <c r="W138" s="341"/>
      <c r="X138" s="1205"/>
      <c r="Y138" s="242"/>
      <c r="Z138" s="1242"/>
      <c r="AA138" s="341"/>
      <c r="AB138" s="341"/>
      <c r="AC138" s="341"/>
      <c r="AD138" s="341"/>
      <c r="AE138" s="341"/>
      <c r="AF138" s="341"/>
      <c r="AG138" s="341"/>
      <c r="AH138" s="1205"/>
      <c r="AI138" s="1205"/>
      <c r="AJ138" s="1205"/>
      <c r="AK138" s="1205"/>
      <c r="AL138" s="1205"/>
      <c r="AM138" s="1205"/>
      <c r="AN138" s="1205"/>
      <c r="AO138" s="337"/>
      <c r="AP138" s="1205"/>
      <c r="AQ138" s="1205"/>
      <c r="AR138" s="341"/>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c r="CA138" s="421"/>
      <c r="CB138" s="421"/>
      <c r="CC138" s="421"/>
      <c r="CD138" s="242"/>
      <c r="CE138" s="145"/>
      <c r="CF138" s="145"/>
      <c r="CG138" s="145"/>
      <c r="CH138" s="145"/>
      <c r="CI138" s="145"/>
      <c r="CJ138" s="145"/>
      <c r="CK138" s="145"/>
      <c r="CL138" s="145"/>
      <c r="CM138" s="145"/>
      <c r="CN138" s="145"/>
      <c r="CO138" s="145"/>
      <c r="CP138" s="145"/>
      <c r="CQ138" s="145"/>
    </row>
    <row r="139" spans="1:95" s="147" customFormat="1" ht="15.75" hidden="1" customHeight="1" thickBot="1" x14ac:dyDescent="0.25">
      <c r="A139" s="581" t="s">
        <v>343</v>
      </c>
      <c r="B139" s="419"/>
      <c r="C139" s="419"/>
      <c r="D139" s="569"/>
      <c r="E139" s="569"/>
      <c r="F139" s="569"/>
      <c r="G139" s="569"/>
      <c r="H139" s="569"/>
      <c r="I139" s="213" t="str">
        <f>IF(M139=0," ",M139)</f>
        <v xml:space="preserve"> </v>
      </c>
      <c r="J139" s="213" t="str">
        <f>IF(N139=0," ",N139)</f>
        <v xml:space="preserve"> </v>
      </c>
      <c r="K139" s="19"/>
      <c r="L139" s="145"/>
      <c r="M139" s="342">
        <f>IF(I131=" ",0,I131)</f>
        <v>0</v>
      </c>
      <c r="N139" s="327">
        <f>IF(J131=" ",0,J131)</f>
        <v>0</v>
      </c>
      <c r="O139" s="242"/>
      <c r="P139" s="242"/>
      <c r="Q139" s="242"/>
      <c r="R139" s="1205"/>
      <c r="S139" s="1205"/>
      <c r="T139" s="1205"/>
      <c r="U139" s="1205"/>
      <c r="V139" s="341"/>
      <c r="W139" s="341"/>
      <c r="X139" s="1205"/>
      <c r="Y139" s="242"/>
      <c r="Z139" s="1242"/>
      <c r="AA139" s="341"/>
      <c r="AB139" s="341"/>
      <c r="AC139" s="341"/>
      <c r="AD139" s="341"/>
      <c r="AE139" s="341"/>
      <c r="AF139" s="341"/>
      <c r="AG139" s="341"/>
      <c r="AH139" s="1205"/>
      <c r="AI139" s="1205"/>
      <c r="AJ139" s="1205"/>
      <c r="AK139" s="1205"/>
      <c r="AL139" s="1205"/>
      <c r="AM139" s="1205"/>
      <c r="AN139" s="1205"/>
      <c r="AO139" s="337"/>
      <c r="AP139" s="1205"/>
      <c r="AQ139" s="1205"/>
      <c r="AR139" s="341"/>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421"/>
      <c r="CB139" s="421"/>
      <c r="CC139" s="421"/>
      <c r="CD139" s="242"/>
      <c r="CE139" s="145"/>
      <c r="CF139" s="145"/>
      <c r="CG139" s="145"/>
      <c r="CH139" s="145"/>
      <c r="CI139" s="145"/>
      <c r="CJ139" s="145"/>
      <c r="CK139" s="145"/>
      <c r="CL139" s="145"/>
      <c r="CM139" s="145"/>
      <c r="CN139" s="145"/>
      <c r="CO139" s="145"/>
      <c r="CP139" s="145"/>
      <c r="CQ139" s="145"/>
    </row>
    <row r="140" spans="1:95" s="149" customFormat="1" ht="25.5" hidden="1" customHeight="1" thickBot="1" x14ac:dyDescent="0.25">
      <c r="A140" s="553" t="s">
        <v>284</v>
      </c>
      <c r="B140" s="582"/>
      <c r="C140" s="582"/>
      <c r="D140" s="583"/>
      <c r="E140" s="583"/>
      <c r="F140" s="583"/>
      <c r="G140" s="583"/>
      <c r="H140" s="583"/>
      <c r="I140" s="214" t="str">
        <f>IF(I139="Fehler","Fehler",IF(M138&gt;0.1,IF(M138&lt;M139,"ja","nein")," "))</f>
        <v xml:space="preserve"> </v>
      </c>
      <c r="J140" s="215" t="str">
        <f>IF(J139="Fehler","Fehler",IF(N138&gt;0.1,IF(N138&lt;N139,"ja","nein")," "))</f>
        <v xml:space="preserve"> </v>
      </c>
      <c r="K140" s="120"/>
      <c r="L140" s="148"/>
      <c r="M140" s="309"/>
      <c r="N140" s="309"/>
      <c r="O140" s="309"/>
      <c r="P140" s="309" t="s">
        <v>333</v>
      </c>
      <c r="Q140" s="309" t="s">
        <v>334</v>
      </c>
      <c r="R140" s="1205"/>
      <c r="S140" s="1205"/>
      <c r="T140" s="1205"/>
      <c r="U140" s="1205"/>
      <c r="V140" s="341"/>
      <c r="W140" s="341"/>
      <c r="X140" s="1205"/>
      <c r="Y140" s="309"/>
      <c r="Z140" s="1242"/>
      <c r="AA140" s="341"/>
      <c r="AB140" s="341"/>
      <c r="AC140" s="341"/>
      <c r="AD140" s="341"/>
      <c r="AE140" s="344"/>
      <c r="AF140" s="344"/>
      <c r="AG140" s="344"/>
      <c r="AH140" s="1205"/>
      <c r="AI140" s="1205"/>
      <c r="AJ140" s="1205"/>
      <c r="AK140" s="1205"/>
      <c r="AL140" s="1205"/>
      <c r="AM140" s="1205"/>
      <c r="AN140" s="1205"/>
      <c r="AO140" s="345"/>
      <c r="AP140" s="1205"/>
      <c r="AQ140" s="1205"/>
      <c r="AR140" s="341"/>
      <c r="AS140" s="309"/>
      <c r="AT140" s="309"/>
      <c r="AU140" s="309"/>
      <c r="AV140" s="309"/>
      <c r="AW140" s="309"/>
      <c r="AX140" s="309"/>
      <c r="AY140" s="309"/>
      <c r="AZ140" s="309"/>
      <c r="BA140" s="309"/>
      <c r="BB140" s="309"/>
      <c r="BC140" s="309"/>
      <c r="BD140" s="309"/>
      <c r="BE140" s="309"/>
      <c r="BF140" s="309"/>
      <c r="BG140" s="309"/>
      <c r="BH140" s="309"/>
      <c r="BI140" s="309"/>
      <c r="BJ140" s="309"/>
      <c r="BK140" s="309"/>
      <c r="BL140" s="309"/>
      <c r="BM140" s="309"/>
      <c r="BN140" s="309"/>
      <c r="BO140" s="309"/>
      <c r="BP140" s="309"/>
      <c r="BQ140" s="309"/>
      <c r="BR140" s="309"/>
      <c r="BS140" s="309"/>
      <c r="BT140" s="309"/>
      <c r="BU140" s="309"/>
      <c r="BV140" s="309"/>
      <c r="BW140" s="309"/>
      <c r="BX140" s="309"/>
      <c r="BY140" s="309"/>
      <c r="BZ140" s="309"/>
      <c r="CA140" s="309"/>
      <c r="CB140" s="309"/>
      <c r="CC140" s="309"/>
      <c r="CD140" s="309"/>
      <c r="CE140" s="148"/>
      <c r="CF140" s="148"/>
      <c r="CG140" s="148"/>
      <c r="CH140" s="148"/>
      <c r="CI140" s="148"/>
      <c r="CJ140" s="148"/>
      <c r="CK140" s="148"/>
      <c r="CL140" s="148"/>
      <c r="CM140" s="148"/>
      <c r="CN140" s="148"/>
      <c r="CO140" s="148"/>
      <c r="CP140" s="148"/>
      <c r="CQ140" s="148"/>
    </row>
    <row r="141" spans="1:95" s="147" customFormat="1" ht="15" hidden="1" customHeight="1" thickBot="1" x14ac:dyDescent="0.25">
      <c r="A141" s="568"/>
      <c r="B141" s="419"/>
      <c r="C141" s="419"/>
      <c r="D141" s="569"/>
      <c r="E141" s="569"/>
      <c r="F141" s="569"/>
      <c r="G141" s="569"/>
      <c r="H141" s="569"/>
      <c r="I141" s="145"/>
      <c r="J141" s="570"/>
      <c r="K141" s="19"/>
      <c r="L141" s="145"/>
      <c r="M141" s="242"/>
      <c r="N141" s="242"/>
      <c r="O141" s="242"/>
      <c r="P141" s="242"/>
      <c r="Q141" s="242"/>
      <c r="R141" s="1205"/>
      <c r="S141" s="1205"/>
      <c r="T141" s="1205"/>
      <c r="U141" s="1205"/>
      <c r="V141" s="341"/>
      <c r="W141" s="341"/>
      <c r="X141" s="1205"/>
      <c r="Y141" s="242"/>
      <c r="Z141" s="1242"/>
      <c r="AA141" s="341"/>
      <c r="AB141" s="341"/>
      <c r="AC141" s="341"/>
      <c r="AD141" s="341"/>
      <c r="AE141" s="341"/>
      <c r="AF141" s="341"/>
      <c r="AG141" s="341"/>
      <c r="AH141" s="1205"/>
      <c r="AI141" s="1205"/>
      <c r="AJ141" s="1205"/>
      <c r="AK141" s="1205"/>
      <c r="AL141" s="1205"/>
      <c r="AM141" s="1205"/>
      <c r="AN141" s="1205"/>
      <c r="AO141" s="337"/>
      <c r="AP141" s="1205"/>
      <c r="AQ141" s="1205"/>
      <c r="AR141" s="341"/>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421"/>
      <c r="CB141" s="421"/>
      <c r="CC141" s="421"/>
      <c r="CD141" s="242"/>
      <c r="CE141" s="145"/>
      <c r="CF141" s="145"/>
      <c r="CG141" s="145"/>
      <c r="CH141" s="145"/>
      <c r="CI141" s="145"/>
      <c r="CJ141" s="145"/>
      <c r="CK141" s="145"/>
      <c r="CL141" s="145"/>
      <c r="CM141" s="145"/>
      <c r="CN141" s="145"/>
      <c r="CO141" s="145"/>
      <c r="CP141" s="145"/>
      <c r="CQ141" s="145"/>
    </row>
    <row r="142" spans="1:95" s="147" customFormat="1" ht="26.25" customHeight="1" thickBot="1" x14ac:dyDescent="0.25">
      <c r="A142" s="571" t="str">
        <f>CONCATENATE("Notwendiger Lagerraum ",D5)</f>
        <v>Notwendiger Lagerraum 2024</v>
      </c>
      <c r="B142" s="584"/>
      <c r="C142" s="584"/>
      <c r="D142" s="1111"/>
      <c r="E142" s="1111" t="s">
        <v>7931</v>
      </c>
      <c r="F142" s="584"/>
      <c r="G142" s="584"/>
      <c r="H142" s="585"/>
      <c r="I142" s="573" t="s">
        <v>260</v>
      </c>
      <c r="J142" s="574" t="s">
        <v>261</v>
      </c>
      <c r="K142" s="19"/>
      <c r="L142" s="145"/>
      <c r="M142" s="338">
        <f>IF(C97=0,"0",ROUND(M143,1))</f>
        <v>6</v>
      </c>
      <c r="N142" s="338">
        <f>ROUND(N143,1)</f>
        <v>0</v>
      </c>
      <c r="O142" s="242"/>
      <c r="P142" s="242"/>
      <c r="Q142" s="242"/>
      <c r="R142" s="1205"/>
      <c r="S142" s="1205"/>
      <c r="T142" s="1205"/>
      <c r="U142" s="1205"/>
      <c r="V142" s="341"/>
      <c r="W142" s="341"/>
      <c r="X142" s="1205"/>
      <c r="Y142" s="242"/>
      <c r="Z142" s="1242"/>
      <c r="AA142" s="341"/>
      <c r="AB142" s="341"/>
      <c r="AC142" s="341"/>
      <c r="AD142" s="341"/>
      <c r="AE142" s="341"/>
      <c r="AF142" s="341"/>
      <c r="AG142" s="341"/>
      <c r="AH142" s="1205"/>
      <c r="AI142" s="1205"/>
      <c r="AJ142" s="1205"/>
      <c r="AK142" s="1205"/>
      <c r="AL142" s="1205"/>
      <c r="AM142" s="1205"/>
      <c r="AN142" s="1205"/>
      <c r="AO142" s="337"/>
      <c r="AP142" s="1205"/>
      <c r="AQ142" s="1205"/>
      <c r="AR142" s="341"/>
      <c r="AS142" s="242"/>
      <c r="AT142" s="242"/>
      <c r="AU142" s="242"/>
      <c r="AV142" s="242"/>
      <c r="AW142" s="242"/>
      <c r="AX142" s="242"/>
      <c r="AY142" s="242"/>
      <c r="AZ142" s="242"/>
      <c r="BA142" s="242"/>
      <c r="BB142" s="242"/>
      <c r="BC142" s="242"/>
      <c r="BD142" s="242"/>
      <c r="BE142" s="242"/>
      <c r="BF142" s="242"/>
      <c r="BG142" s="242"/>
      <c r="BH142" s="242"/>
      <c r="BI142" s="242"/>
      <c r="BJ142" s="242"/>
      <c r="BK142" s="242"/>
      <c r="BL142" s="242"/>
      <c r="BM142" s="242"/>
      <c r="BN142" s="242"/>
      <c r="BO142" s="242"/>
      <c r="BP142" s="242"/>
      <c r="BQ142" s="242"/>
      <c r="BR142" s="242"/>
      <c r="BS142" s="242"/>
      <c r="BT142" s="242"/>
      <c r="BU142" s="242"/>
      <c r="BV142" s="242"/>
      <c r="BW142" s="242"/>
      <c r="BX142" s="242"/>
      <c r="BY142" s="242"/>
      <c r="BZ142" s="242"/>
      <c r="CA142" s="421"/>
      <c r="CB142" s="421"/>
      <c r="CC142" s="421"/>
      <c r="CD142" s="242"/>
      <c r="CE142" s="145"/>
      <c r="CF142" s="145"/>
      <c r="CG142" s="145"/>
      <c r="CH142" s="145"/>
      <c r="CI142" s="145"/>
      <c r="CJ142" s="145"/>
      <c r="CK142" s="145"/>
      <c r="CL142" s="145"/>
      <c r="CM142" s="145"/>
      <c r="CN142" s="145"/>
      <c r="CO142" s="145"/>
      <c r="CP142" s="145"/>
      <c r="CQ142" s="145"/>
    </row>
    <row r="143" spans="1:95" s="147" customFormat="1" ht="15.75" customHeight="1" thickBot="1" x14ac:dyDescent="0.25">
      <c r="A143" s="586" t="s">
        <v>473</v>
      </c>
      <c r="B143" s="396"/>
      <c r="C143" s="396"/>
      <c r="D143" s="396"/>
      <c r="E143" s="396"/>
      <c r="F143" s="396"/>
      <c r="G143" s="396"/>
      <c r="H143" s="587"/>
      <c r="I143" s="224" t="str">
        <f>CONCATENATE(M142," Mo.")</f>
        <v>6 Mo.</v>
      </c>
      <c r="J143" s="224" t="str">
        <f>CONCATENATE(N142," Mo.")</f>
        <v>0 Mo.</v>
      </c>
      <c r="K143" s="19"/>
      <c r="L143" s="145"/>
      <c r="M143" s="346">
        <f>IF((Q151+F12)=0,9,IF(S144&gt;3,(6*AP144+9*AQ144)/100,6))</f>
        <v>6</v>
      </c>
      <c r="N143" s="391">
        <f>+CM98</f>
        <v>0</v>
      </c>
      <c r="O143" s="242"/>
      <c r="P143" s="242"/>
      <c r="Q143" s="242"/>
      <c r="R143" s="1205"/>
      <c r="S143" s="1205"/>
      <c r="T143" s="1205"/>
      <c r="U143" s="1205"/>
      <c r="V143" s="341"/>
      <c r="W143" s="341"/>
      <c r="X143" s="1205"/>
      <c r="Y143" s="341"/>
      <c r="Z143" s="1242"/>
      <c r="AA143" s="341"/>
      <c r="AB143" s="341"/>
      <c r="AC143" s="341"/>
      <c r="AD143" s="341"/>
      <c r="AE143" s="341"/>
      <c r="AF143" s="341"/>
      <c r="AG143" s="341"/>
      <c r="AH143" s="1205"/>
      <c r="AI143" s="1205"/>
      <c r="AJ143" s="1205"/>
      <c r="AK143" s="1205"/>
      <c r="AL143" s="1205"/>
      <c r="AM143" s="1205"/>
      <c r="AN143" s="1205"/>
      <c r="AO143" s="337"/>
      <c r="AP143" s="1205"/>
      <c r="AQ143" s="1205"/>
      <c r="AR143" s="341"/>
      <c r="AS143" s="242"/>
      <c r="AT143" s="242"/>
      <c r="AU143" s="242"/>
      <c r="AV143" s="242"/>
      <c r="AW143" s="242"/>
      <c r="AX143" s="242"/>
      <c r="AY143" s="242"/>
      <c r="AZ143" s="242"/>
      <c r="BA143" s="242"/>
      <c r="BB143" s="242"/>
      <c r="BC143" s="242"/>
      <c r="BD143" s="242"/>
      <c r="BE143" s="242"/>
      <c r="BF143" s="242"/>
      <c r="BG143" s="242"/>
      <c r="BH143" s="242"/>
      <c r="BI143" s="242"/>
      <c r="BJ143" s="242"/>
      <c r="BK143" s="242"/>
      <c r="BL143" s="242"/>
      <c r="BM143" s="242"/>
      <c r="BN143" s="242"/>
      <c r="BO143" s="242"/>
      <c r="BP143" s="242"/>
      <c r="BQ143" s="242"/>
      <c r="BR143" s="242"/>
      <c r="BS143" s="242"/>
      <c r="BT143" s="242"/>
      <c r="BU143" s="242"/>
      <c r="BV143" s="242"/>
      <c r="BW143" s="242"/>
      <c r="BX143" s="242"/>
      <c r="BY143" s="242"/>
      <c r="BZ143" s="242"/>
      <c r="CA143" s="421"/>
      <c r="CB143" s="421"/>
      <c r="CC143" s="421"/>
      <c r="CD143" s="242"/>
      <c r="CE143" s="145"/>
      <c r="CF143" s="145"/>
      <c r="CG143" s="145"/>
      <c r="CH143" s="145"/>
      <c r="CI143" s="145"/>
      <c r="CJ143" s="145"/>
      <c r="CK143" s="145"/>
      <c r="CL143" s="145"/>
      <c r="CM143" s="145"/>
      <c r="CN143" s="145"/>
      <c r="CO143" s="145"/>
      <c r="CP143" s="145"/>
      <c r="CQ143" s="145"/>
    </row>
    <row r="144" spans="1:95" s="147" customFormat="1" ht="15.75" customHeight="1" thickBot="1" x14ac:dyDescent="0.25">
      <c r="A144" s="588" t="s">
        <v>303</v>
      </c>
      <c r="B144" s="589"/>
      <c r="C144" s="589"/>
      <c r="D144" s="589"/>
      <c r="E144" s="589"/>
      <c r="F144" s="589"/>
      <c r="G144" s="589"/>
      <c r="H144" s="590"/>
      <c r="I144" s="204" t="str">
        <f>IF(M144=0," ",M144)</f>
        <v xml:space="preserve"> </v>
      </c>
      <c r="J144" s="204" t="str">
        <f>IF(N144=0," ",N144)</f>
        <v xml:space="preserve"> </v>
      </c>
      <c r="K144" s="19"/>
      <c r="L144" s="145"/>
      <c r="M144" s="376">
        <f>+IF(S95+T95=0,0,M138+((M143-M137)*S95/12))</f>
        <v>0</v>
      </c>
      <c r="N144" s="296">
        <f>(T47+T88)/12*N143</f>
        <v>0</v>
      </c>
      <c r="O144" s="242"/>
      <c r="P144" s="242"/>
      <c r="Q144" s="242"/>
      <c r="R144" s="347">
        <f>+Q147</f>
        <v>9.9999999999999995E-7</v>
      </c>
      <c r="S144" s="347">
        <f>IF(R144=0,100,BL46/R144)</f>
        <v>0</v>
      </c>
      <c r="T144" s="347">
        <f>(W46+AA46)/2/170</f>
        <v>0</v>
      </c>
      <c r="U144" s="348">
        <f>IF(Q151+F12&gt;T144,100,(1-(T144-Q151-F12)/T144)*100)</f>
        <v>100</v>
      </c>
      <c r="V144" s="347"/>
      <c r="W144" s="347"/>
      <c r="X144" s="348">
        <f>100-U144</f>
        <v>0</v>
      </c>
      <c r="Y144" s="242"/>
      <c r="Z144" s="444">
        <f>+R144</f>
        <v>9.9999999999999995E-7</v>
      </c>
      <c r="AA144" s="242"/>
      <c r="AB144" s="242"/>
      <c r="AC144" s="242"/>
      <c r="AD144" s="242"/>
      <c r="AE144" s="242"/>
      <c r="AF144" s="242"/>
      <c r="AG144" s="242"/>
      <c r="AH144" s="242">
        <f>+S144</f>
        <v>0</v>
      </c>
      <c r="AI144" s="337">
        <f>+M9-G11-G10</f>
        <v>9.9999999999999995E-7</v>
      </c>
      <c r="AJ144" s="337">
        <f>+(X46+AB46)/2/255</f>
        <v>0</v>
      </c>
      <c r="AK144" s="337">
        <f>IF(AI144&lt;AJ144,AI144,AJ144)</f>
        <v>0</v>
      </c>
      <c r="AL144" s="312">
        <f>+AK144*255+(Q151+F12-AK144)*170</f>
        <v>1.6999999999999999E-4</v>
      </c>
      <c r="AM144" s="348">
        <f>IF((W46+AA46)/2=0,100,(AL144/((W46+AA46)/2))*100)</f>
        <v>100</v>
      </c>
      <c r="AN144" s="348">
        <f>100-AM144</f>
        <v>0</v>
      </c>
      <c r="AO144" s="337"/>
      <c r="AP144" s="348">
        <f>IF(((AM144*T12+U144*(100-T12))/100)&gt;100,100,(AM144*T12+U144*(100-T12))/100)</f>
        <v>100</v>
      </c>
      <c r="AQ144" s="348">
        <f>100-AP144</f>
        <v>0</v>
      </c>
      <c r="AR144" s="348"/>
      <c r="AS144" s="242"/>
      <c r="AT144" s="242"/>
      <c r="AU144" s="242"/>
      <c r="AV144" s="242"/>
      <c r="AW144" s="242"/>
      <c r="AX144" s="242"/>
      <c r="AY144" s="242"/>
      <c r="AZ144" s="242"/>
      <c r="BA144" s="242"/>
      <c r="BB144" s="242"/>
      <c r="BC144" s="242"/>
      <c r="BD144" s="242"/>
      <c r="BE144" s="242"/>
      <c r="BF144" s="242"/>
      <c r="BG144" s="242"/>
      <c r="BH144" s="242"/>
      <c r="BI144" s="242"/>
      <c r="BJ144" s="242"/>
      <c r="BK144" s="242"/>
      <c r="BL144" s="242"/>
      <c r="BM144" s="242"/>
      <c r="BN144" s="242"/>
      <c r="BO144" s="242"/>
      <c r="BP144" s="242"/>
      <c r="BQ144" s="242"/>
      <c r="BR144" s="242"/>
      <c r="BS144" s="242"/>
      <c r="BT144" s="242"/>
      <c r="BU144" s="242"/>
      <c r="BV144" s="242"/>
      <c r="BW144" s="242"/>
      <c r="BX144" s="242"/>
      <c r="BY144" s="242"/>
      <c r="BZ144" s="242"/>
      <c r="CA144" s="421"/>
      <c r="CB144" s="421"/>
      <c r="CC144" s="421"/>
      <c r="CD144" s="242"/>
      <c r="CE144" s="145"/>
      <c r="CF144" s="145"/>
      <c r="CG144" s="145"/>
      <c r="CH144" s="145"/>
      <c r="CI144" s="145"/>
      <c r="CJ144" s="145"/>
      <c r="CK144" s="145"/>
      <c r="CL144" s="145"/>
      <c r="CM144" s="145"/>
      <c r="CN144" s="145"/>
      <c r="CO144" s="145"/>
      <c r="CP144" s="145"/>
      <c r="CQ144" s="145"/>
    </row>
    <row r="145" spans="1:95" s="147" customFormat="1" ht="15.75" customHeight="1" thickBot="1" x14ac:dyDescent="0.25">
      <c r="A145" s="581" t="s">
        <v>343</v>
      </c>
      <c r="B145" s="419"/>
      <c r="C145" s="419"/>
      <c r="D145" s="569"/>
      <c r="E145" s="569"/>
      <c r="F145" s="569"/>
      <c r="G145" s="569"/>
      <c r="H145" s="569"/>
      <c r="I145" s="213" t="str">
        <f>+I139</f>
        <v xml:space="preserve"> </v>
      </c>
      <c r="J145" s="213" t="str">
        <f>+J139</f>
        <v xml:space="preserve"> </v>
      </c>
      <c r="K145" s="19"/>
      <c r="L145" s="145"/>
      <c r="M145" s="299">
        <f>+M139</f>
        <v>0</v>
      </c>
      <c r="N145" s="299">
        <f>+N139</f>
        <v>0</v>
      </c>
      <c r="O145" s="242"/>
      <c r="P145" s="242"/>
      <c r="Q145" s="242"/>
      <c r="R145" s="347"/>
      <c r="S145" s="347"/>
      <c r="T145" s="347"/>
      <c r="U145" s="348"/>
      <c r="V145" s="347"/>
      <c r="W145" s="347"/>
      <c r="X145" s="348"/>
      <c r="Y145" s="242"/>
      <c r="Z145" s="242"/>
      <c r="AA145" s="242"/>
      <c r="AB145" s="242"/>
      <c r="AC145" s="242"/>
      <c r="AD145" s="242"/>
      <c r="AE145" s="242"/>
      <c r="AF145" s="242"/>
      <c r="AG145" s="242"/>
      <c r="AH145" s="242"/>
      <c r="AI145" s="337"/>
      <c r="AJ145" s="337"/>
      <c r="AK145" s="337"/>
      <c r="AL145" s="312"/>
      <c r="AM145" s="348"/>
      <c r="AN145" s="348"/>
      <c r="AO145" s="337"/>
      <c r="AP145" s="348"/>
      <c r="AQ145" s="348"/>
      <c r="AR145" s="348"/>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421"/>
      <c r="CB145" s="421"/>
      <c r="CC145" s="421"/>
      <c r="CD145" s="242"/>
      <c r="CE145" s="145"/>
      <c r="CF145" s="145"/>
      <c r="CG145" s="145"/>
      <c r="CH145" s="145"/>
      <c r="CI145" s="145"/>
      <c r="CJ145" s="145"/>
      <c r="CK145" s="145"/>
      <c r="CL145" s="145"/>
      <c r="CM145" s="145"/>
      <c r="CN145" s="145"/>
      <c r="CO145" s="145"/>
      <c r="CP145" s="145"/>
      <c r="CQ145" s="145"/>
    </row>
    <row r="146" spans="1:95" s="147" customFormat="1" ht="21" customHeight="1" thickBot="1" x14ac:dyDescent="0.25">
      <c r="A146" s="553" t="s">
        <v>284</v>
      </c>
      <c r="B146" s="582"/>
      <c r="C146" s="582"/>
      <c r="D146" s="583"/>
      <c r="E146" s="583"/>
      <c r="F146" s="583"/>
      <c r="G146" s="583"/>
      <c r="H146" s="583"/>
      <c r="I146" s="214" t="str">
        <f>IF(I145="Fehler","Fehler",IF(M144&gt;0.1,IF(M144&lt;=M145,"ja","nein")," "))</f>
        <v xml:space="preserve"> </v>
      </c>
      <c r="J146" s="215" t="str">
        <f>IF(J145="Fehler","Fehler",IF(N144&gt;0.1,IF(N144&lt;=N145,"ja","nein")," "))</f>
        <v xml:space="preserve"> </v>
      </c>
      <c r="K146" s="19"/>
      <c r="L146" s="145"/>
      <c r="M146" s="299"/>
      <c r="N146" s="299"/>
      <c r="O146" s="242"/>
      <c r="P146" s="242"/>
      <c r="Q146" s="242"/>
      <c r="R146" s="347"/>
      <c r="S146" s="347"/>
      <c r="T146" s="347"/>
      <c r="U146" s="348"/>
      <c r="V146" s="347"/>
      <c r="W146" s="347"/>
      <c r="X146" s="348"/>
      <c r="Y146" s="242"/>
      <c r="Z146" s="242"/>
      <c r="AA146" s="242"/>
      <c r="AB146" s="242"/>
      <c r="AC146" s="242"/>
      <c r="AD146" s="242"/>
      <c r="AE146" s="242"/>
      <c r="AF146" s="242"/>
      <c r="AG146" s="242"/>
      <c r="AH146" s="242"/>
      <c r="AI146" s="337"/>
      <c r="AJ146" s="337"/>
      <c r="AK146" s="337"/>
      <c r="AL146" s="312"/>
      <c r="AM146" s="348"/>
      <c r="AN146" s="348"/>
      <c r="AO146" s="337"/>
      <c r="AP146" s="348"/>
      <c r="AQ146" s="348"/>
      <c r="AR146" s="348"/>
      <c r="AS146" s="242"/>
      <c r="AT146" s="242"/>
      <c r="AU146" s="242"/>
      <c r="AV146" s="242"/>
      <c r="AW146" s="242"/>
      <c r="AX146" s="242"/>
      <c r="AY146" s="242"/>
      <c r="AZ146" s="242"/>
      <c r="BA146" s="242"/>
      <c r="BB146" s="242"/>
      <c r="BC146" s="242"/>
      <c r="BD146" s="242"/>
      <c r="BE146" s="242"/>
      <c r="BF146" s="242"/>
      <c r="BG146" s="242"/>
      <c r="BH146" s="242"/>
      <c r="BI146" s="242"/>
      <c r="BJ146" s="242"/>
      <c r="BK146" s="242"/>
      <c r="BL146" s="242"/>
      <c r="BM146" s="242"/>
      <c r="BN146" s="242"/>
      <c r="BO146" s="242"/>
      <c r="BP146" s="242"/>
      <c r="BQ146" s="242"/>
      <c r="BR146" s="242"/>
      <c r="BS146" s="242"/>
      <c r="BT146" s="242"/>
      <c r="BU146" s="242"/>
      <c r="BV146" s="242"/>
      <c r="BW146" s="242"/>
      <c r="BX146" s="242"/>
      <c r="BY146" s="242"/>
      <c r="BZ146" s="242"/>
      <c r="CA146" s="421"/>
      <c r="CB146" s="421"/>
      <c r="CC146" s="421"/>
      <c r="CD146" s="242"/>
      <c r="CE146" s="145"/>
      <c r="CF146" s="145"/>
      <c r="CG146" s="145"/>
      <c r="CH146" s="145"/>
      <c r="CI146" s="145"/>
      <c r="CJ146" s="145"/>
      <c r="CK146" s="145"/>
      <c r="CL146" s="145"/>
      <c r="CM146" s="145"/>
      <c r="CN146" s="145"/>
      <c r="CO146" s="145"/>
      <c r="CP146" s="145"/>
      <c r="CQ146" s="145"/>
    </row>
    <row r="147" spans="1:95" s="147" customFormat="1" ht="13.5" customHeight="1" x14ac:dyDescent="0.2">
      <c r="B147" s="443" t="s">
        <v>537</v>
      </c>
      <c r="C147" s="594">
        <f>F6-G8+F9-G11</f>
        <v>0</v>
      </c>
      <c r="D147" s="419"/>
      <c r="E147" s="591" t="s">
        <v>311</v>
      </c>
      <c r="F147" s="542" t="str">
        <f>IF(F5=0,"Betrieb ohne Fläche",S144)</f>
        <v>Betrieb ohne Fläche</v>
      </c>
      <c r="G147" s="419"/>
      <c r="H147" s="569"/>
      <c r="I147" s="146"/>
      <c r="J147" s="146"/>
      <c r="K147" s="19"/>
      <c r="L147" s="145"/>
      <c r="M147" s="299"/>
      <c r="N147" s="299"/>
      <c r="O147" s="242"/>
      <c r="P147" s="242" t="s">
        <v>552</v>
      </c>
      <c r="Q147" s="442">
        <f>F6-G8+M9-G11</f>
        <v>9.9999999999999995E-7</v>
      </c>
      <c r="R147" s="347"/>
      <c r="S147" s="347"/>
      <c r="T147" s="347" t="s">
        <v>286</v>
      </c>
      <c r="U147" s="347"/>
      <c r="V147" s="347"/>
      <c r="W147" s="347"/>
      <c r="X147" s="347"/>
      <c r="Y147" s="242"/>
      <c r="Z147" s="242"/>
      <c r="AA147" s="242"/>
      <c r="AB147" s="242"/>
      <c r="AC147" s="242"/>
      <c r="AD147" s="242"/>
      <c r="AE147" s="242"/>
      <c r="AF147" s="242"/>
      <c r="AG147" s="242"/>
      <c r="AH147" s="242"/>
      <c r="AI147" s="337"/>
      <c r="AJ147" s="337"/>
      <c r="AK147" s="337"/>
      <c r="AL147" s="242"/>
      <c r="AM147" s="347"/>
      <c r="AN147" s="347"/>
      <c r="AO147" s="337"/>
      <c r="AP147" s="348"/>
      <c r="AQ147" s="347"/>
      <c r="AR147" s="347"/>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c r="CA147" s="421"/>
      <c r="CB147" s="421"/>
      <c r="CC147" s="421"/>
      <c r="CD147" s="242"/>
      <c r="CE147" s="145"/>
      <c r="CF147" s="145"/>
      <c r="CG147" s="145"/>
      <c r="CH147" s="145"/>
      <c r="CI147" s="145"/>
      <c r="CJ147" s="145"/>
      <c r="CK147" s="145"/>
      <c r="CL147" s="145"/>
      <c r="CM147" s="145"/>
      <c r="CN147" s="145"/>
      <c r="CO147" s="145"/>
      <c r="CP147" s="145"/>
      <c r="CQ147" s="145"/>
    </row>
    <row r="148" spans="1:95" s="147" customFormat="1" ht="13.5" customHeight="1" x14ac:dyDescent="0.2">
      <c r="A148" s="217" t="str">
        <f>IF(M46=0," ",IF(M148=" "," ",IF(M148&lt;=10," ",IF(M148&gt;10,"Achtung: Anlagenverordnung beachten; Gärsaft + verunreinigtes Wasser &gt; 10 % des Anfalls"))))</f>
        <v xml:space="preserve"> </v>
      </c>
      <c r="C148" s="419"/>
      <c r="D148" s="419"/>
      <c r="E148" s="419"/>
      <c r="F148" s="419"/>
      <c r="G148" s="419"/>
      <c r="H148" s="569"/>
      <c r="I148" s="569"/>
      <c r="J148" s="145"/>
      <c r="K148" s="19"/>
      <c r="L148" s="145"/>
      <c r="M148" s="319" t="e">
        <f>((M44+M41)/I47)*100</f>
        <v>#VALUE!</v>
      </c>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421"/>
      <c r="CB148" s="421"/>
      <c r="CC148" s="421"/>
      <c r="CD148" s="242"/>
      <c r="CE148" s="145"/>
      <c r="CF148" s="145"/>
      <c r="CG148" s="145"/>
      <c r="CH148" s="145"/>
      <c r="CI148" s="145"/>
      <c r="CJ148" s="145"/>
      <c r="CK148" s="145"/>
      <c r="CL148" s="145"/>
      <c r="CM148" s="145"/>
      <c r="CN148" s="145"/>
      <c r="CO148" s="145"/>
      <c r="CP148" s="145"/>
      <c r="CQ148" s="145"/>
    </row>
    <row r="149" spans="1:95" s="151" customFormat="1" ht="10.5" customHeight="1" x14ac:dyDescent="0.2">
      <c r="A149" s="151" t="s">
        <v>341</v>
      </c>
      <c r="B149" s="154"/>
      <c r="C149" s="154"/>
      <c r="D149" s="154"/>
      <c r="E149" s="154"/>
      <c r="F149" s="154"/>
      <c r="G149" s="154"/>
      <c r="H149" s="154"/>
      <c r="I149" s="154"/>
      <c r="J149" s="139"/>
      <c r="K149" s="27"/>
      <c r="L149" s="153"/>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50"/>
      <c r="BS149" s="350"/>
      <c r="BT149" s="350"/>
      <c r="BU149" s="350"/>
      <c r="BV149" s="349"/>
      <c r="BW149" s="349"/>
      <c r="BX149" s="349"/>
      <c r="BY149" s="349"/>
      <c r="BZ149" s="349"/>
      <c r="CA149" s="349"/>
      <c r="CB149" s="349"/>
      <c r="CC149" s="349"/>
      <c r="CD149" s="349"/>
      <c r="CE149" s="153"/>
      <c r="CF149" s="153"/>
      <c r="CG149" s="153"/>
      <c r="CH149" s="153"/>
      <c r="CI149" s="153"/>
      <c r="CJ149" s="153"/>
      <c r="CK149" s="153"/>
      <c r="CL149" s="153"/>
      <c r="CM149" s="153"/>
      <c r="CN149" s="153"/>
      <c r="CO149" s="153"/>
      <c r="CP149" s="153"/>
      <c r="CQ149" s="153"/>
    </row>
    <row r="150" spans="1:95" s="151" customFormat="1" ht="10.5" customHeight="1" x14ac:dyDescent="0.2">
      <c r="A150" s="151" t="s">
        <v>480</v>
      </c>
      <c r="B150" s="154"/>
      <c r="C150" s="154"/>
      <c r="D150" s="154"/>
      <c r="E150" s="154"/>
      <c r="F150" s="154"/>
      <c r="G150" s="154"/>
      <c r="H150" s="154"/>
      <c r="I150" s="154"/>
      <c r="J150" s="592"/>
      <c r="K150" s="27"/>
      <c r="L150" s="153"/>
      <c r="M150" s="349"/>
      <c r="N150" s="349"/>
      <c r="O150" s="349"/>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50"/>
      <c r="BS150" s="350"/>
      <c r="BT150" s="350"/>
      <c r="BU150" s="350"/>
      <c r="BV150" s="349"/>
      <c r="BW150" s="349"/>
      <c r="BX150" s="349"/>
      <c r="BY150" s="349"/>
      <c r="BZ150" s="349"/>
      <c r="CA150" s="349"/>
      <c r="CB150" s="349"/>
      <c r="CC150" s="349"/>
      <c r="CD150" s="349"/>
      <c r="CE150" s="153"/>
      <c r="CF150" s="153"/>
      <c r="CG150" s="153"/>
      <c r="CH150" s="153"/>
      <c r="CI150" s="153"/>
      <c r="CJ150" s="153"/>
      <c r="CK150" s="153"/>
      <c r="CL150" s="153"/>
      <c r="CM150" s="153"/>
      <c r="CN150" s="153"/>
      <c r="CO150" s="153"/>
      <c r="CP150" s="153"/>
      <c r="CQ150" s="153"/>
    </row>
    <row r="151" spans="1:95" s="151" customFormat="1" ht="11.25" customHeight="1" x14ac:dyDescent="0.2">
      <c r="A151" s="151" t="s">
        <v>8000</v>
      </c>
      <c r="I151" s="151">
        <f>+F5-SUM(G7:G8,G10:G11)</f>
        <v>0</v>
      </c>
      <c r="J151" s="151" t="s">
        <v>351</v>
      </c>
      <c r="K151" s="27"/>
      <c r="L151" s="153"/>
      <c r="M151" s="349"/>
      <c r="N151" s="349"/>
      <c r="O151" s="349"/>
      <c r="P151" s="349" t="s">
        <v>551</v>
      </c>
      <c r="Q151" s="151">
        <f>+M5-SUM(G7:G8,G10:G11)</f>
        <v>9.9999999999999995E-7</v>
      </c>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50"/>
      <c r="BS151" s="350"/>
      <c r="BT151" s="350"/>
      <c r="BU151" s="350"/>
      <c r="BV151" s="349"/>
      <c r="BW151" s="349"/>
      <c r="BX151" s="349"/>
      <c r="BY151" s="349"/>
      <c r="BZ151" s="349"/>
      <c r="CA151" s="349"/>
      <c r="CB151" s="349"/>
      <c r="CC151" s="349"/>
      <c r="CD151" s="349"/>
      <c r="CE151" s="153"/>
      <c r="CF151" s="153"/>
      <c r="CG151" s="153"/>
      <c r="CH151" s="153"/>
      <c r="CI151" s="153"/>
      <c r="CJ151" s="153"/>
      <c r="CK151" s="153"/>
      <c r="CL151" s="153"/>
      <c r="CM151" s="153"/>
      <c r="CN151" s="153"/>
      <c r="CO151" s="153"/>
      <c r="CP151" s="153"/>
      <c r="CQ151" s="153"/>
    </row>
    <row r="152" spans="1:95" s="151" customFormat="1" ht="10.5" customHeight="1" x14ac:dyDescent="0.2">
      <c r="A152" s="592" t="s">
        <v>538</v>
      </c>
      <c r="B152" s="154"/>
      <c r="C152" s="154"/>
      <c r="D152" s="154"/>
      <c r="E152" s="154"/>
      <c r="I152" s="153">
        <f>F12</f>
        <v>0</v>
      </c>
      <c r="J152" s="153" t="s">
        <v>351</v>
      </c>
      <c r="K152" s="27"/>
      <c r="L152" s="153"/>
      <c r="M152" s="349"/>
      <c r="N152" s="349"/>
      <c r="O152" s="349"/>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50"/>
      <c r="BS152" s="350"/>
      <c r="BT152" s="350"/>
      <c r="BU152" s="350"/>
      <c r="BV152" s="349"/>
      <c r="BW152" s="349"/>
      <c r="BX152" s="349"/>
      <c r="BY152" s="349"/>
      <c r="BZ152" s="349"/>
      <c r="CA152" s="349"/>
      <c r="CB152" s="349"/>
      <c r="CC152" s="349"/>
      <c r="CD152" s="349"/>
      <c r="CE152" s="153"/>
      <c r="CF152" s="153"/>
      <c r="CG152" s="153"/>
      <c r="CH152" s="153"/>
      <c r="CI152" s="153"/>
      <c r="CJ152" s="153"/>
      <c r="CK152" s="153"/>
      <c r="CL152" s="153"/>
      <c r="CM152" s="153"/>
      <c r="CN152" s="153"/>
      <c r="CO152" s="153"/>
      <c r="CP152" s="153"/>
      <c r="CQ152" s="153"/>
    </row>
    <row r="153" spans="1:95" ht="5.25" customHeight="1" x14ac:dyDescent="0.2">
      <c r="A153" s="139"/>
      <c r="B153" s="139"/>
      <c r="C153" s="139"/>
      <c r="D153" s="139"/>
      <c r="E153" s="139"/>
      <c r="F153" s="139"/>
      <c r="G153" s="139"/>
      <c r="H153" s="139"/>
      <c r="I153" s="139"/>
      <c r="J153" s="139"/>
      <c r="K153" s="26"/>
      <c r="L153" s="154"/>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257"/>
      <c r="AO153" s="257"/>
      <c r="AP153" s="257"/>
      <c r="AQ153" s="257"/>
      <c r="AR153" s="257"/>
      <c r="AS153" s="257"/>
      <c r="AT153" s="257"/>
      <c r="AU153" s="257"/>
      <c r="AV153" s="257"/>
      <c r="AW153" s="257"/>
      <c r="AX153" s="257"/>
      <c r="AY153" s="257"/>
      <c r="AZ153" s="257"/>
      <c r="BA153" s="257"/>
      <c r="BB153" s="257"/>
      <c r="BC153" s="257"/>
      <c r="BD153" s="257"/>
      <c r="BE153" s="257"/>
      <c r="BF153" s="257"/>
      <c r="BG153" s="257"/>
      <c r="BH153" s="257"/>
      <c r="BI153" s="257"/>
      <c r="BJ153" s="257"/>
      <c r="BK153" s="257"/>
      <c r="BL153" s="257"/>
      <c r="BM153" s="257"/>
      <c r="BN153" s="257"/>
      <c r="BO153" s="257"/>
      <c r="BP153" s="257"/>
      <c r="BQ153" s="257"/>
      <c r="BR153" s="234"/>
      <c r="BS153" s="234"/>
      <c r="BT153" s="234"/>
      <c r="BU153" s="234"/>
      <c r="BV153" s="257"/>
      <c r="BW153" s="257"/>
      <c r="BX153" s="257"/>
      <c r="BY153" s="257"/>
      <c r="BZ153" s="257"/>
      <c r="CA153" s="257"/>
      <c r="CB153" s="257"/>
      <c r="CC153" s="257"/>
      <c r="CD153" s="257"/>
      <c r="CE153" s="154"/>
      <c r="CF153" s="154"/>
      <c r="CG153" s="154"/>
      <c r="CH153" s="154"/>
      <c r="CI153" s="154"/>
      <c r="CJ153" s="154"/>
      <c r="CK153" s="154"/>
      <c r="CL153" s="154"/>
      <c r="CM153" s="154"/>
      <c r="CN153" s="154"/>
      <c r="CO153" s="154"/>
      <c r="CP153" s="154"/>
      <c r="CQ153" s="154"/>
    </row>
    <row r="154" spans="1:95" ht="14.25" customHeight="1" x14ac:dyDescent="0.2">
      <c r="A154" s="139"/>
      <c r="B154" s="139"/>
      <c r="C154" s="139"/>
      <c r="D154" s="139"/>
      <c r="E154" s="139"/>
      <c r="F154" s="139"/>
      <c r="G154" s="139"/>
      <c r="H154" s="139"/>
      <c r="I154" s="139"/>
      <c r="J154" s="139"/>
      <c r="K154" s="26"/>
      <c r="L154" s="154"/>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257"/>
      <c r="AO154" s="257"/>
      <c r="AP154" s="257"/>
      <c r="AQ154" s="257"/>
      <c r="AR154" s="257"/>
      <c r="AS154" s="257"/>
      <c r="AT154" s="257"/>
      <c r="AU154" s="257"/>
      <c r="AV154" s="257"/>
      <c r="AW154" s="257"/>
      <c r="AX154" s="257"/>
      <c r="AY154" s="257"/>
      <c r="AZ154" s="257"/>
      <c r="BA154" s="257"/>
      <c r="BB154" s="257"/>
      <c r="BC154" s="257"/>
      <c r="BD154" s="257"/>
      <c r="BE154" s="257"/>
      <c r="BF154" s="257"/>
      <c r="BG154" s="257"/>
      <c r="BH154" s="257"/>
      <c r="BI154" s="257"/>
      <c r="BJ154" s="257"/>
      <c r="BK154" s="257"/>
      <c r="BL154" s="257"/>
      <c r="BM154" s="257"/>
      <c r="BN154" s="257"/>
      <c r="BO154" s="257"/>
      <c r="BP154" s="257"/>
      <c r="BQ154" s="257"/>
      <c r="BR154" s="234"/>
      <c r="BS154" s="234"/>
      <c r="BT154" s="234"/>
      <c r="BU154" s="234"/>
      <c r="BV154" s="257"/>
      <c r="BW154" s="257"/>
      <c r="BX154" s="257"/>
      <c r="BY154" s="257"/>
      <c r="BZ154" s="257"/>
      <c r="CA154" s="257"/>
      <c r="CB154" s="257"/>
      <c r="CC154" s="257"/>
      <c r="CD154" s="257"/>
      <c r="CE154" s="154"/>
      <c r="CF154" s="154"/>
      <c r="CG154" s="154"/>
      <c r="CH154" s="154"/>
      <c r="CI154" s="154"/>
      <c r="CJ154" s="154"/>
      <c r="CK154" s="154"/>
      <c r="CL154" s="154"/>
      <c r="CM154" s="154"/>
      <c r="CN154" s="154"/>
      <c r="CO154" s="154"/>
      <c r="CP154" s="154"/>
      <c r="CQ154" s="154"/>
    </row>
    <row r="155" spans="1:95" x14ac:dyDescent="0.2">
      <c r="A155" s="416"/>
      <c r="B155" s="419"/>
      <c r="C155" s="593"/>
      <c r="D155" s="139"/>
      <c r="E155" s="569"/>
      <c r="F155" s="569"/>
      <c r="G155" s="569"/>
      <c r="H155" s="569"/>
      <c r="I155" s="221"/>
      <c r="J155" s="145"/>
    </row>
    <row r="156" spans="1:95" x14ac:dyDescent="0.2">
      <c r="A156" s="416"/>
      <c r="B156" s="419"/>
      <c r="C156" s="593"/>
      <c r="D156" s="560"/>
      <c r="E156" s="569"/>
      <c r="F156" s="569"/>
      <c r="G156" s="569"/>
      <c r="H156" s="569"/>
      <c r="I156" s="221"/>
      <c r="J156" s="145"/>
    </row>
    <row r="157" spans="1:95" x14ac:dyDescent="0.2">
      <c r="A157" s="416"/>
      <c r="B157" s="419"/>
      <c r="C157" s="593"/>
      <c r="D157" s="560"/>
      <c r="E157" s="569"/>
      <c r="F157" s="569"/>
      <c r="G157" s="569"/>
      <c r="H157" s="569"/>
      <c r="I157" s="221"/>
      <c r="J157" s="145"/>
    </row>
    <row r="158" spans="1:95" x14ac:dyDescent="0.2">
      <c r="A158" s="416"/>
      <c r="B158" s="419"/>
      <c r="C158" s="593"/>
      <c r="D158" s="560"/>
      <c r="E158" s="569"/>
      <c r="F158" s="569"/>
      <c r="G158" s="569"/>
      <c r="H158" s="569"/>
      <c r="I158" s="221"/>
      <c r="J158" s="145"/>
    </row>
    <row r="159" spans="1:95" x14ac:dyDescent="0.2">
      <c r="A159" s="416"/>
      <c r="B159" s="419"/>
      <c r="C159" s="593"/>
      <c r="D159" s="560"/>
      <c r="E159" s="569"/>
      <c r="F159" s="569"/>
      <c r="G159" s="569"/>
      <c r="H159" s="569"/>
      <c r="I159" s="221"/>
      <c r="J159" s="145"/>
    </row>
    <row r="160" spans="1:95" x14ac:dyDescent="0.2">
      <c r="A160" s="416"/>
      <c r="B160" s="419"/>
      <c r="C160" s="593"/>
      <c r="D160" s="560"/>
      <c r="E160" s="569"/>
      <c r="F160" s="569"/>
      <c r="G160" s="569"/>
      <c r="H160" s="569"/>
      <c r="I160" s="221"/>
      <c r="J160" s="145"/>
    </row>
    <row r="161" spans="1:19" x14ac:dyDescent="0.2">
      <c r="A161" s="139"/>
      <c r="B161" s="139"/>
      <c r="C161" s="139"/>
      <c r="D161" s="139"/>
      <c r="E161" s="139"/>
      <c r="F161" s="139"/>
      <c r="G161" s="139"/>
      <c r="H161" s="139"/>
      <c r="I161" s="139"/>
      <c r="J161" s="139"/>
    </row>
    <row r="162" spans="1:19" x14ac:dyDescent="0.2">
      <c r="A162" s="805"/>
      <c r="B162" s="805"/>
      <c r="C162" s="805"/>
      <c r="D162" s="805"/>
      <c r="E162" s="805"/>
      <c r="F162" s="805"/>
      <c r="G162" s="805"/>
      <c r="H162" s="805"/>
      <c r="I162" s="805"/>
      <c r="J162" s="805"/>
    </row>
    <row r="163" spans="1:19" ht="8.25" customHeight="1" x14ac:dyDescent="0.2"/>
    <row r="164" spans="1:19" ht="4.5" customHeight="1" thickBot="1" x14ac:dyDescent="0.25"/>
    <row r="165" spans="1:19" ht="15.75" thickBot="1" x14ac:dyDescent="0.25">
      <c r="A165" s="1234" t="s">
        <v>7742</v>
      </c>
      <c r="B165" s="1235"/>
      <c r="C165" s="1235"/>
      <c r="D165" s="1235"/>
      <c r="E165" s="1235"/>
      <c r="F165" s="1235"/>
      <c r="G165" s="1235"/>
      <c r="H165" s="1235"/>
      <c r="I165" s="1235"/>
      <c r="J165" s="1236"/>
    </row>
    <row r="166" spans="1:19" ht="3.75" customHeight="1" x14ac:dyDescent="0.2"/>
    <row r="167" spans="1:19" ht="15" x14ac:dyDescent="0.25">
      <c r="A167" s="956" t="s">
        <v>7847</v>
      </c>
      <c r="B167" s="194"/>
      <c r="C167" s="194"/>
      <c r="D167" s="194"/>
      <c r="E167" s="194"/>
      <c r="F167" s="194"/>
      <c r="G167" s="194"/>
      <c r="H167" s="194"/>
      <c r="I167" s="194"/>
      <c r="J167" s="194"/>
    </row>
    <row r="168" spans="1:19" ht="6" customHeight="1" thickBot="1" x14ac:dyDescent="0.25">
      <c r="A168" s="495"/>
      <c r="B168" s="495"/>
      <c r="C168" s="495"/>
      <c r="D168" s="495"/>
      <c r="E168" s="495"/>
      <c r="F168" s="495"/>
      <c r="G168" s="1413"/>
      <c r="H168" s="1413"/>
      <c r="I168" s="949"/>
      <c r="J168" s="949"/>
    </row>
    <row r="169" spans="1:19" ht="15.75" customHeight="1" x14ac:dyDescent="0.2">
      <c r="A169" s="952" t="s">
        <v>7846</v>
      </c>
      <c r="B169" s="953"/>
      <c r="C169" s="953"/>
      <c r="D169" s="953"/>
      <c r="E169" s="953"/>
      <c r="F169" s="953"/>
      <c r="G169" s="954"/>
      <c r="H169" s="954"/>
      <c r="I169" s="1156">
        <f>DD39</f>
        <v>0</v>
      </c>
      <c r="J169" s="1157"/>
    </row>
    <row r="170" spans="1:19" ht="15.75" customHeight="1" thickBot="1" x14ac:dyDescent="0.25">
      <c r="A170" s="950" t="s">
        <v>512</v>
      </c>
      <c r="B170" s="951"/>
      <c r="C170" s="951"/>
      <c r="D170" s="951"/>
      <c r="E170" s="951"/>
      <c r="F170" s="951"/>
      <c r="G170" s="955"/>
      <c r="H170" s="955"/>
      <c r="I170" s="1158">
        <f>DE39</f>
        <v>0</v>
      </c>
      <c r="J170" s="1159"/>
    </row>
    <row r="171" spans="1:19" ht="6.95" customHeight="1" x14ac:dyDescent="0.2"/>
    <row r="172" spans="1:19" ht="15" x14ac:dyDescent="0.25">
      <c r="A172" s="455" t="s">
        <v>506</v>
      </c>
      <c r="B172" s="194"/>
      <c r="C172" s="194"/>
      <c r="D172" s="194"/>
      <c r="E172" s="194"/>
      <c r="F172" s="194"/>
      <c r="G172" s="194"/>
      <c r="H172" s="194"/>
      <c r="I172" s="194"/>
      <c r="J172" s="194"/>
    </row>
    <row r="173" spans="1:19" ht="12" customHeight="1" x14ac:dyDescent="0.2">
      <c r="A173" s="456" t="s">
        <v>507</v>
      </c>
      <c r="B173" s="194"/>
      <c r="C173" s="194"/>
      <c r="D173" s="194"/>
      <c r="E173" s="194"/>
      <c r="F173" s="194"/>
      <c r="G173" s="194"/>
      <c r="H173" s="194"/>
      <c r="I173" s="194"/>
      <c r="J173" s="194"/>
      <c r="Q173" s="228" t="s">
        <v>7759</v>
      </c>
    </row>
    <row r="174" spans="1:19" ht="3" customHeight="1" thickBot="1" x14ac:dyDescent="0.25">
      <c r="A174" s="194"/>
      <c r="B174" s="194"/>
      <c r="C174" s="194"/>
      <c r="D174" s="194"/>
      <c r="E174" s="194"/>
      <c r="F174" s="194"/>
      <c r="G174" s="194"/>
      <c r="H174" s="194"/>
      <c r="I174" s="194"/>
      <c r="J174" s="194"/>
    </row>
    <row r="175" spans="1:19" ht="15.75" customHeight="1" x14ac:dyDescent="0.2">
      <c r="A175" s="1416" t="s">
        <v>493</v>
      </c>
      <c r="B175" s="1417"/>
      <c r="C175" s="1417"/>
      <c r="D175" s="725" t="s">
        <v>257</v>
      </c>
      <c r="E175" s="454" t="s">
        <v>258</v>
      </c>
      <c r="F175" s="1171" t="s">
        <v>7865</v>
      </c>
      <c r="G175" s="1172"/>
      <c r="H175" s="1173"/>
      <c r="I175" s="1171" t="s">
        <v>494</v>
      </c>
      <c r="J175" s="1173"/>
      <c r="Q175" s="228" t="s">
        <v>490</v>
      </c>
      <c r="R175" s="446" t="s">
        <v>7751</v>
      </c>
      <c r="S175" s="446" t="s">
        <v>7746</v>
      </c>
    </row>
    <row r="176" spans="1:19" ht="15.75" customHeight="1" thickBot="1" x14ac:dyDescent="0.35">
      <c r="A176" s="1418"/>
      <c r="B176" s="1419"/>
      <c r="C176" s="1419"/>
      <c r="D176" s="1414" t="s">
        <v>259</v>
      </c>
      <c r="E176" s="1415"/>
      <c r="F176" s="726" t="s">
        <v>4</v>
      </c>
      <c r="G176" s="727" t="s">
        <v>7743</v>
      </c>
      <c r="H176" s="708" t="s">
        <v>7744</v>
      </c>
      <c r="I176" s="1336" t="s">
        <v>540</v>
      </c>
      <c r="J176" s="1337"/>
      <c r="Q176" s="228" t="s">
        <v>7750</v>
      </c>
      <c r="R176" s="446" t="s">
        <v>7750</v>
      </c>
      <c r="S176" s="446" t="s">
        <v>7750</v>
      </c>
    </row>
    <row r="177" spans="1:19" ht="18" customHeight="1" x14ac:dyDescent="0.2">
      <c r="A177" s="1420" t="s">
        <v>513</v>
      </c>
      <c r="B177" s="1421"/>
      <c r="C177" s="1421"/>
      <c r="D177" s="723"/>
      <c r="E177" s="1061"/>
      <c r="F177" s="720" t="str">
        <f>IF($N46=0," ",D51)</f>
        <v xml:space="preserve"> </v>
      </c>
      <c r="G177" s="730" t="str">
        <f>IF($N46=0," ",F51)</f>
        <v xml:space="preserve"> </v>
      </c>
      <c r="H177" s="721" t="str">
        <f>IF($N46=0," ",G51)</f>
        <v xml:space="preserve"> </v>
      </c>
      <c r="I177" s="544"/>
      <c r="J177" s="545"/>
      <c r="L177" s="228"/>
      <c r="M177" s="446" t="s">
        <v>559</v>
      </c>
    </row>
    <row r="178" spans="1:19" ht="18" customHeight="1" x14ac:dyDescent="0.2">
      <c r="A178" s="1422"/>
      <c r="B178" s="1423"/>
      <c r="C178" s="1423"/>
      <c r="D178" s="724"/>
      <c r="E178" s="483"/>
      <c r="F178" s="1410" t="s">
        <v>558</v>
      </c>
      <c r="G178" s="1411"/>
      <c r="H178" s="1412"/>
      <c r="I178" s="1162" t="str">
        <f>IF(OR(E177=0,M178=""),"",E177*M178*-1)</f>
        <v/>
      </c>
      <c r="J178" s="1163"/>
      <c r="L178" s="228"/>
      <c r="M178" s="228" t="str">
        <f>IF($N46=0," ",(AG54+AJ54)/2)</f>
        <v xml:space="preserve"> </v>
      </c>
      <c r="Q178" s="731" t="str">
        <f>IF(OR($E177=0,F177=""),"",$E177*F177*-1)</f>
        <v/>
      </c>
      <c r="R178" s="731" t="str">
        <f>IF(OR($E177=0,G177=""),"",$E177*G177*-1)</f>
        <v/>
      </c>
      <c r="S178" s="731" t="str">
        <f>IF(OR($E177=0,H177=""),"",$E177*H177*-1)</f>
        <v/>
      </c>
    </row>
    <row r="179" spans="1:19" ht="18" customHeight="1" x14ac:dyDescent="0.2">
      <c r="A179" s="1424" t="s">
        <v>539</v>
      </c>
      <c r="B179" s="1425"/>
      <c r="C179" s="1425"/>
      <c r="D179" s="724"/>
      <c r="E179" s="1062"/>
      <c r="F179" s="706" t="str">
        <f>IF(B89=0,"",B91)</f>
        <v/>
      </c>
      <c r="G179" s="722" t="str">
        <f>IF(B89=0,"",B93)</f>
        <v/>
      </c>
      <c r="H179" s="707" t="str">
        <f>IF(B89=0,"",B94)</f>
        <v/>
      </c>
      <c r="I179" s="1152" t="str">
        <f>IF(OR(E179=0,F179=""),"",E179*F179*-1)</f>
        <v/>
      </c>
      <c r="J179" s="1153"/>
      <c r="L179" s="228"/>
      <c r="M179" s="446" t="s">
        <v>7747</v>
      </c>
      <c r="N179" s="446" t="s">
        <v>7748</v>
      </c>
      <c r="O179" s="446" t="s">
        <v>7749</v>
      </c>
      <c r="R179" s="732" t="str">
        <f>IF(OR($E179=0,G179=""),"",$E179*G179*-1)</f>
        <v/>
      </c>
      <c r="S179" s="732" t="str">
        <f>IF(OR($E179=0,H179=""),"",$E179*H179*-1)</f>
        <v/>
      </c>
    </row>
    <row r="180" spans="1:19" ht="18" customHeight="1" x14ac:dyDescent="0.2">
      <c r="A180" s="709"/>
      <c r="B180" s="710"/>
      <c r="C180" s="710"/>
      <c r="D180" s="1063"/>
      <c r="E180" s="1064"/>
      <c r="F180" s="706" t="str">
        <f>+IF(M180=0,"  ",M180)</f>
        <v xml:space="preserve">  </v>
      </c>
      <c r="G180" s="722" t="str">
        <f t="shared" ref="G180:H184" si="89">+IF(N180=0,"  ",N180)</f>
        <v xml:space="preserve">  </v>
      </c>
      <c r="H180" s="707" t="str">
        <f>+IF(O180=0,"  ",O180)</f>
        <v xml:space="preserve">  </v>
      </c>
      <c r="I180" s="1338" t="str">
        <f>IF(D180+E180=0," ",(D180-E180)*F180)</f>
        <v xml:space="preserve"> </v>
      </c>
      <c r="J180" s="1339"/>
      <c r="L180" s="228">
        <v>1</v>
      </c>
      <c r="M180" s="228" cm="1">
        <f t="array" ref="M180">+INDEX('org Dünger'!G$8:G$40,'Nährstoffe und Lagerraum'!$L180)</f>
        <v>0</v>
      </c>
      <c r="N180" s="228" cm="1">
        <f t="array" ref="N180">+INDEX('org Dünger'!H$8:H$40,'Nährstoffe und Lagerraum'!$L180)</f>
        <v>0</v>
      </c>
      <c r="O180" s="228" cm="1">
        <f t="array" ref="O180">+INDEX('org Dünger'!I$8:I$40,'Nährstoffe und Lagerraum'!$L180)</f>
        <v>0</v>
      </c>
      <c r="R180" s="732" t="str">
        <f t="shared" ref="R180:R198" si="90">IF($D180+$E180=0," ",($D180-$E180)*G180)</f>
        <v xml:space="preserve"> </v>
      </c>
      <c r="S180" s="732" t="str">
        <f t="shared" ref="S180:S198" si="91">IF($D180+$E180=0," ",($D180-$E180)*H180)</f>
        <v xml:space="preserve"> </v>
      </c>
    </row>
    <row r="181" spans="1:19" ht="18" customHeight="1" x14ac:dyDescent="0.2">
      <c r="A181" s="704"/>
      <c r="B181" s="705"/>
      <c r="C181" s="705"/>
      <c r="D181" s="1065"/>
      <c r="E181" s="1064"/>
      <c r="F181" s="711" t="str">
        <f>+IF(M181=0,"  ",M181)</f>
        <v xml:space="preserve">  </v>
      </c>
      <c r="G181" s="722" t="str">
        <f t="shared" si="89"/>
        <v xml:space="preserve">  </v>
      </c>
      <c r="H181" s="712" t="str">
        <f t="shared" si="89"/>
        <v xml:space="preserve">  </v>
      </c>
      <c r="I181" s="1338" t="str">
        <f t="shared" ref="I181:I198" si="92">IF(D181+E181=0," ",(D181-E181)*F181)</f>
        <v xml:space="preserve"> </v>
      </c>
      <c r="J181" s="1339"/>
      <c r="L181" s="228">
        <v>1</v>
      </c>
      <c r="M181" s="228" cm="1">
        <f t="array" ref="M181">+INDEX('org Dünger'!G$8:G$40,'Nährstoffe und Lagerraum'!$L181)</f>
        <v>0</v>
      </c>
      <c r="N181" s="228" cm="1">
        <f t="array" ref="N181">+INDEX('org Dünger'!H$8:H$40,'Nährstoffe und Lagerraum'!$L181)</f>
        <v>0</v>
      </c>
      <c r="O181" s="228" cm="1">
        <f t="array" ref="O181">+INDEX('org Dünger'!I$8:I$40,'Nährstoffe und Lagerraum'!$L181)</f>
        <v>0</v>
      </c>
      <c r="R181" s="732" t="str">
        <f t="shared" si="90"/>
        <v xml:space="preserve"> </v>
      </c>
      <c r="S181" s="732" t="str">
        <f t="shared" si="91"/>
        <v xml:space="preserve"> </v>
      </c>
    </row>
    <row r="182" spans="1:19" ht="18" customHeight="1" x14ac:dyDescent="0.2">
      <c r="A182" s="704"/>
      <c r="B182" s="705"/>
      <c r="C182" s="705"/>
      <c r="D182" s="1065"/>
      <c r="E182" s="1064"/>
      <c r="F182" s="706" t="str">
        <f>+IF(M182=0,"  ",M182)</f>
        <v xml:space="preserve">  </v>
      </c>
      <c r="G182" s="722" t="str">
        <f t="shared" si="89"/>
        <v xml:space="preserve">  </v>
      </c>
      <c r="H182" s="707" t="str">
        <f t="shared" si="89"/>
        <v xml:space="preserve">  </v>
      </c>
      <c r="I182" s="1162" t="str">
        <f t="shared" si="92"/>
        <v xml:space="preserve"> </v>
      </c>
      <c r="J182" s="1163"/>
      <c r="L182" s="228">
        <v>1</v>
      </c>
      <c r="M182" s="228" cm="1">
        <f t="array" ref="M182">+INDEX('org Dünger'!G$8:G$40,'Nährstoffe und Lagerraum'!$L182)</f>
        <v>0</v>
      </c>
      <c r="N182" s="228" cm="1">
        <f t="array" ref="N182">+INDEX('org Dünger'!H$8:H$40,'Nährstoffe und Lagerraum'!$L182)</f>
        <v>0</v>
      </c>
      <c r="O182" s="228" cm="1">
        <f t="array" ref="O182">+INDEX('org Dünger'!I$8:I$40,'Nährstoffe und Lagerraum'!$L182)</f>
        <v>0</v>
      </c>
      <c r="R182" s="732" t="str">
        <f t="shared" si="90"/>
        <v xml:space="preserve"> </v>
      </c>
      <c r="S182" s="732" t="str">
        <f t="shared" si="91"/>
        <v xml:space="preserve"> </v>
      </c>
    </row>
    <row r="183" spans="1:19" ht="18" customHeight="1" x14ac:dyDescent="0.2">
      <c r="A183" s="704"/>
      <c r="B183" s="705"/>
      <c r="C183" s="705"/>
      <c r="D183" s="1065"/>
      <c r="E183" s="1064"/>
      <c r="F183" s="706" t="str">
        <f>+IF(M183=0,"  ",M183)</f>
        <v xml:space="preserve">  </v>
      </c>
      <c r="G183" s="722" t="str">
        <f t="shared" si="89"/>
        <v xml:space="preserve">  </v>
      </c>
      <c r="H183" s="707" t="str">
        <f t="shared" si="89"/>
        <v xml:space="preserve">  </v>
      </c>
      <c r="I183" s="1164" t="str">
        <f t="shared" si="92"/>
        <v xml:space="preserve"> </v>
      </c>
      <c r="J183" s="1165"/>
      <c r="L183" s="228">
        <v>1</v>
      </c>
      <c r="M183" s="228" cm="1">
        <f t="array" ref="M183">+INDEX('org Dünger'!G$8:G$40,'Nährstoffe und Lagerraum'!$L183)</f>
        <v>0</v>
      </c>
      <c r="N183" s="228" cm="1">
        <f t="array" ref="N183">+INDEX('org Dünger'!H$8:H$40,'Nährstoffe und Lagerraum'!$L183)</f>
        <v>0</v>
      </c>
      <c r="O183" s="228" cm="1">
        <f t="array" ref="O183">+INDEX('org Dünger'!I$8:I$40,'Nährstoffe und Lagerraum'!$L183)</f>
        <v>0</v>
      </c>
      <c r="R183" s="732" t="str">
        <f t="shared" si="90"/>
        <v xml:space="preserve"> </v>
      </c>
      <c r="S183" s="732" t="str">
        <f t="shared" si="91"/>
        <v xml:space="preserve"> </v>
      </c>
    </row>
    <row r="184" spans="1:19" ht="18" customHeight="1" x14ac:dyDescent="0.2">
      <c r="A184" s="704"/>
      <c r="B184" s="705"/>
      <c r="C184" s="705"/>
      <c r="D184" s="1065"/>
      <c r="E184" s="1064"/>
      <c r="F184" s="706" t="str">
        <f>+IF(M184=0,"  ",M184)</f>
        <v xml:space="preserve">  </v>
      </c>
      <c r="G184" s="722" t="str">
        <f t="shared" si="89"/>
        <v xml:space="preserve">  </v>
      </c>
      <c r="H184" s="707" t="str">
        <f t="shared" si="89"/>
        <v xml:space="preserve">  </v>
      </c>
      <c r="I184" s="1146" t="str">
        <f t="shared" si="92"/>
        <v xml:space="preserve"> </v>
      </c>
      <c r="J184" s="1147"/>
      <c r="L184" s="228">
        <v>1</v>
      </c>
      <c r="M184" s="228" cm="1">
        <f t="array" ref="M184">+INDEX('org Dünger'!G$8:G$40,'Nährstoffe und Lagerraum'!$L184)</f>
        <v>0</v>
      </c>
      <c r="N184" s="228" cm="1">
        <f t="array" ref="N184">+INDEX('org Dünger'!H$8:H$40,'Nährstoffe und Lagerraum'!$L184)</f>
        <v>0</v>
      </c>
      <c r="O184" s="228" cm="1">
        <f t="array" ref="O184">+INDEX('org Dünger'!I$8:I$40,'Nährstoffe und Lagerraum'!$L184)</f>
        <v>0</v>
      </c>
      <c r="R184" s="732" t="str">
        <f t="shared" si="90"/>
        <v xml:space="preserve"> </v>
      </c>
      <c r="S184" s="732" t="str">
        <f t="shared" si="91"/>
        <v xml:space="preserve"> </v>
      </c>
    </row>
    <row r="185" spans="1:19" ht="18" customHeight="1" x14ac:dyDescent="0.2">
      <c r="A185" s="1426"/>
      <c r="B185" s="1427"/>
      <c r="C185" s="1427"/>
      <c r="D185" s="1065"/>
      <c r="E185" s="1064"/>
      <c r="F185" s="1066"/>
      <c r="G185" s="1067"/>
      <c r="H185" s="1068"/>
      <c r="I185" s="1164" t="str">
        <f t="shared" si="92"/>
        <v xml:space="preserve"> </v>
      </c>
      <c r="J185" s="1165"/>
      <c r="L185" s="228"/>
      <c r="R185" s="732" t="str">
        <f t="shared" si="90"/>
        <v xml:space="preserve"> </v>
      </c>
      <c r="S185" s="732" t="str">
        <f t="shared" si="91"/>
        <v xml:space="preserve"> </v>
      </c>
    </row>
    <row r="186" spans="1:19" ht="18" customHeight="1" x14ac:dyDescent="0.2">
      <c r="A186" s="1144"/>
      <c r="B186" s="1145"/>
      <c r="C186" s="1145"/>
      <c r="D186" s="1065"/>
      <c r="E186" s="1064"/>
      <c r="F186" s="1066"/>
      <c r="G186" s="1067"/>
      <c r="H186" s="1068"/>
      <c r="I186" s="1396" t="str">
        <f t="shared" si="92"/>
        <v xml:space="preserve"> </v>
      </c>
      <c r="J186" s="1397"/>
      <c r="L186" s="228"/>
      <c r="R186" s="732" t="str">
        <f t="shared" si="90"/>
        <v xml:space="preserve"> </v>
      </c>
      <c r="S186" s="732" t="str">
        <f t="shared" si="91"/>
        <v xml:space="preserve"> </v>
      </c>
    </row>
    <row r="187" spans="1:19" ht="18" customHeight="1" x14ac:dyDescent="0.2">
      <c r="A187" s="1144"/>
      <c r="B187" s="1145"/>
      <c r="C187" s="1145"/>
      <c r="D187" s="1065"/>
      <c r="E187" s="1064"/>
      <c r="F187" s="1066"/>
      <c r="G187" s="1067"/>
      <c r="H187" s="1068"/>
      <c r="I187" s="1146" t="str">
        <f t="shared" si="92"/>
        <v xml:space="preserve"> </v>
      </c>
      <c r="J187" s="1147"/>
      <c r="L187" s="228"/>
      <c r="R187" s="732" t="str">
        <f t="shared" si="90"/>
        <v xml:space="preserve"> </v>
      </c>
      <c r="S187" s="732" t="str">
        <f t="shared" si="91"/>
        <v xml:space="preserve"> </v>
      </c>
    </row>
    <row r="188" spans="1:19" ht="18" customHeight="1" x14ac:dyDescent="0.2">
      <c r="A188" s="1144"/>
      <c r="B188" s="1145"/>
      <c r="C188" s="1145"/>
      <c r="D188" s="1065"/>
      <c r="E188" s="1064"/>
      <c r="F188" s="1066"/>
      <c r="G188" s="1067"/>
      <c r="H188" s="1068"/>
      <c r="I188" s="1369" t="str">
        <f t="shared" si="92"/>
        <v xml:space="preserve"> </v>
      </c>
      <c r="J188" s="1370"/>
      <c r="L188" s="228"/>
      <c r="R188" s="732" t="str">
        <f t="shared" si="90"/>
        <v xml:space="preserve"> </v>
      </c>
      <c r="S188" s="732" t="str">
        <f t="shared" si="91"/>
        <v xml:space="preserve"> </v>
      </c>
    </row>
    <row r="189" spans="1:19" ht="18" customHeight="1" x14ac:dyDescent="0.2">
      <c r="A189" s="1144"/>
      <c r="B189" s="1145"/>
      <c r="C189" s="1145"/>
      <c r="D189" s="1065"/>
      <c r="E189" s="1064"/>
      <c r="F189" s="1066"/>
      <c r="G189" s="1067"/>
      <c r="H189" s="1068"/>
      <c r="I189" s="1146" t="str">
        <f t="shared" si="92"/>
        <v xml:space="preserve"> </v>
      </c>
      <c r="J189" s="1147"/>
      <c r="L189" s="228"/>
      <c r="R189" s="732" t="str">
        <f t="shared" si="90"/>
        <v xml:space="preserve"> </v>
      </c>
      <c r="S189" s="732" t="str">
        <f t="shared" si="91"/>
        <v xml:space="preserve"> </v>
      </c>
    </row>
    <row r="190" spans="1:19" ht="18" customHeight="1" x14ac:dyDescent="0.2">
      <c r="A190" s="1144"/>
      <c r="B190" s="1145"/>
      <c r="C190" s="1145"/>
      <c r="D190" s="1065"/>
      <c r="E190" s="1064"/>
      <c r="F190" s="1066"/>
      <c r="G190" s="1067"/>
      <c r="H190" s="1068"/>
      <c r="I190" s="1146" t="str">
        <f t="shared" si="92"/>
        <v xml:space="preserve"> </v>
      </c>
      <c r="J190" s="1147"/>
      <c r="L190" s="228"/>
      <c r="R190" s="732" t="str">
        <f t="shared" si="90"/>
        <v xml:space="preserve"> </v>
      </c>
      <c r="S190" s="732" t="str">
        <f t="shared" si="91"/>
        <v xml:space="preserve"> </v>
      </c>
    </row>
    <row r="191" spans="1:19" ht="18" customHeight="1" x14ac:dyDescent="0.2">
      <c r="A191" s="1144"/>
      <c r="B191" s="1145"/>
      <c r="C191" s="1145"/>
      <c r="D191" s="1065"/>
      <c r="E191" s="1064"/>
      <c r="F191" s="1066"/>
      <c r="G191" s="1067"/>
      <c r="H191" s="1068"/>
      <c r="I191" s="1146" t="str">
        <f t="shared" si="92"/>
        <v xml:space="preserve"> </v>
      </c>
      <c r="J191" s="1147"/>
      <c r="L191" s="228"/>
      <c r="R191" s="732" t="str">
        <f t="shared" si="90"/>
        <v xml:space="preserve"> </v>
      </c>
      <c r="S191" s="732" t="str">
        <f t="shared" si="91"/>
        <v xml:space="preserve"> </v>
      </c>
    </row>
    <row r="192" spans="1:19" ht="18" customHeight="1" x14ac:dyDescent="0.2">
      <c r="A192" s="1144"/>
      <c r="B192" s="1145"/>
      <c r="C192" s="1145"/>
      <c r="D192" s="1065"/>
      <c r="E192" s="1064"/>
      <c r="F192" s="1066"/>
      <c r="G192" s="1067"/>
      <c r="H192" s="1068"/>
      <c r="I192" s="1146" t="str">
        <f t="shared" si="92"/>
        <v xml:space="preserve"> </v>
      </c>
      <c r="J192" s="1147"/>
      <c r="L192" s="228"/>
      <c r="R192" s="732" t="str">
        <f t="shared" si="90"/>
        <v xml:space="preserve"> </v>
      </c>
      <c r="S192" s="732" t="str">
        <f t="shared" si="91"/>
        <v xml:space="preserve"> </v>
      </c>
    </row>
    <row r="193" spans="1:32" ht="18" customHeight="1" x14ac:dyDescent="0.2">
      <c r="A193" s="1144"/>
      <c r="B193" s="1145"/>
      <c r="C193" s="1145"/>
      <c r="D193" s="1065"/>
      <c r="E193" s="1064"/>
      <c r="F193" s="1066"/>
      <c r="G193" s="1067"/>
      <c r="H193" s="1068"/>
      <c r="I193" s="1146" t="str">
        <f t="shared" si="92"/>
        <v xml:space="preserve"> </v>
      </c>
      <c r="J193" s="1147"/>
      <c r="L193" s="228"/>
      <c r="R193" s="732" t="str">
        <f t="shared" si="90"/>
        <v xml:space="preserve"> </v>
      </c>
      <c r="S193" s="732" t="str">
        <f t="shared" si="91"/>
        <v xml:space="preserve"> </v>
      </c>
    </row>
    <row r="194" spans="1:32" ht="18" customHeight="1" x14ac:dyDescent="0.2">
      <c r="A194" s="1144"/>
      <c r="B194" s="1145"/>
      <c r="C194" s="1145"/>
      <c r="D194" s="1065"/>
      <c r="E194" s="1064"/>
      <c r="F194" s="1066"/>
      <c r="G194" s="1067"/>
      <c r="H194" s="1068"/>
      <c r="I194" s="1146" t="str">
        <f t="shared" si="92"/>
        <v xml:space="preserve"> </v>
      </c>
      <c r="J194" s="1147"/>
      <c r="L194" s="228"/>
      <c r="R194" s="732" t="str">
        <f t="shared" si="90"/>
        <v xml:space="preserve"> </v>
      </c>
      <c r="S194" s="732" t="str">
        <f t="shared" si="91"/>
        <v xml:space="preserve"> </v>
      </c>
    </row>
    <row r="195" spans="1:32" ht="18" customHeight="1" x14ac:dyDescent="0.2">
      <c r="A195" s="1144"/>
      <c r="B195" s="1145"/>
      <c r="C195" s="1145"/>
      <c r="D195" s="1065"/>
      <c r="E195" s="1064"/>
      <c r="F195" s="1066"/>
      <c r="G195" s="1067"/>
      <c r="H195" s="1068"/>
      <c r="I195" s="1146" t="str">
        <f t="shared" si="92"/>
        <v xml:space="preserve"> </v>
      </c>
      <c r="J195" s="1147"/>
      <c r="L195" s="228"/>
      <c r="R195" s="732" t="str">
        <f t="shared" si="90"/>
        <v xml:space="preserve"> </v>
      </c>
      <c r="S195" s="732" t="str">
        <f t="shared" si="91"/>
        <v xml:space="preserve"> </v>
      </c>
    </row>
    <row r="196" spans="1:32" ht="18" customHeight="1" x14ac:dyDescent="0.2">
      <c r="A196" s="1144"/>
      <c r="B196" s="1145"/>
      <c r="C196" s="1145"/>
      <c r="D196" s="1065"/>
      <c r="E196" s="1064"/>
      <c r="F196" s="1066"/>
      <c r="G196" s="1067"/>
      <c r="H196" s="1068"/>
      <c r="I196" s="1146" t="str">
        <f t="shared" si="92"/>
        <v xml:space="preserve"> </v>
      </c>
      <c r="J196" s="1147"/>
      <c r="L196" s="228"/>
      <c r="R196" s="732" t="str">
        <f t="shared" si="90"/>
        <v xml:space="preserve"> </v>
      </c>
      <c r="S196" s="732" t="str">
        <f t="shared" si="91"/>
        <v xml:space="preserve"> </v>
      </c>
    </row>
    <row r="197" spans="1:32" ht="18" customHeight="1" x14ac:dyDescent="0.2">
      <c r="A197" s="1144"/>
      <c r="B197" s="1145"/>
      <c r="C197" s="1145"/>
      <c r="D197" s="1065"/>
      <c r="E197" s="1064"/>
      <c r="F197" s="1066"/>
      <c r="G197" s="1067"/>
      <c r="H197" s="1068"/>
      <c r="I197" s="1146" t="str">
        <f t="shared" si="92"/>
        <v xml:space="preserve"> </v>
      </c>
      <c r="J197" s="1147"/>
      <c r="L197" s="228"/>
      <c r="R197" s="732" t="str">
        <f t="shared" si="90"/>
        <v xml:space="preserve"> </v>
      </c>
      <c r="S197" s="732" t="str">
        <f t="shared" si="91"/>
        <v xml:space="preserve"> </v>
      </c>
    </row>
    <row r="198" spans="1:32" ht="18" customHeight="1" thickBot="1" x14ac:dyDescent="0.25">
      <c r="A198" s="1408"/>
      <c r="B198" s="1409"/>
      <c r="C198" s="1409"/>
      <c r="D198" s="1069"/>
      <c r="E198" s="1070"/>
      <c r="F198" s="1071"/>
      <c r="G198" s="1072"/>
      <c r="H198" s="1073"/>
      <c r="I198" s="1148" t="str">
        <f t="shared" si="92"/>
        <v xml:space="preserve"> </v>
      </c>
      <c r="J198" s="1149"/>
      <c r="L198" s="228"/>
      <c r="R198" s="732" t="str">
        <f t="shared" si="90"/>
        <v xml:space="preserve"> </v>
      </c>
      <c r="S198" s="732" t="str">
        <f t="shared" si="91"/>
        <v xml:space="preserve"> </v>
      </c>
    </row>
    <row r="199" spans="1:32" ht="15.75" customHeight="1" thickBot="1" x14ac:dyDescent="0.25">
      <c r="A199" s="457" t="s">
        <v>495</v>
      </c>
      <c r="B199" s="458"/>
      <c r="C199" s="458"/>
      <c r="D199" s="458"/>
      <c r="E199" s="459"/>
      <c r="F199" s="1131" t="str">
        <f>IF(I170+SUMIF(I178:J198,"&lt;0")&lt;-0.5,"Abgabe übersteigt Anfall!","")</f>
        <v/>
      </c>
      <c r="G199" s="459"/>
      <c r="H199" s="459"/>
      <c r="I199" s="1150">
        <f>SUM(I178:J198)</f>
        <v>0</v>
      </c>
      <c r="J199" s="1151"/>
      <c r="L199" s="228"/>
      <c r="Q199" s="445">
        <f>SUM(I179:J198,Q178)</f>
        <v>0</v>
      </c>
      <c r="R199" s="337">
        <f>SUM(R178:R198)</f>
        <v>0</v>
      </c>
      <c r="S199" s="337">
        <f>SUM(S178:S198)</f>
        <v>0</v>
      </c>
    </row>
    <row r="200" spans="1:32" ht="5.25" customHeight="1" x14ac:dyDescent="0.2">
      <c r="S200" s="234"/>
      <c r="T200" s="234"/>
      <c r="U200" s="234"/>
      <c r="V200" s="234"/>
      <c r="W200" s="234"/>
      <c r="X200" s="234"/>
      <c r="Y200" s="234"/>
      <c r="Z200" s="234"/>
      <c r="AA200" s="234"/>
      <c r="AB200" s="234"/>
      <c r="AC200" s="234"/>
      <c r="AD200" s="234"/>
      <c r="AE200" s="234"/>
      <c r="AF200" s="234"/>
    </row>
    <row r="201" spans="1:32" ht="15" x14ac:dyDescent="0.25">
      <c r="A201" s="546" t="s">
        <v>496</v>
      </c>
      <c r="B201" s="546"/>
      <c r="C201" s="546"/>
      <c r="D201" s="547" t="str">
        <f>IF($H$35+$H$48&gt;0,IF($F$6=0,"Zur Berechnung je ha bitte Fläche angeben"," ")," ")</f>
        <v xml:space="preserve"> </v>
      </c>
      <c r="E201" s="546"/>
      <c r="F201" s="548"/>
      <c r="G201" s="546"/>
      <c r="H201" s="546"/>
      <c r="I201" s="195"/>
      <c r="J201" s="195"/>
      <c r="S201" s="484"/>
      <c r="T201" s="234"/>
      <c r="U201" s="234"/>
      <c r="V201" s="234"/>
      <c r="W201" s="234"/>
      <c r="X201" s="234"/>
      <c r="Y201" s="234"/>
      <c r="Z201" s="234"/>
      <c r="AA201" s="234"/>
      <c r="AB201" s="234"/>
      <c r="AC201" s="234"/>
      <c r="AD201" s="234"/>
      <c r="AE201" s="234"/>
      <c r="AF201" s="234"/>
    </row>
    <row r="202" spans="1:32" ht="3.75" customHeight="1" thickBot="1" x14ac:dyDescent="0.3">
      <c r="A202" s="549"/>
      <c r="B202" s="549"/>
      <c r="C202" s="549"/>
      <c r="D202" s="549"/>
      <c r="E202" s="549"/>
      <c r="F202" s="549"/>
      <c r="G202" s="549"/>
      <c r="H202" s="549"/>
      <c r="I202" s="139"/>
      <c r="J202" s="139"/>
      <c r="S202" s="234"/>
      <c r="T202" s="234"/>
      <c r="U202" s="234"/>
      <c r="V202" s="234"/>
      <c r="W202" s="234"/>
      <c r="X202" s="234"/>
      <c r="Y202" s="234"/>
      <c r="Z202" s="234"/>
      <c r="AA202" s="234"/>
      <c r="AB202" s="234"/>
      <c r="AC202" s="234"/>
      <c r="AD202" s="234"/>
      <c r="AE202" s="234"/>
      <c r="AF202" s="234"/>
    </row>
    <row r="203" spans="1:32" ht="12.75" customHeight="1" x14ac:dyDescent="0.2">
      <c r="A203" s="1390" t="s">
        <v>556</v>
      </c>
      <c r="B203" s="1391"/>
      <c r="C203" s="1391"/>
      <c r="D203" s="1391"/>
      <c r="E203" s="1391"/>
      <c r="F203" s="1392"/>
      <c r="G203" s="1382" t="s">
        <v>497</v>
      </c>
      <c r="H203" s="1383"/>
      <c r="I203" s="1374" t="s">
        <v>498</v>
      </c>
      <c r="J203" s="1375"/>
      <c r="P203" s="228" t="s">
        <v>545</v>
      </c>
      <c r="S203" s="484"/>
      <c r="T203" s="484"/>
      <c r="U203" s="234"/>
      <c r="V203" s="485"/>
      <c r="W203" s="485"/>
      <c r="X203" s="485"/>
      <c r="Y203" s="485"/>
      <c r="Z203" s="485"/>
      <c r="AA203" s="485"/>
      <c r="AB203" s="486"/>
      <c r="AC203" s="486"/>
      <c r="AD203" s="487"/>
      <c r="AE203" s="487"/>
      <c r="AF203" s="234"/>
    </row>
    <row r="204" spans="1:32" ht="13.5" customHeight="1" thickBot="1" x14ac:dyDescent="0.25">
      <c r="A204" s="1393"/>
      <c r="B204" s="1394"/>
      <c r="C204" s="1394"/>
      <c r="D204" s="1394"/>
      <c r="E204" s="1394"/>
      <c r="F204" s="1395"/>
      <c r="G204" s="1384" t="s">
        <v>490</v>
      </c>
      <c r="H204" s="1385"/>
      <c r="I204" s="1376" t="s">
        <v>490</v>
      </c>
      <c r="J204" s="1377"/>
      <c r="N204" s="446"/>
      <c r="S204" s="484"/>
      <c r="T204" s="484"/>
      <c r="U204" s="234"/>
      <c r="V204" s="485"/>
      <c r="W204" s="485"/>
      <c r="X204" s="485"/>
      <c r="Y204" s="485"/>
      <c r="Z204" s="485"/>
      <c r="AA204" s="485"/>
      <c r="AB204" s="486"/>
      <c r="AC204" s="486"/>
      <c r="AD204" s="487"/>
      <c r="AE204" s="487"/>
      <c r="AF204" s="234"/>
    </row>
    <row r="205" spans="1:32" ht="14.25" customHeight="1" x14ac:dyDescent="0.2">
      <c r="A205" s="1371" t="s">
        <v>7906</v>
      </c>
      <c r="B205" s="1372"/>
      <c r="C205" s="1372"/>
      <c r="D205" s="1372"/>
      <c r="E205" s="1372"/>
      <c r="F205" s="1373"/>
      <c r="G205" s="1386" t="str">
        <f>IF(OR(I205=0,I211=0)," ",+I205/N211)</f>
        <v xml:space="preserve"> </v>
      </c>
      <c r="H205" s="1387"/>
      <c r="I205" s="1378">
        <f>Q208</f>
        <v>0</v>
      </c>
      <c r="J205" s="1379"/>
      <c r="N205" s="445"/>
      <c r="P205" s="228" t="s">
        <v>547</v>
      </c>
      <c r="Q205" s="445">
        <f>SUM(I199,I170)</f>
        <v>0</v>
      </c>
      <c r="S205" s="484"/>
      <c r="T205" s="484"/>
      <c r="U205" s="234"/>
      <c r="V205" s="488"/>
      <c r="W205" s="487"/>
      <c r="X205" s="487"/>
      <c r="Y205" s="487"/>
      <c r="Z205" s="487"/>
      <c r="AA205" s="487"/>
      <c r="AB205" s="489"/>
      <c r="AC205" s="489"/>
      <c r="AD205" s="490"/>
      <c r="AE205" s="490"/>
      <c r="AF205" s="234"/>
    </row>
    <row r="206" spans="1:32" ht="14.25" customHeight="1" x14ac:dyDescent="0.2">
      <c r="A206" s="550" t="s">
        <v>499</v>
      </c>
      <c r="B206" s="551"/>
      <c r="C206" s="551"/>
      <c r="D206" s="551"/>
      <c r="E206" s="551"/>
      <c r="F206" s="552"/>
      <c r="G206" s="1388">
        <f>IF(N211=0," ",+I206/N211)</f>
        <v>170</v>
      </c>
      <c r="H206" s="1389"/>
      <c r="I206" s="1380">
        <f>+N211*170</f>
        <v>1.6999999999999999E-4</v>
      </c>
      <c r="J206" s="1381"/>
      <c r="N206" s="445"/>
      <c r="P206" s="228" t="s">
        <v>546</v>
      </c>
      <c r="Q206" s="228">
        <f>IF(I199&lt;0,I199-I199/0.8,0)</f>
        <v>0</v>
      </c>
      <c r="S206" s="484"/>
      <c r="T206" s="484"/>
      <c r="U206" s="234"/>
      <c r="V206" s="491"/>
      <c r="W206" s="492"/>
      <c r="X206" s="492"/>
      <c r="Y206" s="492"/>
      <c r="Z206" s="492"/>
      <c r="AA206" s="492"/>
      <c r="AB206" s="489"/>
      <c r="AC206" s="489"/>
      <c r="AD206" s="490"/>
      <c r="AE206" s="490"/>
      <c r="AF206" s="234"/>
    </row>
    <row r="207" spans="1:32" ht="14.25" customHeight="1" thickBot="1" x14ac:dyDescent="0.25">
      <c r="A207" s="550" t="s">
        <v>557</v>
      </c>
      <c r="B207" s="551"/>
      <c r="C207" s="551"/>
      <c r="D207" s="551"/>
      <c r="E207" s="551"/>
      <c r="F207" s="552"/>
      <c r="G207" s="1359" t="str">
        <f>IF(I211=0," ",+I207/N211)</f>
        <v xml:space="preserve"> </v>
      </c>
      <c r="H207" s="1360"/>
      <c r="I207" s="1354">
        <f>IF(I205&lt;I206,0,I205-I206)</f>
        <v>0</v>
      </c>
      <c r="J207" s="1355"/>
      <c r="P207" s="228" t="s">
        <v>561</v>
      </c>
      <c r="Q207" s="445">
        <f>Q205-Q206</f>
        <v>0</v>
      </c>
      <c r="S207" s="484"/>
      <c r="T207" s="493"/>
      <c r="U207" s="234"/>
      <c r="V207" s="491"/>
      <c r="W207" s="492"/>
      <c r="X207" s="492"/>
      <c r="Y207" s="492"/>
      <c r="Z207" s="492"/>
      <c r="AA207" s="492"/>
      <c r="AB207" s="489"/>
      <c r="AC207" s="489"/>
      <c r="AD207" s="438"/>
      <c r="AE207" s="438"/>
      <c r="AF207" s="234"/>
    </row>
    <row r="208" spans="1:32" ht="21" customHeight="1" thickBot="1" x14ac:dyDescent="0.3">
      <c r="A208" s="553" t="s">
        <v>7866</v>
      </c>
      <c r="B208" s="554"/>
      <c r="C208" s="554"/>
      <c r="D208" s="554"/>
      <c r="E208" s="554"/>
      <c r="F208" s="555"/>
      <c r="G208" s="1356" t="str">
        <f>IF(I205&lt;=I206,"ja","nein")</f>
        <v>ja</v>
      </c>
      <c r="H208" s="1356"/>
      <c r="I208" s="1357"/>
      <c r="J208" s="1358"/>
      <c r="M208" s="445"/>
      <c r="N208" s="445"/>
      <c r="P208" s="228" t="s">
        <v>548</v>
      </c>
      <c r="Q208" s="228">
        <f>IF(Q205&lt;=I206,Q205,MAX(I206,Q207))</f>
        <v>0</v>
      </c>
      <c r="S208" s="484"/>
      <c r="T208" s="484"/>
      <c r="U208" s="234"/>
      <c r="V208" s="485"/>
      <c r="W208" s="494"/>
      <c r="X208" s="494"/>
      <c r="Y208" s="494"/>
      <c r="Z208" s="494"/>
      <c r="AA208" s="495"/>
      <c r="AB208" s="496"/>
      <c r="AC208" s="496"/>
      <c r="AD208" s="496"/>
      <c r="AE208" s="496"/>
      <c r="AF208" s="234"/>
    </row>
    <row r="209" spans="1:120" customFormat="1" ht="5.25" customHeight="1" x14ac:dyDescent="0.2">
      <c r="A209" s="352"/>
      <c r="B209" s="352"/>
      <c r="C209" s="352"/>
      <c r="D209" s="352"/>
      <c r="E209" s="352"/>
      <c r="F209" s="352"/>
      <c r="G209" s="352"/>
      <c r="H209" s="352"/>
      <c r="I209" s="352"/>
      <c r="J209" s="352"/>
      <c r="S209" s="497"/>
      <c r="T209" s="497"/>
      <c r="U209" s="492"/>
      <c r="V209" s="492"/>
      <c r="W209" s="492"/>
      <c r="X209" s="492"/>
      <c r="Y209" s="492"/>
      <c r="Z209" s="492"/>
      <c r="AA209" s="492"/>
      <c r="AB209" s="492"/>
      <c r="AC209" s="492"/>
      <c r="AD209" s="492"/>
      <c r="AE209" s="492"/>
      <c r="AF209" s="492"/>
      <c r="DP209" s="139"/>
    </row>
    <row r="210" spans="1:120" ht="3.75" customHeight="1" x14ac:dyDescent="0.2">
      <c r="A210" s="556"/>
      <c r="B210" s="352"/>
      <c r="C210" s="352"/>
      <c r="D210" s="352"/>
      <c r="E210" s="352"/>
      <c r="F210" s="551"/>
      <c r="G210" s="557"/>
      <c r="H210" s="557"/>
      <c r="I210" s="558"/>
      <c r="J210" s="558"/>
      <c r="S210" s="234"/>
      <c r="T210" s="234"/>
      <c r="U210" s="234"/>
      <c r="V210" s="234"/>
      <c r="W210" s="234"/>
      <c r="X210" s="234"/>
      <c r="Y210" s="234"/>
      <c r="Z210" s="234"/>
      <c r="AA210" s="234"/>
      <c r="AB210" s="234"/>
      <c r="AC210" s="234"/>
      <c r="AD210" s="234"/>
      <c r="AE210" s="234"/>
      <c r="AF210" s="234"/>
    </row>
    <row r="211" spans="1:120" ht="11.25" customHeight="1" x14ac:dyDescent="0.2">
      <c r="A211" s="559" t="s">
        <v>553</v>
      </c>
      <c r="B211" s="559"/>
      <c r="C211" s="559"/>
      <c r="D211" s="559"/>
      <c r="E211" s="139"/>
      <c r="F211" s="139"/>
      <c r="G211" s="139"/>
      <c r="H211" s="139"/>
      <c r="I211" s="151">
        <f>+F5-SUM(G7:G8,G10:G11)</f>
        <v>0</v>
      </c>
      <c r="J211" s="559" t="s">
        <v>500</v>
      </c>
      <c r="M211" s="446" t="s">
        <v>551</v>
      </c>
      <c r="N211" s="390">
        <f>+M5-SUM(G7:G8,G10:G11)</f>
        <v>9.9999999999999995E-7</v>
      </c>
      <c r="S211" s="234"/>
      <c r="T211" s="234"/>
      <c r="U211" s="234"/>
      <c r="V211" s="234"/>
      <c r="W211" s="234"/>
      <c r="X211" s="234"/>
      <c r="Y211" s="234"/>
      <c r="Z211" s="234"/>
      <c r="AA211" s="234"/>
      <c r="AB211" s="234"/>
      <c r="AC211" s="234"/>
      <c r="AD211" s="234"/>
      <c r="AE211" s="234"/>
      <c r="AF211" s="234"/>
    </row>
    <row r="212" spans="1:120" ht="10.5" customHeight="1" x14ac:dyDescent="0.2">
      <c r="A212" s="480">
        <f>I170*0.8+I199</f>
        <v>0</v>
      </c>
      <c r="B212" s="139"/>
      <c r="C212" s="481"/>
      <c r="D212" s="139"/>
      <c r="E212" s="139"/>
      <c r="F212" s="139"/>
      <c r="G212" s="139"/>
      <c r="H212" s="139"/>
      <c r="I212" s="139"/>
      <c r="J212" s="139"/>
      <c r="S212" s="234"/>
      <c r="T212" s="234"/>
      <c r="U212" s="234"/>
      <c r="V212" s="484"/>
      <c r="W212" s="234"/>
      <c r="X212" s="234"/>
      <c r="Y212" s="234"/>
      <c r="Z212" s="234"/>
      <c r="AA212" s="234"/>
      <c r="AB212" s="234"/>
      <c r="AC212" s="234"/>
      <c r="AD212" s="234"/>
      <c r="AE212" s="234"/>
      <c r="AF212" s="234"/>
    </row>
    <row r="213" spans="1:120" ht="6" customHeight="1" thickBot="1" x14ac:dyDescent="0.25">
      <c r="A213" s="139"/>
      <c r="B213" s="139"/>
      <c r="C213" s="139"/>
      <c r="D213" s="139"/>
      <c r="E213" s="139"/>
      <c r="F213" s="139"/>
      <c r="G213" s="139"/>
      <c r="H213" s="139"/>
      <c r="I213" s="139"/>
      <c r="J213" s="139"/>
      <c r="S213" s="234"/>
      <c r="T213" s="234"/>
      <c r="U213" s="234"/>
      <c r="V213" s="484"/>
      <c r="W213" s="234"/>
      <c r="X213" s="234"/>
      <c r="Y213" s="234"/>
      <c r="Z213" s="234"/>
      <c r="AA213" s="234"/>
      <c r="AB213" s="234"/>
      <c r="AC213" s="234"/>
      <c r="AD213" s="234"/>
      <c r="AE213" s="234"/>
      <c r="AF213" s="234"/>
    </row>
    <row r="214" spans="1:120" ht="16.5" customHeight="1" thickBot="1" x14ac:dyDescent="0.35">
      <c r="A214" s="1367" t="s">
        <v>7934</v>
      </c>
      <c r="B214" s="1368"/>
      <c r="C214" s="1368"/>
      <c r="D214" s="1368"/>
      <c r="E214" s="1368"/>
      <c r="F214" s="1368"/>
      <c r="G214" s="1361" t="s">
        <v>4</v>
      </c>
      <c r="H214" s="1362"/>
      <c r="I214" s="728" t="s">
        <v>7743</v>
      </c>
      <c r="J214" s="729" t="s">
        <v>7744</v>
      </c>
    </row>
    <row r="215" spans="1:120" ht="16.5" customHeight="1" thickBot="1" x14ac:dyDescent="0.25">
      <c r="A215" s="1365" t="s">
        <v>7933</v>
      </c>
      <c r="B215" s="1366"/>
      <c r="C215" s="1366"/>
      <c r="D215" s="1366"/>
      <c r="E215" s="1366"/>
      <c r="F215" s="1366"/>
      <c r="G215" s="1363" t="str">
        <f>IF(OR(I205=0,I211=0)," ",(IFERROR($J$46*D51,0)+IFERROR($I$47*D50,0)+D55+Q199)/$N$211)</f>
        <v xml:space="preserve"> </v>
      </c>
      <c r="H215" s="1364"/>
      <c r="I215" s="1139" t="str">
        <f>IF(OR(I205=0,I211=0)," ",(IFERROR($J$46*F51,0)+IFERROR($I$47*F50,0)+D56+R199)/$N$211)</f>
        <v xml:space="preserve"> </v>
      </c>
      <c r="J215" s="1140" t="str">
        <f>IF(OR(I205=0,I211=0)," ",(IFERROR($J$46*G51,0)+IFERROR($I$47*G50,0)+D57+S199)/$N$211)</f>
        <v xml:space="preserve"> </v>
      </c>
    </row>
    <row r="216" spans="1:120" x14ac:dyDescent="0.2">
      <c r="A216" s="139"/>
      <c r="B216" s="139"/>
      <c r="C216" s="139"/>
      <c r="D216" s="139"/>
      <c r="E216" s="139"/>
      <c r="F216" s="139"/>
      <c r="G216" s="139"/>
      <c r="H216" s="139"/>
      <c r="I216" s="139"/>
      <c r="J216" s="139"/>
      <c r="S216" s="234"/>
      <c r="T216" s="234"/>
      <c r="U216" s="234"/>
      <c r="V216" s="234"/>
      <c r="W216" s="234"/>
      <c r="X216" s="234"/>
      <c r="Y216" s="234"/>
      <c r="Z216" s="234"/>
      <c r="AA216" s="234"/>
      <c r="AB216" s="234"/>
      <c r="AC216" s="234"/>
      <c r="AD216" s="234"/>
      <c r="AE216" s="234"/>
      <c r="AF216" s="234"/>
    </row>
    <row r="217" spans="1:120" x14ac:dyDescent="0.2">
      <c r="A217" s="139"/>
      <c r="B217" s="805"/>
      <c r="C217" s="805"/>
      <c r="D217" s="560" t="s">
        <v>266</v>
      </c>
      <c r="E217" s="805"/>
      <c r="F217" s="805"/>
      <c r="G217" s="805"/>
      <c r="H217" s="805"/>
      <c r="I217" s="805"/>
      <c r="J217" s="805"/>
      <c r="S217" s="484"/>
      <c r="T217" s="234"/>
      <c r="U217" s="234"/>
      <c r="V217" s="498"/>
      <c r="W217" s="493"/>
      <c r="X217" s="234"/>
      <c r="Y217" s="234"/>
      <c r="Z217" s="234"/>
      <c r="AA217" s="234"/>
      <c r="AB217" s="234"/>
      <c r="AC217" s="234"/>
      <c r="AD217" s="234"/>
      <c r="AE217" s="234"/>
      <c r="AF217" s="234"/>
    </row>
    <row r="218" spans="1:120" x14ac:dyDescent="0.2">
      <c r="B218" s="139"/>
      <c r="C218" s="139"/>
      <c r="E218" s="139"/>
      <c r="F218" s="139"/>
      <c r="G218" s="139"/>
      <c r="H218" s="139"/>
      <c r="I218" s="139"/>
      <c r="J218" s="139"/>
    </row>
    <row r="239" spans="1:10" x14ac:dyDescent="0.2">
      <c r="A239" s="139"/>
      <c r="B239" s="139"/>
      <c r="C239" s="139"/>
      <c r="D239" s="139"/>
      <c r="E239" s="139"/>
      <c r="F239" s="139"/>
      <c r="G239" s="139"/>
      <c r="H239" s="139"/>
      <c r="I239" s="139"/>
      <c r="J239" s="139"/>
    </row>
    <row r="240" spans="1:10" x14ac:dyDescent="0.2">
      <c r="A240" s="139"/>
      <c r="B240" s="139"/>
      <c r="C240" s="139"/>
      <c r="D240" s="139"/>
      <c r="E240" s="139"/>
      <c r="F240" s="139"/>
      <c r="G240" s="139"/>
      <c r="H240" s="139"/>
      <c r="I240" s="139"/>
      <c r="J240" s="139"/>
    </row>
  </sheetData>
  <sheetProtection algorithmName="SHA-512" hashValue="fdg4+VhnLR7cDOAgx0iKJGBjiPeDv1ZQwwgWnALVK+9hlUSpByN5Ezpj7KTGZzERSrRwT+dgstF5I5WQ2TTPeA==" saltValue="XQ0ij7Nna3mZaYx18n3zZw=="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51">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 ref="R71:S71"/>
    <mergeCell ref="T71:U71"/>
    <mergeCell ref="T72:U72"/>
    <mergeCell ref="D90:E90"/>
    <mergeCell ref="D91:E91"/>
    <mergeCell ref="D92:E92"/>
    <mergeCell ref="D93:E93"/>
    <mergeCell ref="H90:I90"/>
    <mergeCell ref="H91:I91"/>
    <mergeCell ref="H92:I92"/>
    <mergeCell ref="H93:I93"/>
    <mergeCell ref="H89:I89"/>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1:H1"/>
    <mergeCell ref="B8:D8"/>
    <mergeCell ref="G20:H20"/>
    <mergeCell ref="B10:D10"/>
    <mergeCell ref="I19:J19"/>
    <mergeCell ref="A3:G3"/>
    <mergeCell ref="A2:H2"/>
    <mergeCell ref="B6:D6"/>
    <mergeCell ref="E20:F20"/>
    <mergeCell ref="D19:H19"/>
    <mergeCell ref="B9:D9"/>
    <mergeCell ref="H13:J13"/>
    <mergeCell ref="G12:J12"/>
    <mergeCell ref="B7:D7"/>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AQ137:AQ143"/>
    <mergeCell ref="AH137:AH143"/>
    <mergeCell ref="AI137:AI143"/>
    <mergeCell ref="AJ137:AJ143"/>
    <mergeCell ref="AK137:AK143"/>
    <mergeCell ref="X137:X143"/>
    <mergeCell ref="Z137:Z143"/>
    <mergeCell ref="AN137:AN143"/>
    <mergeCell ref="AP137:AP143"/>
    <mergeCell ref="AM137:AM143"/>
    <mergeCell ref="AL137:AL143"/>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U137:U143"/>
    <mergeCell ref="B127:H127"/>
    <mergeCell ref="R137:R143"/>
    <mergeCell ref="B129:H129"/>
    <mergeCell ref="B128:H128"/>
    <mergeCell ref="S137:S143"/>
    <mergeCell ref="B130:H130"/>
    <mergeCell ref="T137:T143"/>
    <mergeCell ref="C124:H124"/>
    <mergeCell ref="A124:B124"/>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A45:F45"/>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s>
  <phoneticPr fontId="0" type="noConversion"/>
  <conditionalFormatting sqref="G205:H205">
    <cfRule type="expression" dxfId="8" priority="5">
      <formula>$I$211=0</formula>
    </cfRule>
  </conditionalFormatting>
  <dataValidations count="23">
    <dataValidation type="decimal" allowBlank="1" showInputMessage="1" showErrorMessage="1" errorTitle="Ungültige Eingabe" error="Geben Sie eine Dezimalzahl ein." sqref="I121:J124" xr:uid="{00000000-0002-0000-0000-000000000000}">
      <formula1>0</formula1>
      <formula2>99999</formula2>
    </dataValidation>
    <dataValidation type="whole" allowBlank="1" showInputMessage="1" showErrorMessage="1" errorTitle="Ungültige Eingabe" error="Geben Sie eine positive, ganze Zahl ein." sqref="G43" xr:uid="{00000000-0002-0000-0000-000001000000}">
      <formula1>0</formula1>
      <formula2>99</formula2>
    </dataValidation>
    <dataValidation type="decimal" allowBlank="1" showInputMessage="1" showErrorMessage="1" errorTitle="Ungültige Dateneingabe" error="Geben Sie eine Zahl ein." sqref="G8 F9 F12 G10:G11 M5 F5:F6 M9" xr:uid="{00000000-0002-0000-0000-000002000000}">
      <formula1>0</formula1>
      <formula2>9999</formula2>
    </dataValidation>
    <dataValidation type="textLength" allowBlank="1" showInputMessage="1" showErrorMessage="1" errorTitle="Ungültige Dateneingabe" error="Geben Sie eine 10stellige Betriebsnummer ein." sqref="B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E114:F115 G115 I44:I45" xr:uid="{00000000-0002-0000-0000-000006000000}"/>
    <dataValidation type="decimal" allowBlank="1" showErrorMessage="1" errorTitle="Ungültige Eingabe" error="Geben Sie eine Dezimalzahl &lt; 100 ein." sqref="C116:C119 F116:H119" xr:uid="{00000000-0002-0000-0000-000007000000}">
      <formula1>0</formula1>
      <formula2>99</formula2>
    </dataValidation>
    <dataValidation type="decimal" allowBlank="1" showInputMessage="1" showErrorMessage="1" errorTitle="Ungültige Eingabe" error="Geben Sie eine Dezimalzahl &lt; 100 ein." sqref="G110:H113 E110:E113" xr:uid="{00000000-0002-0000-0000-000008000000}">
      <formula1>0</formula1>
      <formula2>99</formula2>
    </dataValidation>
    <dataValidation type="decimal" allowBlank="1" showInputMessage="1" showErrorMessage="1" errorTitle="Ungültige Eingabe" error="Geben Sie eine Dezimalzahl ein." sqref="I127:J130" xr:uid="{00000000-0002-0000-0000-000009000000}">
      <formula1>-999999</formula1>
      <formula2>999999</formula2>
    </dataValidation>
    <dataValidation type="decimal" allowBlank="1" showInputMessage="1" showErrorMessage="1" sqref="F13" xr:uid="{00000000-0002-0000-0000-00000A000000}">
      <formula1>0</formula1>
      <formula2>100</formula2>
    </dataValidation>
    <dataValidation type="decimal" allowBlank="1" showInputMessage="1" showErrorMessage="1" errorTitle="Ungültige Eingabe" error="Geben Sie in dieses Feld eine ganze Zahl ein." sqref="F23:F34 F36:F38 U23:V38" xr:uid="{00000000-0002-0000-0000-00000B000000}">
      <formula1>0</formula1>
      <formula2>1000000</formula2>
    </dataValidation>
    <dataValidation type="whole" allowBlank="1" showInputMessage="1" showErrorMessage="1" errorTitle="Ungültige Eingabe" error="Geben Sie in dieses Feld eine ganze Zahl zwischen 0 und 100 ein." sqref="G23:H34 G36:H38" xr:uid="{00000000-0002-0000-0000-00000C000000}">
      <formula1>0</formula1>
      <formula2>100</formula2>
    </dataValidation>
    <dataValidation type="decimal" operator="greaterThanOrEqual" allowBlank="1" showInputMessage="1" showErrorMessage="1" errorTitle="Falsche Eingabe" error="Geben sie eine positve Zahl ein." sqref="D23:E34 D36:E38" xr:uid="{00000000-0002-0000-0000-00000D000000}">
      <formula1>0</formula1>
    </dataValidation>
    <dataValidation type="decimal" allowBlank="1" showInputMessage="1" showErrorMessage="1" errorTitle="Ungültige Eingabe" error="Geben Sie eine Zahl zwischen 0 und 100 ein." sqref="D75" xr:uid="{00000000-0002-0000-0000-00000F000000}">
      <formula1>0</formula1>
      <formula2>100</formula2>
    </dataValidation>
    <dataValidation type="decimal" allowBlank="1" showInputMessage="1" showErrorMessage="1" errorTitle="ungültige Eingabe" error="Geben Sie eine positive Zahl ein." sqref="G44:G45" xr:uid="{00000000-0002-0000-0000-000012000000}">
      <formula1>0</formula1>
      <formula2>99999</formula2>
    </dataValidation>
    <dataValidation type="decimal" operator="greaterThanOrEqual" allowBlank="1" showInputMessage="1" showErrorMessage="1" errorTitle="Ungültige Eingabe" error="Geben Sie hier eine positive Zahl ein." sqref="D180:E198 E179 E177" xr:uid="{47573ECF-81BD-4B19-82C6-4FDDDEAE5C48}">
      <formula1>0</formula1>
    </dataValidation>
    <dataValidation type="decimal" allowBlank="1" showInputMessage="1" showErrorMessage="1" errorTitle="Ungültige Eingabe" error="Geben Sie eine positive Zahl ein." sqref="G40:G42" xr:uid="{01B2B91F-6BD5-488E-B46D-D8774FF5E59E}">
      <formula1>0</formula1>
      <formula2>99999</formula2>
    </dataValidation>
    <dataValidation type="whole" allowBlank="1" showInputMessage="1" showErrorMessage="1" errorTitle="Ungültige Eingabe" error="Geben Sie eine Zahl zwischen 0 und 100 ein." sqref="E60:F64" xr:uid="{E807C52F-DBDE-4AFD-8DC2-E65526A0ED48}">
      <formula1>0</formula1>
      <formula2>100</formula2>
    </dataValidation>
    <dataValidation type="decimal" allowBlank="1" showErrorMessage="1" errorTitle="Ungültige Eingabe" error="Geben Sie eine Dezimalzahl &lt; 100 ein." sqref="E116:E119" xr:uid="{6B8A9F8E-1AB7-4A94-BC1E-02B4126C7DA4}">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xr:uid="{1295069A-318F-4C79-8573-D3C7EC17A586}">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xr:uid="{88FB7195-326B-43AC-98EF-B5FEDA1A2573}">
      <formula1>C71</formula1>
      <formula2>100</formula2>
    </dataValidation>
    <dataValidation type="decimal" allowBlank="1" showInputMessage="1" showErrorMessage="1" error="Bitte geben Sie eine Zahl zwischen 0,1 und 200 ein" sqref="H185:H198 F185:F198" xr:uid="{8D1E2F8A-0527-416F-BE53-DE2B080C930A}">
      <formula1>0.1</formula1>
      <formula2>200</formula2>
    </dataValidation>
  </dataValidations>
  <hyperlinks>
    <hyperlink ref="G12:J12" r:id="rId2" display="ha zusätzliche Ausbringfläche" xr:uid="{F4BBF1BC-20AD-4ECD-9C6B-65C3CD1B8C43}"/>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De, Ks); Stand: 01.07.2024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23</xdr:row>
                    <xdr:rowOff>9525</xdr:rowOff>
                  </from>
                  <to>
                    <xdr:col>2</xdr:col>
                    <xdr:colOff>857250</xdr:colOff>
                    <xdr:row>24</xdr:row>
                    <xdr:rowOff>9525</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24</xdr:row>
                    <xdr:rowOff>0</xdr:rowOff>
                  </from>
                  <to>
                    <xdr:col>2</xdr:col>
                    <xdr:colOff>857250</xdr:colOff>
                    <xdr:row>24</xdr:row>
                    <xdr:rowOff>200025</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24</xdr:row>
                    <xdr:rowOff>200025</xdr:rowOff>
                  </from>
                  <to>
                    <xdr:col>2</xdr:col>
                    <xdr:colOff>857250</xdr:colOff>
                    <xdr:row>26</xdr:row>
                    <xdr:rowOff>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26</xdr:row>
                    <xdr:rowOff>0</xdr:rowOff>
                  </from>
                  <to>
                    <xdr:col>2</xdr:col>
                    <xdr:colOff>857250</xdr:colOff>
                    <xdr:row>27</xdr:row>
                    <xdr:rowOff>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19050</xdr:colOff>
                    <xdr:row>27</xdr:row>
                    <xdr:rowOff>0</xdr:rowOff>
                  </from>
                  <to>
                    <xdr:col>2</xdr:col>
                    <xdr:colOff>857250</xdr:colOff>
                    <xdr:row>27</xdr:row>
                    <xdr:rowOff>200025</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19050</xdr:colOff>
                    <xdr:row>27</xdr:row>
                    <xdr:rowOff>200025</xdr:rowOff>
                  </from>
                  <to>
                    <xdr:col>2</xdr:col>
                    <xdr:colOff>857250</xdr:colOff>
                    <xdr:row>28</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19050</xdr:colOff>
                    <xdr:row>28</xdr:row>
                    <xdr:rowOff>200025</xdr:rowOff>
                  </from>
                  <to>
                    <xdr:col>2</xdr:col>
                    <xdr:colOff>857250</xdr:colOff>
                    <xdr:row>30</xdr:row>
                    <xdr:rowOff>9525</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19050</xdr:colOff>
                    <xdr:row>30</xdr:row>
                    <xdr:rowOff>9525</xdr:rowOff>
                  </from>
                  <to>
                    <xdr:col>2</xdr:col>
                    <xdr:colOff>857250</xdr:colOff>
                    <xdr:row>31</xdr:row>
                    <xdr:rowOff>9525</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19050</xdr:colOff>
                    <xdr:row>31</xdr:row>
                    <xdr:rowOff>9525</xdr:rowOff>
                  </from>
                  <to>
                    <xdr:col>2</xdr:col>
                    <xdr:colOff>857250</xdr:colOff>
                    <xdr:row>32</xdr:row>
                    <xdr:rowOff>9525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19050</xdr:colOff>
                    <xdr:row>32</xdr:row>
                    <xdr:rowOff>9525</xdr:rowOff>
                  </from>
                  <to>
                    <xdr:col>2</xdr:col>
                    <xdr:colOff>857250</xdr:colOff>
                    <xdr:row>33</xdr:row>
                    <xdr:rowOff>9525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19050</xdr:colOff>
                    <xdr:row>33</xdr:row>
                    <xdr:rowOff>9525</xdr:rowOff>
                  </from>
                  <to>
                    <xdr:col>3</xdr:col>
                    <xdr:colOff>0</xdr:colOff>
                    <xdr:row>34</xdr:row>
                    <xdr:rowOff>9525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9525</xdr:colOff>
                    <xdr:row>22</xdr:row>
                    <xdr:rowOff>9525</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22</xdr:row>
                    <xdr:rowOff>9525</xdr:rowOff>
                  </from>
                  <to>
                    <xdr:col>2</xdr:col>
                    <xdr:colOff>857250</xdr:colOff>
                    <xdr:row>23</xdr:row>
                    <xdr:rowOff>9525</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9525</xdr:colOff>
                    <xdr:row>23</xdr:row>
                    <xdr:rowOff>9525</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9525</xdr:colOff>
                    <xdr:row>24</xdr:row>
                    <xdr:rowOff>9525</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9525</xdr:colOff>
                    <xdr:row>25</xdr:row>
                    <xdr:rowOff>9525</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9525</xdr:colOff>
                    <xdr:row>26</xdr:row>
                    <xdr:rowOff>9525</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9525</xdr:colOff>
                    <xdr:row>27</xdr:row>
                    <xdr:rowOff>9525</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9525</xdr:colOff>
                    <xdr:row>28</xdr:row>
                    <xdr:rowOff>9525</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9525</xdr:colOff>
                    <xdr:row>29</xdr:row>
                    <xdr:rowOff>9525</xdr:rowOff>
                  </from>
                  <to>
                    <xdr:col>5</xdr:col>
                    <xdr:colOff>504825</xdr:colOff>
                    <xdr:row>29</xdr:row>
                    <xdr:rowOff>180975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9525</xdr:colOff>
                    <xdr:row>30</xdr:row>
                    <xdr:rowOff>9525</xdr:rowOff>
                  </from>
                  <to>
                    <xdr:col>6</xdr:col>
                    <xdr:colOff>0</xdr:colOff>
                    <xdr:row>30</xdr:row>
                    <xdr:rowOff>190500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9525</xdr:colOff>
                    <xdr:row>31</xdr:row>
                    <xdr:rowOff>9525</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9525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9525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209550</xdr:rowOff>
                  </from>
                  <to>
                    <xdr:col>4</xdr:col>
                    <xdr:colOff>28575</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28575</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28575</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28575</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9525</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9525</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9525</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9525</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400050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19050</xdr:colOff>
                    <xdr:row>179</xdr:row>
                    <xdr:rowOff>0</xdr:rowOff>
                  </from>
                  <to>
                    <xdr:col>2</xdr:col>
                    <xdr:colOff>847725</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19050</xdr:colOff>
                    <xdr:row>180</xdr:row>
                    <xdr:rowOff>0</xdr:rowOff>
                  </from>
                  <to>
                    <xdr:col>2</xdr:col>
                    <xdr:colOff>847725</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19050</xdr:colOff>
                    <xdr:row>181</xdr:row>
                    <xdr:rowOff>0</xdr:rowOff>
                  </from>
                  <to>
                    <xdr:col>2</xdr:col>
                    <xdr:colOff>847725</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19050</xdr:colOff>
                    <xdr:row>182</xdr:row>
                    <xdr:rowOff>0</xdr:rowOff>
                  </from>
                  <to>
                    <xdr:col>2</xdr:col>
                    <xdr:colOff>847725</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19050</xdr:colOff>
                    <xdr:row>183</xdr:row>
                    <xdr:rowOff>0</xdr:rowOff>
                  </from>
                  <to>
                    <xdr:col>2</xdr:col>
                    <xdr:colOff>847725</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19050</xdr:colOff>
                    <xdr:row>34</xdr:row>
                    <xdr:rowOff>9525</xdr:rowOff>
                  </from>
                  <to>
                    <xdr:col>3</xdr:col>
                    <xdr:colOff>0</xdr:colOff>
                    <xdr:row>35</xdr:row>
                    <xdr:rowOff>9525</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19050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19050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19050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9525</xdr:colOff>
                    <xdr:row>34</xdr:row>
                    <xdr:rowOff>9525</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9525</xdr:colOff>
                    <xdr:row>35</xdr:row>
                    <xdr:rowOff>9525</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9525</xdr:colOff>
                    <xdr:row>36</xdr:row>
                    <xdr:rowOff>9525</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9525</xdr:colOff>
                    <xdr:row>37</xdr:row>
                    <xdr:rowOff>9525</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F198-02B4-4C2A-9ADD-5B9B75FE81DA}">
  <sheetPr codeName="Tabelle10"/>
  <dimension ref="A1:D23"/>
  <sheetViews>
    <sheetView workbookViewId="0"/>
  </sheetViews>
  <sheetFormatPr baseColWidth="10" defaultRowHeight="12.75" x14ac:dyDescent="0.2"/>
  <sheetData>
    <row r="1" spans="1:1" ht="21.6" customHeight="1" x14ac:dyDescent="0.2">
      <c r="A1" s="543" t="s">
        <v>7629</v>
      </c>
    </row>
    <row r="19" spans="4:4" x14ac:dyDescent="0.2">
      <c r="D19" s="386"/>
    </row>
    <row r="23" spans="4:4" x14ac:dyDescent="0.2">
      <c r="D23" s="386"/>
    </row>
  </sheetData>
  <pageMargins left="0.7" right="0.7" top="0.78740157499999996" bottom="0.78740157499999996" header="0.3" footer="0.3"/>
  <pageSetup paperSize="9" orientation="portrait"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L98"/>
  <sheetViews>
    <sheetView workbookViewId="0"/>
  </sheetViews>
  <sheetFormatPr baseColWidth="10" defaultRowHeight="12.75" x14ac:dyDescent="0.2"/>
  <sheetData>
    <row r="1" spans="1:11" ht="15" x14ac:dyDescent="0.25">
      <c r="A1" s="361" t="s">
        <v>357</v>
      </c>
      <c r="B1" s="361" t="s">
        <v>358</v>
      </c>
      <c r="C1" s="361"/>
      <c r="D1" t="s">
        <v>659</v>
      </c>
      <c r="E1" s="361"/>
    </row>
    <row r="2" spans="1:11" ht="15" x14ac:dyDescent="0.25">
      <c r="A2" s="361">
        <v>161</v>
      </c>
      <c r="B2" s="361" t="s">
        <v>360</v>
      </c>
      <c r="C2" s="361" t="s">
        <v>360</v>
      </c>
      <c r="D2" s="358">
        <v>626.48603100000003</v>
      </c>
      <c r="E2" s="360" t="s">
        <v>359</v>
      </c>
      <c r="G2" s="233" t="str">
        <f>LEFT('Nährstoffe und Lagerraum'!$P$5,3)</f>
        <v>0</v>
      </c>
      <c r="H2" s="233" t="str">
        <f>+G2</f>
        <v>0</v>
      </c>
      <c r="I2" s="233">
        <f>VALUE(H2)</f>
        <v>0</v>
      </c>
      <c r="J2" s="358">
        <f t="shared" ref="J2:J33" si="0">IF(I2=A2,1,0)</f>
        <v>0</v>
      </c>
      <c r="K2">
        <f>IF(J2&gt;0,D2,0)</f>
        <v>0</v>
      </c>
    </row>
    <row r="3" spans="1:11" ht="15" x14ac:dyDescent="0.25">
      <c r="A3" s="361">
        <v>162</v>
      </c>
      <c r="B3" s="361" t="s">
        <v>361</v>
      </c>
      <c r="C3" s="361" t="s">
        <v>362</v>
      </c>
      <c r="D3" s="358">
        <v>918.39902400000005</v>
      </c>
      <c r="E3" s="360" t="s">
        <v>359</v>
      </c>
      <c r="G3" s="233" t="str">
        <f>LEFT('Nährstoffe und Lagerraum'!$P$5,3)</f>
        <v>0</v>
      </c>
      <c r="H3" s="233" t="str">
        <f t="shared" ref="H3:H66" si="1">+G3</f>
        <v>0</v>
      </c>
      <c r="I3" s="233">
        <f t="shared" ref="I3:I66" si="2">VALUE(H3)</f>
        <v>0</v>
      </c>
      <c r="J3" s="358">
        <f t="shared" si="0"/>
        <v>0</v>
      </c>
      <c r="K3">
        <f t="shared" ref="K3:K66" si="3">IF(J3&gt;0,D3,0)</f>
        <v>0</v>
      </c>
    </row>
    <row r="4" spans="1:11" ht="15" x14ac:dyDescent="0.25">
      <c r="A4" s="361">
        <v>163</v>
      </c>
      <c r="B4" s="361" t="s">
        <v>363</v>
      </c>
      <c r="C4" s="361" t="s">
        <v>363</v>
      </c>
      <c r="D4" s="358">
        <v>1088.2628560000001</v>
      </c>
      <c r="E4" s="360" t="s">
        <v>359</v>
      </c>
      <c r="G4" s="233" t="str">
        <f>LEFT('Nährstoffe und Lagerraum'!$P$5,3)</f>
        <v>0</v>
      </c>
      <c r="H4" s="233" t="str">
        <f t="shared" si="1"/>
        <v>0</v>
      </c>
      <c r="I4" s="233">
        <f t="shared" si="2"/>
        <v>0</v>
      </c>
      <c r="J4" s="358">
        <f t="shared" si="0"/>
        <v>0</v>
      </c>
      <c r="K4">
        <f t="shared" si="3"/>
        <v>0</v>
      </c>
    </row>
    <row r="5" spans="1:11" ht="15" x14ac:dyDescent="0.25">
      <c r="A5" s="361">
        <v>171</v>
      </c>
      <c r="B5" s="361" t="s">
        <v>364</v>
      </c>
      <c r="C5" s="361" t="s">
        <v>365</v>
      </c>
      <c r="D5" s="358">
        <v>842.72049600000003</v>
      </c>
      <c r="E5" s="360" t="s">
        <v>359</v>
      </c>
      <c r="G5" s="233" t="str">
        <f>LEFT('Nährstoffe und Lagerraum'!$P$5,3)</f>
        <v>0</v>
      </c>
      <c r="H5" s="233" t="str">
        <f t="shared" si="1"/>
        <v>0</v>
      </c>
      <c r="I5" s="233">
        <f t="shared" si="2"/>
        <v>0</v>
      </c>
      <c r="J5" s="358">
        <f t="shared" si="0"/>
        <v>0</v>
      </c>
      <c r="K5">
        <f t="shared" si="3"/>
        <v>0</v>
      </c>
    </row>
    <row r="6" spans="1:11" ht="15" x14ac:dyDescent="0.25">
      <c r="A6" s="361">
        <v>172</v>
      </c>
      <c r="B6" s="361" t="s">
        <v>366</v>
      </c>
      <c r="C6" s="361" t="s">
        <v>366</v>
      </c>
      <c r="D6" s="358">
        <v>1652.6455880000001</v>
      </c>
      <c r="E6" s="360" t="s">
        <v>359</v>
      </c>
      <c r="G6" s="233" t="str">
        <f>LEFT('Nährstoffe und Lagerraum'!$P$5,3)</f>
        <v>0</v>
      </c>
      <c r="H6" s="233" t="str">
        <f t="shared" si="1"/>
        <v>0</v>
      </c>
      <c r="I6" s="233">
        <f t="shared" si="2"/>
        <v>0</v>
      </c>
      <c r="J6" s="358">
        <f t="shared" si="0"/>
        <v>0</v>
      </c>
      <c r="K6">
        <f t="shared" si="3"/>
        <v>0</v>
      </c>
    </row>
    <row r="7" spans="1:11" ht="15" x14ac:dyDescent="0.25">
      <c r="A7" s="361">
        <v>173</v>
      </c>
      <c r="B7" s="361" t="s">
        <v>367</v>
      </c>
      <c r="C7" s="361" t="s">
        <v>368</v>
      </c>
      <c r="D7" s="358">
        <v>1561.4830460000001</v>
      </c>
      <c r="E7" s="360" t="s">
        <v>359</v>
      </c>
      <c r="G7" s="233" t="str">
        <f>LEFT('Nährstoffe und Lagerraum'!$P$5,3)</f>
        <v>0</v>
      </c>
      <c r="H7" s="233" t="str">
        <f t="shared" si="1"/>
        <v>0</v>
      </c>
      <c r="I7" s="233">
        <f t="shared" si="2"/>
        <v>0</v>
      </c>
      <c r="J7" s="358">
        <f t="shared" si="0"/>
        <v>0</v>
      </c>
      <c r="K7">
        <f t="shared" si="3"/>
        <v>0</v>
      </c>
    </row>
    <row r="8" spans="1:11" ht="15" x14ac:dyDescent="0.25">
      <c r="A8" s="361">
        <v>174</v>
      </c>
      <c r="B8" s="361" t="s">
        <v>369</v>
      </c>
      <c r="C8" s="361" t="s">
        <v>369</v>
      </c>
      <c r="D8" s="358">
        <v>810.66031199999998</v>
      </c>
      <c r="E8" s="360" t="s">
        <v>359</v>
      </c>
      <c r="G8" s="233" t="str">
        <f>LEFT('Nährstoffe und Lagerraum'!$P$5,3)</f>
        <v>0</v>
      </c>
      <c r="H8" s="233" t="str">
        <f t="shared" si="1"/>
        <v>0</v>
      </c>
      <c r="I8" s="233">
        <f t="shared" si="2"/>
        <v>0</v>
      </c>
      <c r="J8" s="358">
        <f t="shared" si="0"/>
        <v>0</v>
      </c>
      <c r="K8">
        <f t="shared" si="3"/>
        <v>0</v>
      </c>
    </row>
    <row r="9" spans="1:11" ht="15" x14ac:dyDescent="0.25">
      <c r="A9" s="361">
        <v>175</v>
      </c>
      <c r="B9" s="361" t="s">
        <v>370</v>
      </c>
      <c r="C9" s="361" t="s">
        <v>370</v>
      </c>
      <c r="D9" s="358">
        <v>978.39369299999998</v>
      </c>
      <c r="E9" s="360" t="s">
        <v>359</v>
      </c>
      <c r="G9" s="233" t="str">
        <f>LEFT('Nährstoffe und Lagerraum'!$P$5,3)</f>
        <v>0</v>
      </c>
      <c r="H9" s="233" t="str">
        <f t="shared" si="1"/>
        <v>0</v>
      </c>
      <c r="I9" s="233">
        <f t="shared" si="2"/>
        <v>0</v>
      </c>
      <c r="J9" s="358">
        <f t="shared" si="0"/>
        <v>0</v>
      </c>
      <c r="K9">
        <f t="shared" si="3"/>
        <v>0</v>
      </c>
    </row>
    <row r="10" spans="1:11" ht="15" x14ac:dyDescent="0.25">
      <c r="A10" s="361">
        <v>176</v>
      </c>
      <c r="B10" s="361" t="s">
        <v>371</v>
      </c>
      <c r="C10" s="361" t="s">
        <v>372</v>
      </c>
      <c r="D10" s="358">
        <v>674.12674900000002</v>
      </c>
      <c r="E10" s="360" t="s">
        <v>359</v>
      </c>
      <c r="G10" s="233" t="str">
        <f>LEFT('Nährstoffe und Lagerraum'!$P$5,3)</f>
        <v>0</v>
      </c>
      <c r="H10" s="233" t="str">
        <f t="shared" si="1"/>
        <v>0</v>
      </c>
      <c r="I10" s="233">
        <f t="shared" si="2"/>
        <v>0</v>
      </c>
      <c r="J10" s="358">
        <f t="shared" si="0"/>
        <v>0</v>
      </c>
      <c r="K10">
        <f t="shared" si="3"/>
        <v>0</v>
      </c>
    </row>
    <row r="11" spans="1:11" ht="15" x14ac:dyDescent="0.25">
      <c r="A11" s="361">
        <v>177</v>
      </c>
      <c r="B11" s="361" t="s">
        <v>373</v>
      </c>
      <c r="C11" s="361" t="s">
        <v>373</v>
      </c>
      <c r="D11" s="358">
        <v>830.36048700000003</v>
      </c>
      <c r="E11" s="360" t="s">
        <v>359</v>
      </c>
      <c r="G11" s="233" t="str">
        <f>LEFT('Nährstoffe und Lagerraum'!$P$5,3)</f>
        <v>0</v>
      </c>
      <c r="H11" s="233" t="str">
        <f t="shared" si="1"/>
        <v>0</v>
      </c>
      <c r="I11" s="233">
        <f t="shared" si="2"/>
        <v>0</v>
      </c>
      <c r="J11" s="358">
        <f t="shared" si="0"/>
        <v>0</v>
      </c>
      <c r="K11">
        <f t="shared" si="3"/>
        <v>0</v>
      </c>
    </row>
    <row r="12" spans="1:11" ht="15" x14ac:dyDescent="0.25">
      <c r="A12" s="361">
        <v>178</v>
      </c>
      <c r="B12" s="361" t="s">
        <v>374</v>
      </c>
      <c r="C12" s="361" t="s">
        <v>374</v>
      </c>
      <c r="D12" s="358">
        <v>779.39612499999998</v>
      </c>
      <c r="E12" s="360" t="s">
        <v>359</v>
      </c>
      <c r="G12" s="233" t="str">
        <f>LEFT('Nährstoffe und Lagerraum'!$P$5,3)</f>
        <v>0</v>
      </c>
      <c r="H12" s="233" t="str">
        <f t="shared" si="1"/>
        <v>0</v>
      </c>
      <c r="I12" s="233">
        <f t="shared" si="2"/>
        <v>0</v>
      </c>
      <c r="J12" s="358">
        <f t="shared" si="0"/>
        <v>0</v>
      </c>
      <c r="K12">
        <f t="shared" si="3"/>
        <v>0</v>
      </c>
    </row>
    <row r="13" spans="1:11" ht="15" x14ac:dyDescent="0.25">
      <c r="A13" s="361">
        <v>179</v>
      </c>
      <c r="B13" s="361" t="s">
        <v>375</v>
      </c>
      <c r="C13" s="361" t="s">
        <v>376</v>
      </c>
      <c r="D13" s="358">
        <v>873.32983999999999</v>
      </c>
      <c r="E13" s="360" t="s">
        <v>359</v>
      </c>
      <c r="G13" s="233" t="str">
        <f>LEFT('Nährstoffe und Lagerraum'!$P$5,3)</f>
        <v>0</v>
      </c>
      <c r="H13" s="233" t="str">
        <f t="shared" si="1"/>
        <v>0</v>
      </c>
      <c r="I13" s="233">
        <f t="shared" si="2"/>
        <v>0</v>
      </c>
      <c r="J13" s="358">
        <f t="shared" si="0"/>
        <v>0</v>
      </c>
      <c r="K13">
        <f t="shared" si="3"/>
        <v>0</v>
      </c>
    </row>
    <row r="14" spans="1:11" ht="15" x14ac:dyDescent="0.25">
      <c r="A14" s="361">
        <v>180</v>
      </c>
      <c r="B14" s="361" t="s">
        <v>377</v>
      </c>
      <c r="C14" s="361" t="s">
        <v>377</v>
      </c>
      <c r="D14" s="358">
        <v>1626.720826</v>
      </c>
      <c r="E14" s="360" t="s">
        <v>359</v>
      </c>
      <c r="G14" s="233" t="str">
        <f>LEFT('Nährstoffe und Lagerraum'!$P$5,3)</f>
        <v>0</v>
      </c>
      <c r="H14" s="233" t="str">
        <f t="shared" si="1"/>
        <v>0</v>
      </c>
      <c r="I14" s="233">
        <f t="shared" si="2"/>
        <v>0</v>
      </c>
      <c r="J14" s="358">
        <f t="shared" si="0"/>
        <v>0</v>
      </c>
      <c r="K14">
        <f t="shared" si="3"/>
        <v>0</v>
      </c>
    </row>
    <row r="15" spans="1:11" ht="15" x14ac:dyDescent="0.25">
      <c r="A15" s="361">
        <v>181</v>
      </c>
      <c r="B15" s="361" t="s">
        <v>378</v>
      </c>
      <c r="C15" s="361" t="s">
        <v>378</v>
      </c>
      <c r="D15" s="358">
        <v>935.857572</v>
      </c>
      <c r="E15" s="360" t="s">
        <v>359</v>
      </c>
      <c r="G15" s="233" t="str">
        <f>LEFT('Nährstoffe und Lagerraum'!$P$5,3)</f>
        <v>0</v>
      </c>
      <c r="H15" s="233" t="str">
        <f t="shared" si="1"/>
        <v>0</v>
      </c>
      <c r="I15" s="233">
        <f t="shared" si="2"/>
        <v>0</v>
      </c>
      <c r="J15" s="358">
        <f t="shared" si="0"/>
        <v>0</v>
      </c>
      <c r="K15">
        <f t="shared" si="3"/>
        <v>0</v>
      </c>
    </row>
    <row r="16" spans="1:11" ht="15" x14ac:dyDescent="0.25">
      <c r="A16" s="361">
        <v>182</v>
      </c>
      <c r="B16" s="361" t="s">
        <v>379</v>
      </c>
      <c r="C16" s="361" t="s">
        <v>379</v>
      </c>
      <c r="D16" s="358">
        <v>1621.724277</v>
      </c>
      <c r="E16" s="360" t="s">
        <v>359</v>
      </c>
      <c r="G16" s="233" t="str">
        <f>LEFT('Nährstoffe und Lagerraum'!$P$5,3)</f>
        <v>0</v>
      </c>
      <c r="H16" s="233" t="str">
        <f t="shared" si="1"/>
        <v>0</v>
      </c>
      <c r="I16" s="233">
        <f t="shared" si="2"/>
        <v>0</v>
      </c>
      <c r="J16" s="358">
        <f t="shared" si="0"/>
        <v>0</v>
      </c>
      <c r="K16">
        <f t="shared" si="3"/>
        <v>0</v>
      </c>
    </row>
    <row r="17" spans="1:11" ht="15" x14ac:dyDescent="0.25">
      <c r="A17" s="361">
        <v>183</v>
      </c>
      <c r="B17" s="361" t="s">
        <v>380</v>
      </c>
      <c r="C17" s="361" t="s">
        <v>381</v>
      </c>
      <c r="D17" s="358">
        <v>832.59303499999999</v>
      </c>
      <c r="E17" s="360" t="s">
        <v>359</v>
      </c>
      <c r="G17" s="233" t="str">
        <f>LEFT('Nährstoffe und Lagerraum'!$P$5,3)</f>
        <v>0</v>
      </c>
      <c r="H17" s="233" t="str">
        <f t="shared" si="1"/>
        <v>0</v>
      </c>
      <c r="I17" s="233">
        <f t="shared" si="2"/>
        <v>0</v>
      </c>
      <c r="J17" s="358">
        <f t="shared" si="0"/>
        <v>0</v>
      </c>
      <c r="K17">
        <f t="shared" si="3"/>
        <v>0</v>
      </c>
    </row>
    <row r="18" spans="1:11" ht="15" x14ac:dyDescent="0.25">
      <c r="A18" s="361">
        <v>184</v>
      </c>
      <c r="B18" s="361" t="s">
        <v>361</v>
      </c>
      <c r="C18" s="361" t="s">
        <v>362</v>
      </c>
      <c r="D18" s="358">
        <v>999.14003100000002</v>
      </c>
      <c r="E18" s="360" t="s">
        <v>359</v>
      </c>
      <c r="G18" s="233" t="str">
        <f>LEFT('Nährstoffe und Lagerraum'!$P$5,3)</f>
        <v>0</v>
      </c>
      <c r="H18" s="233" t="str">
        <f t="shared" si="1"/>
        <v>0</v>
      </c>
      <c r="I18" s="233">
        <f t="shared" si="2"/>
        <v>0</v>
      </c>
      <c r="J18" s="358">
        <f t="shared" si="0"/>
        <v>0</v>
      </c>
      <c r="K18">
        <f t="shared" si="3"/>
        <v>0</v>
      </c>
    </row>
    <row r="19" spans="1:11" ht="15" x14ac:dyDescent="0.25">
      <c r="A19" s="361">
        <v>185</v>
      </c>
      <c r="B19" s="361" t="s">
        <v>382</v>
      </c>
      <c r="C19" s="361" t="s">
        <v>382</v>
      </c>
      <c r="D19" s="358">
        <v>676.82738500000005</v>
      </c>
      <c r="E19" s="360" t="s">
        <v>359</v>
      </c>
      <c r="G19" s="233" t="str">
        <f>LEFT('Nährstoffe und Lagerraum'!$P$5,3)</f>
        <v>0</v>
      </c>
      <c r="H19" s="233" t="str">
        <f t="shared" si="1"/>
        <v>0</v>
      </c>
      <c r="I19" s="233">
        <f t="shared" si="2"/>
        <v>0</v>
      </c>
      <c r="J19" s="358">
        <f t="shared" si="0"/>
        <v>0</v>
      </c>
      <c r="K19">
        <f t="shared" si="3"/>
        <v>0</v>
      </c>
    </row>
    <row r="20" spans="1:11" ht="15" x14ac:dyDescent="0.25">
      <c r="A20" s="361">
        <v>186</v>
      </c>
      <c r="B20" s="361" t="s">
        <v>383</v>
      </c>
      <c r="C20" s="361" t="s">
        <v>383</v>
      </c>
      <c r="D20" s="358">
        <v>751.42763200000002</v>
      </c>
      <c r="E20" s="360" t="s">
        <v>359</v>
      </c>
      <c r="G20" s="233" t="str">
        <f>LEFT('Nährstoffe und Lagerraum'!$P$5,3)</f>
        <v>0</v>
      </c>
      <c r="H20" s="233" t="str">
        <f t="shared" si="1"/>
        <v>0</v>
      </c>
      <c r="I20" s="233">
        <f t="shared" si="2"/>
        <v>0</v>
      </c>
      <c r="J20" s="358">
        <f t="shared" si="0"/>
        <v>0</v>
      </c>
      <c r="K20">
        <f t="shared" si="3"/>
        <v>0</v>
      </c>
    </row>
    <row r="21" spans="1:11" ht="15" x14ac:dyDescent="0.25">
      <c r="A21" s="361">
        <v>187</v>
      </c>
      <c r="B21" s="361" t="s">
        <v>363</v>
      </c>
      <c r="C21" s="361" t="s">
        <v>363</v>
      </c>
      <c r="D21" s="358">
        <v>1175.046722</v>
      </c>
      <c r="E21" s="360" t="s">
        <v>359</v>
      </c>
      <c r="G21" s="233" t="str">
        <f>LEFT('Nährstoffe und Lagerraum'!$P$5,3)</f>
        <v>0</v>
      </c>
      <c r="H21" s="233" t="str">
        <f t="shared" si="1"/>
        <v>0</v>
      </c>
      <c r="I21" s="233">
        <f t="shared" si="2"/>
        <v>0</v>
      </c>
      <c r="J21" s="358">
        <f t="shared" si="0"/>
        <v>0</v>
      </c>
      <c r="K21">
        <f t="shared" si="3"/>
        <v>0</v>
      </c>
    </row>
    <row r="22" spans="1:11" ht="15" x14ac:dyDescent="0.25">
      <c r="A22" s="361">
        <v>188</v>
      </c>
      <c r="B22" s="361" t="s">
        <v>384</v>
      </c>
      <c r="C22" s="361" t="s">
        <v>384</v>
      </c>
      <c r="D22" s="358">
        <v>1013.233332</v>
      </c>
      <c r="E22" s="360" t="s">
        <v>359</v>
      </c>
      <c r="G22" s="233" t="str">
        <f>LEFT('Nährstoffe und Lagerraum'!$P$5,3)</f>
        <v>0</v>
      </c>
      <c r="H22" s="233" t="str">
        <f t="shared" si="1"/>
        <v>0</v>
      </c>
      <c r="I22" s="233">
        <f t="shared" si="2"/>
        <v>0</v>
      </c>
      <c r="J22" s="358">
        <f t="shared" si="0"/>
        <v>0</v>
      </c>
      <c r="K22">
        <f t="shared" si="3"/>
        <v>0</v>
      </c>
    </row>
    <row r="23" spans="1:11" ht="15" x14ac:dyDescent="0.25">
      <c r="A23" s="361">
        <v>189</v>
      </c>
      <c r="B23" s="361" t="s">
        <v>385</v>
      </c>
      <c r="C23" s="361" t="s">
        <v>385</v>
      </c>
      <c r="D23" s="358">
        <v>1342.6430640000001</v>
      </c>
      <c r="E23" s="360" t="s">
        <v>359</v>
      </c>
      <c r="G23" s="233" t="str">
        <f>LEFT('Nährstoffe und Lagerraum'!$P$5,3)</f>
        <v>0</v>
      </c>
      <c r="H23" s="233" t="str">
        <f t="shared" si="1"/>
        <v>0</v>
      </c>
      <c r="I23" s="233">
        <f t="shared" si="2"/>
        <v>0</v>
      </c>
      <c r="J23" s="358">
        <f t="shared" si="0"/>
        <v>0</v>
      </c>
      <c r="K23">
        <f t="shared" si="3"/>
        <v>0</v>
      </c>
    </row>
    <row r="24" spans="1:11" ht="15" x14ac:dyDescent="0.25">
      <c r="A24" s="361">
        <v>190</v>
      </c>
      <c r="B24" s="361" t="s">
        <v>386</v>
      </c>
      <c r="C24" s="361" t="s">
        <v>386</v>
      </c>
      <c r="D24" s="358">
        <v>1152.15878</v>
      </c>
      <c r="E24" s="360" t="s">
        <v>359</v>
      </c>
      <c r="G24" s="233" t="str">
        <f>LEFT('Nährstoffe und Lagerraum'!$P$5,3)</f>
        <v>0</v>
      </c>
      <c r="H24" s="233" t="str">
        <f t="shared" si="1"/>
        <v>0</v>
      </c>
      <c r="I24" s="233">
        <f t="shared" si="2"/>
        <v>0</v>
      </c>
      <c r="J24" s="358">
        <f t="shared" si="0"/>
        <v>0</v>
      </c>
      <c r="K24">
        <f t="shared" si="3"/>
        <v>0</v>
      </c>
    </row>
    <row r="25" spans="1:11" ht="15" x14ac:dyDescent="0.25">
      <c r="A25" s="361">
        <v>261</v>
      </c>
      <c r="B25" s="361" t="s">
        <v>387</v>
      </c>
      <c r="C25" s="361" t="s">
        <v>387</v>
      </c>
      <c r="D25" s="358">
        <v>728.73593700000004</v>
      </c>
      <c r="E25" s="360" t="s">
        <v>359</v>
      </c>
      <c r="G25" s="233" t="str">
        <f>LEFT('Nährstoffe und Lagerraum'!$P$5,3)</f>
        <v>0</v>
      </c>
      <c r="H25" s="233" t="str">
        <f t="shared" si="1"/>
        <v>0</v>
      </c>
      <c r="I25" s="233">
        <f t="shared" si="2"/>
        <v>0</v>
      </c>
      <c r="J25" s="358">
        <f t="shared" si="0"/>
        <v>0</v>
      </c>
      <c r="K25">
        <f t="shared" si="3"/>
        <v>0</v>
      </c>
    </row>
    <row r="26" spans="1:11" ht="15" x14ac:dyDescent="0.25">
      <c r="A26" s="361">
        <v>262</v>
      </c>
      <c r="B26" s="361" t="s">
        <v>388</v>
      </c>
      <c r="C26" s="361" t="s">
        <v>388</v>
      </c>
      <c r="D26" s="358">
        <v>809.39253799999994</v>
      </c>
      <c r="E26" s="360" t="s">
        <v>359</v>
      </c>
      <c r="G26" s="233" t="str">
        <f>LEFT('Nährstoffe und Lagerraum'!$P$5,3)</f>
        <v>0</v>
      </c>
      <c r="H26" s="233" t="str">
        <f t="shared" si="1"/>
        <v>0</v>
      </c>
      <c r="I26" s="233">
        <f t="shared" si="2"/>
        <v>0</v>
      </c>
      <c r="J26" s="358">
        <f t="shared" si="0"/>
        <v>0</v>
      </c>
      <c r="K26">
        <f t="shared" si="3"/>
        <v>0</v>
      </c>
    </row>
    <row r="27" spans="1:11" ht="15" x14ac:dyDescent="0.25">
      <c r="A27" s="361">
        <v>263</v>
      </c>
      <c r="B27" s="361" t="s">
        <v>389</v>
      </c>
      <c r="C27" s="361" t="s">
        <v>389</v>
      </c>
      <c r="D27" s="358">
        <v>647.20447799999999</v>
      </c>
      <c r="E27" s="360" t="s">
        <v>359</v>
      </c>
      <c r="G27" s="233" t="str">
        <f>LEFT('Nährstoffe und Lagerraum'!$P$5,3)</f>
        <v>0</v>
      </c>
      <c r="H27" s="233" t="str">
        <f t="shared" si="1"/>
        <v>0</v>
      </c>
      <c r="I27" s="233">
        <f t="shared" si="2"/>
        <v>0</v>
      </c>
      <c r="J27" s="358">
        <f t="shared" si="0"/>
        <v>0</v>
      </c>
      <c r="K27">
        <f t="shared" si="3"/>
        <v>0</v>
      </c>
    </row>
    <row r="28" spans="1:11" ht="15" x14ac:dyDescent="0.25">
      <c r="A28" s="361">
        <v>271</v>
      </c>
      <c r="B28" s="361" t="s">
        <v>390</v>
      </c>
      <c r="C28" s="361" t="s">
        <v>390</v>
      </c>
      <c r="D28" s="358">
        <v>857.99441300000001</v>
      </c>
      <c r="E28" s="360" t="s">
        <v>359</v>
      </c>
      <c r="G28" s="233" t="str">
        <f>LEFT('Nährstoffe und Lagerraum'!$P$5,3)</f>
        <v>0</v>
      </c>
      <c r="H28" s="233" t="str">
        <f t="shared" si="1"/>
        <v>0</v>
      </c>
      <c r="I28" s="233">
        <f t="shared" si="2"/>
        <v>0</v>
      </c>
      <c r="J28" s="358">
        <f t="shared" si="0"/>
        <v>0</v>
      </c>
      <c r="K28">
        <f t="shared" si="3"/>
        <v>0</v>
      </c>
    </row>
    <row r="29" spans="1:11" ht="15" x14ac:dyDescent="0.25">
      <c r="A29" s="361">
        <v>272</v>
      </c>
      <c r="B29" s="361" t="s">
        <v>391</v>
      </c>
      <c r="C29" s="361" t="s">
        <v>391</v>
      </c>
      <c r="D29" s="358">
        <v>1038.282976</v>
      </c>
      <c r="E29" s="360" t="s">
        <v>359</v>
      </c>
      <c r="G29" s="233" t="str">
        <f>LEFT('Nährstoffe und Lagerraum'!$P$5,3)</f>
        <v>0</v>
      </c>
      <c r="H29" s="233" t="str">
        <f t="shared" si="1"/>
        <v>0</v>
      </c>
      <c r="I29" s="233">
        <f t="shared" si="2"/>
        <v>0</v>
      </c>
      <c r="J29" s="358">
        <f t="shared" si="0"/>
        <v>0</v>
      </c>
      <c r="K29">
        <f t="shared" si="3"/>
        <v>0</v>
      </c>
    </row>
    <row r="30" spans="1:11" ht="15" x14ac:dyDescent="0.25">
      <c r="A30" s="361">
        <v>273</v>
      </c>
      <c r="B30" s="361" t="s">
        <v>392</v>
      </c>
      <c r="C30" s="361" t="s">
        <v>392</v>
      </c>
      <c r="D30" s="358">
        <v>700.64457900000002</v>
      </c>
      <c r="E30" s="360" t="s">
        <v>359</v>
      </c>
      <c r="G30" s="233" t="str">
        <f>LEFT('Nährstoffe und Lagerraum'!$P$5,3)</f>
        <v>0</v>
      </c>
      <c r="H30" s="233" t="str">
        <f t="shared" si="1"/>
        <v>0</v>
      </c>
      <c r="I30" s="233">
        <f t="shared" si="2"/>
        <v>0</v>
      </c>
      <c r="J30" s="358">
        <f t="shared" si="0"/>
        <v>0</v>
      </c>
      <c r="K30">
        <f t="shared" si="3"/>
        <v>0</v>
      </c>
    </row>
    <row r="31" spans="1:11" ht="15" x14ac:dyDescent="0.25">
      <c r="A31" s="361">
        <v>274</v>
      </c>
      <c r="B31" s="361" t="s">
        <v>387</v>
      </c>
      <c r="C31" s="361" t="s">
        <v>387</v>
      </c>
      <c r="D31" s="358">
        <v>751.70879500000001</v>
      </c>
      <c r="E31" s="360" t="s">
        <v>359</v>
      </c>
      <c r="G31" s="233" t="str">
        <f>LEFT('Nährstoffe und Lagerraum'!$P$5,3)</f>
        <v>0</v>
      </c>
      <c r="H31" s="233" t="str">
        <f t="shared" si="1"/>
        <v>0</v>
      </c>
      <c r="I31" s="233">
        <f t="shared" si="2"/>
        <v>0</v>
      </c>
      <c r="J31" s="358">
        <f t="shared" si="0"/>
        <v>0</v>
      </c>
      <c r="K31">
        <f t="shared" si="3"/>
        <v>0</v>
      </c>
    </row>
    <row r="32" spans="1:11" ht="15" x14ac:dyDescent="0.25">
      <c r="A32" s="361">
        <v>275</v>
      </c>
      <c r="B32" s="361" t="s">
        <v>388</v>
      </c>
      <c r="C32" s="361" t="s">
        <v>388</v>
      </c>
      <c r="D32" s="358">
        <v>841.87963300000001</v>
      </c>
      <c r="E32" s="360" t="s">
        <v>359</v>
      </c>
      <c r="G32" s="233" t="str">
        <f>LEFT('Nährstoffe und Lagerraum'!$P$5,3)</f>
        <v>0</v>
      </c>
      <c r="H32" s="233" t="str">
        <f t="shared" si="1"/>
        <v>0</v>
      </c>
      <c r="I32" s="233">
        <f t="shared" si="2"/>
        <v>0</v>
      </c>
      <c r="J32" s="358">
        <f t="shared" si="0"/>
        <v>0</v>
      </c>
      <c r="K32">
        <f t="shared" si="3"/>
        <v>0</v>
      </c>
    </row>
    <row r="33" spans="1:11" ht="15" x14ac:dyDescent="0.25">
      <c r="A33" s="361">
        <v>276</v>
      </c>
      <c r="B33" s="361" t="s">
        <v>393</v>
      </c>
      <c r="C33" s="361" t="s">
        <v>393</v>
      </c>
      <c r="D33" s="358">
        <v>1042.2642410000001</v>
      </c>
      <c r="E33" s="360" t="s">
        <v>359</v>
      </c>
      <c r="G33" s="233" t="str">
        <f>LEFT('Nährstoffe und Lagerraum'!$P$5,3)</f>
        <v>0</v>
      </c>
      <c r="H33" s="233" t="str">
        <f t="shared" si="1"/>
        <v>0</v>
      </c>
      <c r="I33" s="233">
        <f t="shared" si="2"/>
        <v>0</v>
      </c>
      <c r="J33" s="358">
        <f t="shared" si="0"/>
        <v>0</v>
      </c>
      <c r="K33">
        <f t="shared" si="3"/>
        <v>0</v>
      </c>
    </row>
    <row r="34" spans="1:11" ht="15" x14ac:dyDescent="0.25">
      <c r="A34" s="361">
        <v>277</v>
      </c>
      <c r="B34" s="361" t="s">
        <v>394</v>
      </c>
      <c r="C34" s="361" t="s">
        <v>394</v>
      </c>
      <c r="D34" s="358">
        <v>789.52893900000004</v>
      </c>
      <c r="E34" s="360" t="s">
        <v>359</v>
      </c>
      <c r="G34" s="233" t="str">
        <f>LEFT('Nährstoffe und Lagerraum'!$P$5,3)</f>
        <v>0</v>
      </c>
      <c r="H34" s="233" t="str">
        <f t="shared" si="1"/>
        <v>0</v>
      </c>
      <c r="I34" s="233">
        <f t="shared" si="2"/>
        <v>0</v>
      </c>
      <c r="J34" s="358">
        <f t="shared" ref="J34:J65" si="4">IF(I34=A34,1,0)</f>
        <v>0</v>
      </c>
      <c r="K34">
        <f t="shared" si="3"/>
        <v>0</v>
      </c>
    </row>
    <row r="35" spans="1:11" ht="15" x14ac:dyDescent="0.25">
      <c r="A35" s="361">
        <v>278</v>
      </c>
      <c r="B35" s="361" t="s">
        <v>395</v>
      </c>
      <c r="C35" s="361" t="s">
        <v>395</v>
      </c>
      <c r="D35" s="358">
        <v>756.96159499999999</v>
      </c>
      <c r="E35" s="360" t="s">
        <v>359</v>
      </c>
      <c r="G35" s="233" t="str">
        <f>LEFT('Nährstoffe und Lagerraum'!$P$5,3)</f>
        <v>0</v>
      </c>
      <c r="H35" s="233" t="str">
        <f t="shared" si="1"/>
        <v>0</v>
      </c>
      <c r="I35" s="233">
        <f t="shared" si="2"/>
        <v>0</v>
      </c>
      <c r="J35" s="358">
        <f t="shared" si="4"/>
        <v>0</v>
      </c>
      <c r="K35">
        <f t="shared" si="3"/>
        <v>0</v>
      </c>
    </row>
    <row r="36" spans="1:11" ht="15" x14ac:dyDescent="0.25">
      <c r="A36" s="361">
        <v>279</v>
      </c>
      <c r="B36" s="361" t="s">
        <v>396</v>
      </c>
      <c r="C36" s="361" t="s">
        <v>396</v>
      </c>
      <c r="D36" s="358">
        <v>717.49988699999994</v>
      </c>
      <c r="E36" s="360" t="s">
        <v>359</v>
      </c>
      <c r="G36" s="233" t="str">
        <f>LEFT('Nährstoffe und Lagerraum'!$P$5,3)</f>
        <v>0</v>
      </c>
      <c r="H36" s="233" t="str">
        <f t="shared" si="1"/>
        <v>0</v>
      </c>
      <c r="I36" s="233">
        <f t="shared" si="2"/>
        <v>0</v>
      </c>
      <c r="J36" s="358">
        <f t="shared" si="4"/>
        <v>0</v>
      </c>
      <c r="K36">
        <f t="shared" si="3"/>
        <v>0</v>
      </c>
    </row>
    <row r="37" spans="1:11" ht="15" x14ac:dyDescent="0.25">
      <c r="A37" s="361">
        <v>361</v>
      </c>
      <c r="B37" s="361" t="s">
        <v>397</v>
      </c>
      <c r="C37" s="361" t="s">
        <v>397</v>
      </c>
      <c r="D37" s="358">
        <v>642.48076700000001</v>
      </c>
      <c r="E37" s="360" t="s">
        <v>359</v>
      </c>
      <c r="G37" s="233" t="str">
        <f>LEFT('Nährstoffe und Lagerraum'!$P$5,3)</f>
        <v>0</v>
      </c>
      <c r="H37" s="233" t="str">
        <f t="shared" si="1"/>
        <v>0</v>
      </c>
      <c r="I37" s="233">
        <f t="shared" si="2"/>
        <v>0</v>
      </c>
      <c r="J37" s="358">
        <f t="shared" si="4"/>
        <v>0</v>
      </c>
      <c r="K37">
        <f t="shared" si="3"/>
        <v>0</v>
      </c>
    </row>
    <row r="38" spans="1:11" ht="15" x14ac:dyDescent="0.25">
      <c r="A38" s="361">
        <v>362</v>
      </c>
      <c r="B38" s="361" t="s">
        <v>398</v>
      </c>
      <c r="C38" s="361" t="s">
        <v>398</v>
      </c>
      <c r="D38" s="358">
        <v>645.39135699999997</v>
      </c>
      <c r="E38" s="360" t="s">
        <v>359</v>
      </c>
      <c r="G38" s="233" t="str">
        <f>LEFT('Nährstoffe und Lagerraum'!$P$5,3)</f>
        <v>0</v>
      </c>
      <c r="H38" s="233" t="str">
        <f t="shared" si="1"/>
        <v>0</v>
      </c>
      <c r="I38" s="233">
        <f t="shared" si="2"/>
        <v>0</v>
      </c>
      <c r="J38" s="358">
        <f t="shared" si="4"/>
        <v>0</v>
      </c>
      <c r="K38">
        <f t="shared" si="3"/>
        <v>0</v>
      </c>
    </row>
    <row r="39" spans="1:11" ht="15" x14ac:dyDescent="0.25">
      <c r="A39" s="361">
        <v>363</v>
      </c>
      <c r="B39" s="361" t="s">
        <v>399</v>
      </c>
      <c r="C39" s="361" t="s">
        <v>399</v>
      </c>
      <c r="D39" s="358">
        <v>662.62535100000002</v>
      </c>
      <c r="E39" s="360" t="s">
        <v>359</v>
      </c>
      <c r="G39" s="233" t="str">
        <f>LEFT('Nährstoffe und Lagerraum'!$P$5,3)</f>
        <v>0</v>
      </c>
      <c r="H39" s="233" t="str">
        <f t="shared" si="1"/>
        <v>0</v>
      </c>
      <c r="I39" s="233">
        <f t="shared" si="2"/>
        <v>0</v>
      </c>
      <c r="J39" s="358">
        <f t="shared" si="4"/>
        <v>0</v>
      </c>
      <c r="K39">
        <f t="shared" si="3"/>
        <v>0</v>
      </c>
    </row>
    <row r="40" spans="1:11" ht="15" x14ac:dyDescent="0.25">
      <c r="A40" s="361">
        <v>371</v>
      </c>
      <c r="B40" s="361" t="s">
        <v>400</v>
      </c>
      <c r="C40" s="361" t="s">
        <v>400</v>
      </c>
      <c r="D40" s="358">
        <v>703.27166699999998</v>
      </c>
      <c r="E40" s="360" t="s">
        <v>359</v>
      </c>
      <c r="G40" s="233" t="str">
        <f>LEFT('Nährstoffe und Lagerraum'!$P$5,3)</f>
        <v>0</v>
      </c>
      <c r="H40" s="233" t="str">
        <f t="shared" si="1"/>
        <v>0</v>
      </c>
      <c r="I40" s="233">
        <f t="shared" si="2"/>
        <v>0</v>
      </c>
      <c r="J40" s="358">
        <f t="shared" si="4"/>
        <v>0</v>
      </c>
      <c r="K40">
        <f t="shared" si="3"/>
        <v>0</v>
      </c>
    </row>
    <row r="41" spans="1:11" ht="15" x14ac:dyDescent="0.25">
      <c r="A41" s="361">
        <v>372</v>
      </c>
      <c r="B41" s="361" t="s">
        <v>401</v>
      </c>
      <c r="C41" s="361" t="s">
        <v>401</v>
      </c>
      <c r="D41" s="358">
        <v>792.32119699999998</v>
      </c>
      <c r="E41" s="360" t="s">
        <v>359</v>
      </c>
      <c r="G41" s="233" t="str">
        <f>LEFT('Nährstoffe und Lagerraum'!$P$5,3)</f>
        <v>0</v>
      </c>
      <c r="H41" s="233" t="str">
        <f t="shared" si="1"/>
        <v>0</v>
      </c>
      <c r="I41" s="233">
        <f t="shared" si="2"/>
        <v>0</v>
      </c>
      <c r="J41" s="358">
        <f t="shared" si="4"/>
        <v>0</v>
      </c>
      <c r="K41">
        <f t="shared" si="3"/>
        <v>0</v>
      </c>
    </row>
    <row r="42" spans="1:11" ht="15" x14ac:dyDescent="0.25">
      <c r="A42" s="361">
        <v>373</v>
      </c>
      <c r="B42" s="361" t="s">
        <v>402</v>
      </c>
      <c r="C42" s="361" t="s">
        <v>402</v>
      </c>
      <c r="D42" s="358">
        <v>739.75539800000001</v>
      </c>
      <c r="E42" s="360" t="s">
        <v>359</v>
      </c>
      <c r="G42" s="233" t="str">
        <f>LEFT('Nährstoffe und Lagerraum'!$P$5,3)</f>
        <v>0</v>
      </c>
      <c r="H42" s="233" t="str">
        <f t="shared" si="1"/>
        <v>0</v>
      </c>
      <c r="I42" s="233">
        <f t="shared" si="2"/>
        <v>0</v>
      </c>
      <c r="J42" s="358">
        <f t="shared" si="4"/>
        <v>0</v>
      </c>
      <c r="K42">
        <f t="shared" si="3"/>
        <v>0</v>
      </c>
    </row>
    <row r="43" spans="1:11" ht="15" x14ac:dyDescent="0.25">
      <c r="A43" s="361">
        <v>374</v>
      </c>
      <c r="B43" s="361" t="s">
        <v>403</v>
      </c>
      <c r="C43" s="361" t="s">
        <v>403</v>
      </c>
      <c r="D43" s="358">
        <v>698.95514700000001</v>
      </c>
      <c r="E43" s="360" t="s">
        <v>359</v>
      </c>
      <c r="G43" s="233" t="str">
        <f>LEFT('Nährstoffe und Lagerraum'!$P$5,3)</f>
        <v>0</v>
      </c>
      <c r="H43" s="233" t="str">
        <f t="shared" si="1"/>
        <v>0</v>
      </c>
      <c r="I43" s="233">
        <f t="shared" si="2"/>
        <v>0</v>
      </c>
      <c r="J43" s="358">
        <f t="shared" si="4"/>
        <v>0</v>
      </c>
      <c r="K43">
        <f t="shared" si="3"/>
        <v>0</v>
      </c>
    </row>
    <row r="44" spans="1:11" ht="15" x14ac:dyDescent="0.25">
      <c r="A44" s="361">
        <v>375</v>
      </c>
      <c r="B44" s="361" t="s">
        <v>398</v>
      </c>
      <c r="C44" s="361" t="s">
        <v>398</v>
      </c>
      <c r="D44" s="358">
        <v>679.05672400000003</v>
      </c>
      <c r="E44" s="360" t="s">
        <v>359</v>
      </c>
      <c r="G44" s="233" t="str">
        <f>LEFT('Nährstoffe und Lagerraum'!$P$5,3)</f>
        <v>0</v>
      </c>
      <c r="H44" s="233" t="str">
        <f t="shared" si="1"/>
        <v>0</v>
      </c>
      <c r="I44" s="233">
        <f t="shared" si="2"/>
        <v>0</v>
      </c>
      <c r="J44" s="358">
        <f t="shared" si="4"/>
        <v>0</v>
      </c>
      <c r="K44">
        <f t="shared" si="3"/>
        <v>0</v>
      </c>
    </row>
    <row r="45" spans="1:11" ht="15" x14ac:dyDescent="0.25">
      <c r="A45" s="361">
        <v>376</v>
      </c>
      <c r="B45" s="361" t="s">
        <v>404</v>
      </c>
      <c r="C45" s="361" t="s">
        <v>404</v>
      </c>
      <c r="D45" s="358">
        <v>681.42459199999996</v>
      </c>
      <c r="E45" s="360" t="s">
        <v>359</v>
      </c>
      <c r="G45" s="233" t="str">
        <f>LEFT('Nährstoffe und Lagerraum'!$P$5,3)</f>
        <v>0</v>
      </c>
      <c r="H45" s="233" t="str">
        <f t="shared" si="1"/>
        <v>0</v>
      </c>
      <c r="I45" s="233">
        <f t="shared" si="2"/>
        <v>0</v>
      </c>
      <c r="J45" s="358">
        <f t="shared" si="4"/>
        <v>0</v>
      </c>
      <c r="K45">
        <f t="shared" si="3"/>
        <v>0</v>
      </c>
    </row>
    <row r="46" spans="1:11" ht="15" x14ac:dyDescent="0.25">
      <c r="A46" s="361">
        <v>377</v>
      </c>
      <c r="B46" s="361" t="s">
        <v>405</v>
      </c>
      <c r="C46" s="361" t="s">
        <v>405</v>
      </c>
      <c r="D46" s="358">
        <v>733.12053900000001</v>
      </c>
      <c r="E46" s="360" t="s">
        <v>359</v>
      </c>
      <c r="G46" s="233" t="str">
        <f>LEFT('Nährstoffe und Lagerraum'!$P$5,3)</f>
        <v>0</v>
      </c>
      <c r="H46" s="233" t="str">
        <f t="shared" si="1"/>
        <v>0</v>
      </c>
      <c r="I46" s="233">
        <f t="shared" si="2"/>
        <v>0</v>
      </c>
      <c r="J46" s="358">
        <f t="shared" si="4"/>
        <v>0</v>
      </c>
      <c r="K46">
        <f t="shared" si="3"/>
        <v>0</v>
      </c>
    </row>
    <row r="47" spans="1:11" ht="15" x14ac:dyDescent="0.25">
      <c r="A47" s="361">
        <v>461</v>
      </c>
      <c r="B47" s="361" t="s">
        <v>406</v>
      </c>
      <c r="C47" s="361" t="s">
        <v>406</v>
      </c>
      <c r="D47" s="358">
        <v>624.23035600000003</v>
      </c>
      <c r="E47" s="360" t="s">
        <v>359</v>
      </c>
      <c r="G47" s="233" t="str">
        <f>LEFT('Nährstoffe und Lagerraum'!$P$5,3)</f>
        <v>0</v>
      </c>
      <c r="H47" s="233" t="str">
        <f t="shared" si="1"/>
        <v>0</v>
      </c>
      <c r="I47" s="233">
        <f t="shared" si="2"/>
        <v>0</v>
      </c>
      <c r="J47" s="358">
        <f t="shared" si="4"/>
        <v>0</v>
      </c>
      <c r="K47">
        <f t="shared" si="3"/>
        <v>0</v>
      </c>
    </row>
    <row r="48" spans="1:11" ht="15" x14ac:dyDescent="0.25">
      <c r="A48" s="361">
        <v>462</v>
      </c>
      <c r="B48" s="361" t="s">
        <v>407</v>
      </c>
      <c r="C48" s="361" t="s">
        <v>407</v>
      </c>
      <c r="D48" s="358">
        <v>689.04477499999996</v>
      </c>
      <c r="E48" s="360" t="s">
        <v>359</v>
      </c>
      <c r="G48" s="233" t="str">
        <f>LEFT('Nährstoffe und Lagerraum'!$P$5,3)</f>
        <v>0</v>
      </c>
      <c r="H48" s="233" t="str">
        <f t="shared" si="1"/>
        <v>0</v>
      </c>
      <c r="I48" s="233">
        <f t="shared" si="2"/>
        <v>0</v>
      </c>
      <c r="J48" s="358">
        <f t="shared" si="4"/>
        <v>0</v>
      </c>
      <c r="K48">
        <f t="shared" si="3"/>
        <v>0</v>
      </c>
    </row>
    <row r="49" spans="1:11" ht="15" x14ac:dyDescent="0.25">
      <c r="A49" s="361">
        <v>463</v>
      </c>
      <c r="B49" s="361" t="s">
        <v>408</v>
      </c>
      <c r="C49" s="361" t="s">
        <v>408</v>
      </c>
      <c r="D49" s="358">
        <v>685.33478400000001</v>
      </c>
      <c r="E49" s="360" t="s">
        <v>359</v>
      </c>
      <c r="G49" s="233" t="str">
        <f>LEFT('Nährstoffe und Lagerraum'!$P$5,3)</f>
        <v>0</v>
      </c>
      <c r="H49" s="233" t="str">
        <f t="shared" si="1"/>
        <v>0</v>
      </c>
      <c r="I49" s="233">
        <f t="shared" si="2"/>
        <v>0</v>
      </c>
      <c r="J49" s="358">
        <f t="shared" si="4"/>
        <v>0</v>
      </c>
      <c r="K49">
        <f t="shared" si="3"/>
        <v>0</v>
      </c>
    </row>
    <row r="50" spans="1:11" ht="15" x14ac:dyDescent="0.25">
      <c r="A50" s="361">
        <v>464</v>
      </c>
      <c r="B50" s="361" t="s">
        <v>409</v>
      </c>
      <c r="C50" s="361" t="s">
        <v>409</v>
      </c>
      <c r="D50" s="358">
        <v>661.28750000000002</v>
      </c>
      <c r="E50" s="360" t="s">
        <v>359</v>
      </c>
      <c r="G50" s="233" t="str">
        <f>LEFT('Nährstoffe und Lagerraum'!$P$5,3)</f>
        <v>0</v>
      </c>
      <c r="H50" s="233" t="str">
        <f t="shared" si="1"/>
        <v>0</v>
      </c>
      <c r="I50" s="233">
        <f t="shared" si="2"/>
        <v>0</v>
      </c>
      <c r="J50" s="358">
        <f t="shared" si="4"/>
        <v>0</v>
      </c>
      <c r="K50">
        <f t="shared" si="3"/>
        <v>0</v>
      </c>
    </row>
    <row r="51" spans="1:11" ht="15" x14ac:dyDescent="0.25">
      <c r="A51" s="361">
        <v>471</v>
      </c>
      <c r="B51" s="361" t="s">
        <v>406</v>
      </c>
      <c r="C51" s="361" t="s">
        <v>406</v>
      </c>
      <c r="D51" s="358">
        <v>677.51418799999999</v>
      </c>
      <c r="E51" s="360" t="s">
        <v>359</v>
      </c>
      <c r="G51" s="233" t="str">
        <f>LEFT('Nährstoffe und Lagerraum'!$P$5,3)</f>
        <v>0</v>
      </c>
      <c r="H51" s="233" t="str">
        <f t="shared" si="1"/>
        <v>0</v>
      </c>
      <c r="I51" s="233">
        <f t="shared" si="2"/>
        <v>0</v>
      </c>
      <c r="J51" s="358">
        <f t="shared" si="4"/>
        <v>0</v>
      </c>
      <c r="K51">
        <f t="shared" si="3"/>
        <v>0</v>
      </c>
    </row>
    <row r="52" spans="1:11" ht="15" x14ac:dyDescent="0.25">
      <c r="A52" s="361">
        <v>472</v>
      </c>
      <c r="B52" s="361" t="s">
        <v>407</v>
      </c>
      <c r="C52" s="361" t="s">
        <v>407</v>
      </c>
      <c r="D52" s="358">
        <v>805.22680200000002</v>
      </c>
      <c r="E52" s="360" t="s">
        <v>359</v>
      </c>
      <c r="G52" s="233" t="str">
        <f>LEFT('Nährstoffe und Lagerraum'!$P$5,3)</f>
        <v>0</v>
      </c>
      <c r="H52" s="233" t="str">
        <f t="shared" si="1"/>
        <v>0</v>
      </c>
      <c r="I52" s="233">
        <f t="shared" si="2"/>
        <v>0</v>
      </c>
      <c r="J52" s="358">
        <f t="shared" si="4"/>
        <v>0</v>
      </c>
      <c r="K52">
        <f t="shared" si="3"/>
        <v>0</v>
      </c>
    </row>
    <row r="53" spans="1:11" ht="15" x14ac:dyDescent="0.25">
      <c r="A53" s="361">
        <v>473</v>
      </c>
      <c r="B53" s="361" t="s">
        <v>408</v>
      </c>
      <c r="C53" s="361" t="s">
        <v>408</v>
      </c>
      <c r="D53" s="358">
        <v>674.53293699999995</v>
      </c>
      <c r="E53" s="360" t="s">
        <v>359</v>
      </c>
      <c r="G53" s="233" t="str">
        <f>LEFT('Nährstoffe und Lagerraum'!$P$5,3)</f>
        <v>0</v>
      </c>
      <c r="H53" s="233" t="str">
        <f t="shared" si="1"/>
        <v>0</v>
      </c>
      <c r="I53" s="233">
        <f t="shared" si="2"/>
        <v>0</v>
      </c>
      <c r="J53" s="358">
        <f t="shared" si="4"/>
        <v>0</v>
      </c>
      <c r="K53">
        <f t="shared" si="3"/>
        <v>0</v>
      </c>
    </row>
    <row r="54" spans="1:11" ht="15" x14ac:dyDescent="0.25">
      <c r="A54" s="361">
        <v>474</v>
      </c>
      <c r="B54" s="361" t="s">
        <v>410</v>
      </c>
      <c r="C54" s="361" t="s">
        <v>410</v>
      </c>
      <c r="D54" s="358">
        <v>762.59782199999995</v>
      </c>
      <c r="E54" s="360" t="s">
        <v>359</v>
      </c>
      <c r="G54" s="233" t="str">
        <f>LEFT('Nährstoffe und Lagerraum'!$P$5,3)</f>
        <v>0</v>
      </c>
      <c r="H54" s="233" t="str">
        <f t="shared" si="1"/>
        <v>0</v>
      </c>
      <c r="I54" s="233">
        <f t="shared" si="2"/>
        <v>0</v>
      </c>
      <c r="J54" s="358">
        <f t="shared" si="4"/>
        <v>0</v>
      </c>
      <c r="K54">
        <f t="shared" si="3"/>
        <v>0</v>
      </c>
    </row>
    <row r="55" spans="1:11" ht="15" x14ac:dyDescent="0.25">
      <c r="A55" s="361">
        <v>475</v>
      </c>
      <c r="B55" s="361" t="s">
        <v>409</v>
      </c>
      <c r="C55" s="361" t="s">
        <v>409</v>
      </c>
      <c r="D55" s="358">
        <v>766.46465999999998</v>
      </c>
      <c r="E55" s="360" t="s">
        <v>359</v>
      </c>
      <c r="G55" s="233" t="str">
        <f>LEFT('Nährstoffe und Lagerraum'!$P$5,3)</f>
        <v>0</v>
      </c>
      <c r="H55" s="233" t="str">
        <f t="shared" si="1"/>
        <v>0</v>
      </c>
      <c r="I55" s="233">
        <f t="shared" si="2"/>
        <v>0</v>
      </c>
      <c r="J55" s="358">
        <f t="shared" si="4"/>
        <v>0</v>
      </c>
      <c r="K55">
        <f t="shared" si="3"/>
        <v>0</v>
      </c>
    </row>
    <row r="56" spans="1:11" ht="15" x14ac:dyDescent="0.25">
      <c r="A56" s="361">
        <v>476</v>
      </c>
      <c r="B56" s="361" t="s">
        <v>411</v>
      </c>
      <c r="C56" s="361" t="s">
        <v>411</v>
      </c>
      <c r="D56" s="358">
        <v>840.09107700000004</v>
      </c>
      <c r="E56" s="360" t="s">
        <v>359</v>
      </c>
      <c r="G56" s="233" t="str">
        <f>LEFT('Nährstoffe und Lagerraum'!$P$5,3)</f>
        <v>0</v>
      </c>
      <c r="H56" s="233" t="str">
        <f t="shared" si="1"/>
        <v>0</v>
      </c>
      <c r="I56" s="233">
        <f t="shared" si="2"/>
        <v>0</v>
      </c>
      <c r="J56" s="358">
        <f t="shared" si="4"/>
        <v>0</v>
      </c>
      <c r="K56">
        <f t="shared" si="3"/>
        <v>0</v>
      </c>
    </row>
    <row r="57" spans="1:11" ht="15" x14ac:dyDescent="0.25">
      <c r="A57" s="361">
        <v>477</v>
      </c>
      <c r="B57" s="361" t="s">
        <v>412</v>
      </c>
      <c r="C57" s="361" t="s">
        <v>412</v>
      </c>
      <c r="D57" s="358">
        <v>754.01590799999997</v>
      </c>
      <c r="E57" s="360" t="s">
        <v>359</v>
      </c>
      <c r="G57" s="233" t="str">
        <f>LEFT('Nährstoffe und Lagerraum'!$P$5,3)</f>
        <v>0</v>
      </c>
      <c r="H57" s="233" t="str">
        <f t="shared" si="1"/>
        <v>0</v>
      </c>
      <c r="I57" s="233">
        <f t="shared" si="2"/>
        <v>0</v>
      </c>
      <c r="J57" s="358">
        <f t="shared" si="4"/>
        <v>0</v>
      </c>
      <c r="K57">
        <f t="shared" si="3"/>
        <v>0</v>
      </c>
    </row>
    <row r="58" spans="1:11" ht="15" x14ac:dyDescent="0.25">
      <c r="A58" s="361">
        <v>478</v>
      </c>
      <c r="B58" s="361" t="s">
        <v>413</v>
      </c>
      <c r="C58" s="361" t="s">
        <v>413</v>
      </c>
      <c r="D58" s="358">
        <v>663.68571299999996</v>
      </c>
      <c r="E58" s="360" t="s">
        <v>359</v>
      </c>
      <c r="G58" s="233" t="str">
        <f>LEFT('Nährstoffe und Lagerraum'!$P$5,3)</f>
        <v>0</v>
      </c>
      <c r="H58" s="233" t="str">
        <f t="shared" si="1"/>
        <v>0</v>
      </c>
      <c r="I58" s="233">
        <f t="shared" si="2"/>
        <v>0</v>
      </c>
      <c r="J58" s="358">
        <f t="shared" si="4"/>
        <v>0</v>
      </c>
      <c r="K58">
        <f t="shared" si="3"/>
        <v>0</v>
      </c>
    </row>
    <row r="59" spans="1:11" ht="15" x14ac:dyDescent="0.25">
      <c r="A59" s="361">
        <v>479</v>
      </c>
      <c r="B59" s="361" t="s">
        <v>414</v>
      </c>
      <c r="C59" s="361" t="s">
        <v>414</v>
      </c>
      <c r="D59" s="358">
        <v>761.51830399999994</v>
      </c>
      <c r="E59" s="360" t="s">
        <v>359</v>
      </c>
      <c r="G59" s="233" t="str">
        <f>LEFT('Nährstoffe und Lagerraum'!$P$5,3)</f>
        <v>0</v>
      </c>
      <c r="H59" s="233" t="str">
        <f t="shared" si="1"/>
        <v>0</v>
      </c>
      <c r="I59" s="233">
        <f t="shared" si="2"/>
        <v>0</v>
      </c>
      <c r="J59" s="358">
        <f t="shared" si="4"/>
        <v>0</v>
      </c>
      <c r="K59">
        <f t="shared" si="3"/>
        <v>0</v>
      </c>
    </row>
    <row r="60" spans="1:11" ht="15" x14ac:dyDescent="0.25">
      <c r="A60" s="361">
        <v>561</v>
      </c>
      <c r="B60" s="361" t="s">
        <v>415</v>
      </c>
      <c r="C60" s="361" t="s">
        <v>415</v>
      </c>
      <c r="D60" s="358">
        <v>641.50404100000003</v>
      </c>
      <c r="E60" s="360" t="s">
        <v>359</v>
      </c>
      <c r="G60" s="233" t="str">
        <f>LEFT('Nährstoffe und Lagerraum'!$P$5,3)</f>
        <v>0</v>
      </c>
      <c r="H60" s="233" t="str">
        <f t="shared" si="1"/>
        <v>0</v>
      </c>
      <c r="I60" s="233">
        <f t="shared" si="2"/>
        <v>0</v>
      </c>
      <c r="J60" s="358">
        <f t="shared" si="4"/>
        <v>0</v>
      </c>
      <c r="K60">
        <f t="shared" si="3"/>
        <v>0</v>
      </c>
    </row>
    <row r="61" spans="1:11" ht="15" x14ac:dyDescent="0.25">
      <c r="A61" s="361">
        <v>562</v>
      </c>
      <c r="B61" s="361" t="s">
        <v>416</v>
      </c>
      <c r="C61" s="361" t="s">
        <v>416</v>
      </c>
      <c r="D61" s="358">
        <v>620.00384499999996</v>
      </c>
      <c r="E61" s="360" t="s">
        <v>359</v>
      </c>
      <c r="G61" s="233" t="str">
        <f>LEFT('Nährstoffe und Lagerraum'!$P$5,3)</f>
        <v>0</v>
      </c>
      <c r="H61" s="233" t="str">
        <f t="shared" si="1"/>
        <v>0</v>
      </c>
      <c r="I61" s="233">
        <f t="shared" si="2"/>
        <v>0</v>
      </c>
      <c r="J61" s="358">
        <f t="shared" si="4"/>
        <v>0</v>
      </c>
      <c r="K61">
        <f t="shared" si="3"/>
        <v>0</v>
      </c>
    </row>
    <row r="62" spans="1:11" ht="15" x14ac:dyDescent="0.25">
      <c r="A62" s="361">
        <v>563</v>
      </c>
      <c r="B62" s="361" t="s">
        <v>417</v>
      </c>
      <c r="C62" s="361" t="s">
        <v>418</v>
      </c>
      <c r="D62" s="358">
        <v>578.62257899999997</v>
      </c>
      <c r="E62" s="360" t="s">
        <v>359</v>
      </c>
      <c r="G62" s="233" t="str">
        <f>LEFT('Nährstoffe und Lagerraum'!$P$5,3)</f>
        <v>0</v>
      </c>
      <c r="H62" s="233" t="str">
        <f t="shared" si="1"/>
        <v>0</v>
      </c>
      <c r="I62" s="233">
        <f t="shared" si="2"/>
        <v>0</v>
      </c>
      <c r="J62" s="358">
        <f t="shared" si="4"/>
        <v>0</v>
      </c>
      <c r="K62">
        <f t="shared" si="3"/>
        <v>0</v>
      </c>
    </row>
    <row r="63" spans="1:11" ht="15" x14ac:dyDescent="0.25">
      <c r="A63" s="361">
        <v>564</v>
      </c>
      <c r="B63" s="361" t="s">
        <v>419</v>
      </c>
      <c r="C63" s="361" t="s">
        <v>420</v>
      </c>
      <c r="D63" s="358">
        <v>608.04814999999996</v>
      </c>
      <c r="E63" s="360" t="s">
        <v>359</v>
      </c>
      <c r="G63" s="233" t="str">
        <f>LEFT('Nährstoffe und Lagerraum'!$P$5,3)</f>
        <v>0</v>
      </c>
      <c r="H63" s="233" t="str">
        <f t="shared" si="1"/>
        <v>0</v>
      </c>
      <c r="I63" s="233">
        <f t="shared" si="2"/>
        <v>0</v>
      </c>
      <c r="J63" s="358">
        <f t="shared" si="4"/>
        <v>0</v>
      </c>
      <c r="K63">
        <f t="shared" si="3"/>
        <v>0</v>
      </c>
    </row>
    <row r="64" spans="1:11" ht="15" x14ac:dyDescent="0.25">
      <c r="A64" s="361">
        <v>565</v>
      </c>
      <c r="B64" s="361" t="s">
        <v>421</v>
      </c>
      <c r="C64" s="361" t="s">
        <v>421</v>
      </c>
      <c r="D64" s="358">
        <v>610.95121800000004</v>
      </c>
      <c r="E64" s="360" t="s">
        <v>359</v>
      </c>
      <c r="G64" s="233" t="str">
        <f>LEFT('Nährstoffe und Lagerraum'!$P$5,3)</f>
        <v>0</v>
      </c>
      <c r="H64" s="233" t="str">
        <f t="shared" si="1"/>
        <v>0</v>
      </c>
      <c r="I64" s="233">
        <f t="shared" si="2"/>
        <v>0</v>
      </c>
      <c r="J64" s="358">
        <f t="shared" si="4"/>
        <v>0</v>
      </c>
      <c r="K64">
        <f t="shared" si="3"/>
        <v>0</v>
      </c>
    </row>
    <row r="65" spans="1:11" ht="15" x14ac:dyDescent="0.25">
      <c r="A65" s="361">
        <v>571</v>
      </c>
      <c r="B65" s="361" t="s">
        <v>415</v>
      </c>
      <c r="C65" s="361" t="s">
        <v>415</v>
      </c>
      <c r="D65" s="358">
        <v>650.69102399999997</v>
      </c>
      <c r="E65" s="360" t="s">
        <v>359</v>
      </c>
      <c r="G65" s="233" t="str">
        <f>LEFT('Nährstoffe und Lagerraum'!$P$5,3)</f>
        <v>0</v>
      </c>
      <c r="H65" s="233" t="str">
        <f t="shared" si="1"/>
        <v>0</v>
      </c>
      <c r="I65" s="233">
        <f t="shared" si="2"/>
        <v>0</v>
      </c>
      <c r="J65" s="358">
        <f t="shared" si="4"/>
        <v>0</v>
      </c>
      <c r="K65">
        <f t="shared" si="3"/>
        <v>0</v>
      </c>
    </row>
    <row r="66" spans="1:11" ht="15" x14ac:dyDescent="0.25">
      <c r="A66" s="361">
        <v>572</v>
      </c>
      <c r="B66" s="361" t="s">
        <v>422</v>
      </c>
      <c r="C66" s="361" t="s">
        <v>423</v>
      </c>
      <c r="D66" s="358">
        <v>623.15303600000004</v>
      </c>
      <c r="E66" s="360" t="s">
        <v>359</v>
      </c>
      <c r="G66" s="233" t="str">
        <f>LEFT('Nährstoffe und Lagerraum'!$P$5,3)</f>
        <v>0</v>
      </c>
      <c r="H66" s="233" t="str">
        <f t="shared" si="1"/>
        <v>0</v>
      </c>
      <c r="I66" s="233">
        <f t="shared" si="2"/>
        <v>0</v>
      </c>
      <c r="J66" s="358">
        <f t="shared" ref="J66:J97" si="5">IF(I66=A66,1,0)</f>
        <v>0</v>
      </c>
      <c r="K66">
        <f t="shared" si="3"/>
        <v>0</v>
      </c>
    </row>
    <row r="67" spans="1:11" ht="15" x14ac:dyDescent="0.25">
      <c r="A67" s="361">
        <v>573</v>
      </c>
      <c r="B67" s="361" t="s">
        <v>417</v>
      </c>
      <c r="C67" s="361" t="s">
        <v>418</v>
      </c>
      <c r="D67" s="358">
        <v>580.23709699999995</v>
      </c>
      <c r="E67" s="360" t="s">
        <v>359</v>
      </c>
      <c r="G67" s="233" t="str">
        <f>LEFT('Nährstoffe und Lagerraum'!$P$5,3)</f>
        <v>0</v>
      </c>
      <c r="H67" s="233" t="str">
        <f t="shared" ref="H67:H97" si="6">+G67</f>
        <v>0</v>
      </c>
      <c r="I67" s="233">
        <f t="shared" ref="I67:I97" si="7">VALUE(H67)</f>
        <v>0</v>
      </c>
      <c r="J67" s="358">
        <f t="shared" si="5"/>
        <v>0</v>
      </c>
      <c r="K67">
        <f t="shared" ref="K67:K97" si="8">IF(J67&gt;0,D67,0)</f>
        <v>0</v>
      </c>
    </row>
    <row r="68" spans="1:11" ht="15" x14ac:dyDescent="0.25">
      <c r="A68" s="361">
        <v>574</v>
      </c>
      <c r="B68" s="361" t="s">
        <v>424</v>
      </c>
      <c r="C68" s="361" t="s">
        <v>425</v>
      </c>
      <c r="D68" s="358">
        <v>788.97264700000005</v>
      </c>
      <c r="E68" s="360" t="s">
        <v>359</v>
      </c>
      <c r="G68" s="233" t="str">
        <f>LEFT('Nährstoffe und Lagerraum'!$P$5,3)</f>
        <v>0</v>
      </c>
      <c r="H68" s="233" t="str">
        <f t="shared" si="6"/>
        <v>0</v>
      </c>
      <c r="I68" s="233">
        <f t="shared" si="7"/>
        <v>0</v>
      </c>
      <c r="J68" s="358">
        <f t="shared" si="5"/>
        <v>0</v>
      </c>
      <c r="K68">
        <f t="shared" si="8"/>
        <v>0</v>
      </c>
    </row>
    <row r="69" spans="1:11" ht="15" x14ac:dyDescent="0.25">
      <c r="A69" s="361">
        <v>575</v>
      </c>
      <c r="B69" s="361" t="s">
        <v>426</v>
      </c>
      <c r="C69" s="361" t="s">
        <v>426</v>
      </c>
      <c r="D69" s="358">
        <v>605.22147900000004</v>
      </c>
      <c r="E69" s="360" t="s">
        <v>359</v>
      </c>
      <c r="G69" s="233" t="str">
        <f>LEFT('Nährstoffe und Lagerraum'!$P$5,3)</f>
        <v>0</v>
      </c>
      <c r="H69" s="233" t="str">
        <f t="shared" si="6"/>
        <v>0</v>
      </c>
      <c r="I69" s="233">
        <f t="shared" si="7"/>
        <v>0</v>
      </c>
      <c r="J69" s="358">
        <f t="shared" si="5"/>
        <v>0</v>
      </c>
      <c r="K69">
        <f t="shared" si="8"/>
        <v>0</v>
      </c>
    </row>
    <row r="70" spans="1:11" ht="15" x14ac:dyDescent="0.25">
      <c r="A70" s="361">
        <v>576</v>
      </c>
      <c r="B70" s="361" t="s">
        <v>427</v>
      </c>
      <c r="C70" s="361" t="s">
        <v>427</v>
      </c>
      <c r="D70" s="358">
        <v>663.53083800000002</v>
      </c>
      <c r="E70" s="360" t="s">
        <v>359</v>
      </c>
      <c r="G70" s="233" t="str">
        <f>LEFT('Nährstoffe und Lagerraum'!$P$5,3)</f>
        <v>0</v>
      </c>
      <c r="H70" s="233" t="str">
        <f t="shared" si="6"/>
        <v>0</v>
      </c>
      <c r="I70" s="233">
        <f t="shared" si="7"/>
        <v>0</v>
      </c>
      <c r="J70" s="358">
        <f t="shared" si="5"/>
        <v>0</v>
      </c>
      <c r="K70">
        <f t="shared" si="8"/>
        <v>0</v>
      </c>
    </row>
    <row r="71" spans="1:11" ht="15" x14ac:dyDescent="0.25">
      <c r="A71" s="361">
        <v>577</v>
      </c>
      <c r="B71" s="361" t="s">
        <v>428</v>
      </c>
      <c r="C71" s="361" t="s">
        <v>429</v>
      </c>
      <c r="D71" s="358">
        <v>698.06765800000005</v>
      </c>
      <c r="E71" s="360" t="s">
        <v>359</v>
      </c>
      <c r="G71" s="233" t="str">
        <f>LEFT('Nährstoffe und Lagerraum'!$P$5,3)</f>
        <v>0</v>
      </c>
      <c r="H71" s="233" t="str">
        <f t="shared" si="6"/>
        <v>0</v>
      </c>
      <c r="I71" s="233">
        <f t="shared" si="7"/>
        <v>0</v>
      </c>
      <c r="J71" s="358">
        <f t="shared" si="5"/>
        <v>0</v>
      </c>
      <c r="K71">
        <f t="shared" si="8"/>
        <v>0</v>
      </c>
    </row>
    <row r="72" spans="1:11" ht="15" x14ac:dyDescent="0.25">
      <c r="A72" s="361">
        <v>661</v>
      </c>
      <c r="B72" s="361" t="s">
        <v>430</v>
      </c>
      <c r="C72" s="361" t="s">
        <v>430</v>
      </c>
      <c r="D72" s="358">
        <v>653.116129</v>
      </c>
      <c r="E72" s="360" t="s">
        <v>359</v>
      </c>
      <c r="G72" s="233" t="str">
        <f>LEFT('Nährstoffe und Lagerraum'!$P$5,3)</f>
        <v>0</v>
      </c>
      <c r="H72" s="233" t="str">
        <f t="shared" si="6"/>
        <v>0</v>
      </c>
      <c r="I72" s="233">
        <f t="shared" si="7"/>
        <v>0</v>
      </c>
      <c r="J72" s="358">
        <f t="shared" si="5"/>
        <v>0</v>
      </c>
      <c r="K72">
        <f t="shared" si="8"/>
        <v>0</v>
      </c>
    </row>
    <row r="73" spans="1:11" ht="15" x14ac:dyDescent="0.25">
      <c r="A73" s="361">
        <v>662</v>
      </c>
      <c r="B73" s="361" t="s">
        <v>431</v>
      </c>
      <c r="C73" s="361" t="s">
        <v>431</v>
      </c>
      <c r="D73" s="358">
        <v>550.47714299999996</v>
      </c>
      <c r="E73" s="360" t="s">
        <v>359</v>
      </c>
      <c r="G73" s="233" t="str">
        <f>LEFT('Nährstoffe und Lagerraum'!$P$5,3)</f>
        <v>0</v>
      </c>
      <c r="H73" s="233" t="str">
        <f t="shared" si="6"/>
        <v>0</v>
      </c>
      <c r="I73" s="233">
        <f t="shared" si="7"/>
        <v>0</v>
      </c>
      <c r="J73" s="358">
        <f t="shared" si="5"/>
        <v>0</v>
      </c>
      <c r="K73">
        <f t="shared" si="8"/>
        <v>0</v>
      </c>
    </row>
    <row r="74" spans="1:11" ht="15" x14ac:dyDescent="0.25">
      <c r="A74" s="361">
        <v>663</v>
      </c>
      <c r="B74" s="361" t="s">
        <v>432</v>
      </c>
      <c r="C74" s="361" t="s">
        <v>433</v>
      </c>
      <c r="D74" s="358">
        <v>571.78681500000005</v>
      </c>
      <c r="E74" s="360" t="s">
        <v>359</v>
      </c>
      <c r="G74" s="233" t="str">
        <f>LEFT('Nährstoffe und Lagerraum'!$P$5,3)</f>
        <v>0</v>
      </c>
      <c r="H74" s="233" t="str">
        <f t="shared" si="6"/>
        <v>0</v>
      </c>
      <c r="I74" s="233">
        <f t="shared" si="7"/>
        <v>0</v>
      </c>
      <c r="J74" s="358">
        <f t="shared" si="5"/>
        <v>0</v>
      </c>
      <c r="K74">
        <f t="shared" si="8"/>
        <v>0</v>
      </c>
    </row>
    <row r="75" spans="1:11" ht="15" x14ac:dyDescent="0.25">
      <c r="A75" s="361">
        <v>671</v>
      </c>
      <c r="B75" s="361" t="s">
        <v>430</v>
      </c>
      <c r="C75" s="361" t="s">
        <v>430</v>
      </c>
      <c r="D75" s="358">
        <v>796.91510900000003</v>
      </c>
      <c r="E75" s="360" t="s">
        <v>359</v>
      </c>
      <c r="G75" s="233" t="str">
        <f>LEFT('Nährstoffe und Lagerraum'!$P$5,3)</f>
        <v>0</v>
      </c>
      <c r="H75" s="233" t="str">
        <f t="shared" si="6"/>
        <v>0</v>
      </c>
      <c r="I75" s="233">
        <f t="shared" si="7"/>
        <v>0</v>
      </c>
      <c r="J75" s="358">
        <f t="shared" si="5"/>
        <v>0</v>
      </c>
      <c r="K75">
        <f t="shared" si="8"/>
        <v>0</v>
      </c>
    </row>
    <row r="76" spans="1:11" ht="15" x14ac:dyDescent="0.25">
      <c r="A76" s="361">
        <v>672</v>
      </c>
      <c r="B76" s="361" t="s">
        <v>434</v>
      </c>
      <c r="C76" s="361" t="s">
        <v>434</v>
      </c>
      <c r="D76" s="358">
        <v>690.65356199999997</v>
      </c>
      <c r="E76" s="360" t="s">
        <v>359</v>
      </c>
      <c r="G76" s="233" t="str">
        <f>LEFT('Nährstoffe und Lagerraum'!$P$5,3)</f>
        <v>0</v>
      </c>
      <c r="H76" s="233" t="str">
        <f t="shared" si="6"/>
        <v>0</v>
      </c>
      <c r="I76" s="233">
        <f t="shared" si="7"/>
        <v>0</v>
      </c>
      <c r="J76" s="358">
        <f t="shared" si="5"/>
        <v>0</v>
      </c>
      <c r="K76">
        <f t="shared" si="8"/>
        <v>0</v>
      </c>
    </row>
    <row r="77" spans="1:11" ht="15" x14ac:dyDescent="0.25">
      <c r="A77" s="361">
        <v>673</v>
      </c>
      <c r="B77" s="361" t="s">
        <v>435</v>
      </c>
      <c r="C77" s="361" t="s">
        <v>436</v>
      </c>
      <c r="D77" s="358">
        <v>675.03013499999997</v>
      </c>
      <c r="E77" s="360" t="s">
        <v>359</v>
      </c>
      <c r="G77" s="233" t="str">
        <f>LEFT('Nährstoffe und Lagerraum'!$P$5,3)</f>
        <v>0</v>
      </c>
      <c r="H77" s="233" t="str">
        <f t="shared" si="6"/>
        <v>0</v>
      </c>
      <c r="I77" s="233">
        <f t="shared" si="7"/>
        <v>0</v>
      </c>
      <c r="J77" s="358">
        <f t="shared" si="5"/>
        <v>0</v>
      </c>
      <c r="K77">
        <f t="shared" si="8"/>
        <v>0</v>
      </c>
    </row>
    <row r="78" spans="1:11" ht="15" x14ac:dyDescent="0.25">
      <c r="A78" s="361">
        <v>674</v>
      </c>
      <c r="B78" s="361" t="s">
        <v>437</v>
      </c>
      <c r="C78" s="361" t="s">
        <v>438</v>
      </c>
      <c r="D78" s="358">
        <v>636.13746000000003</v>
      </c>
      <c r="E78" s="360" t="s">
        <v>359</v>
      </c>
      <c r="G78" s="233" t="str">
        <f>LEFT('Nährstoffe und Lagerraum'!$P$5,3)</f>
        <v>0</v>
      </c>
      <c r="H78" s="233" t="str">
        <f t="shared" si="6"/>
        <v>0</v>
      </c>
      <c r="I78" s="233">
        <f t="shared" si="7"/>
        <v>0</v>
      </c>
      <c r="J78" s="358">
        <f t="shared" si="5"/>
        <v>0</v>
      </c>
      <c r="K78">
        <f t="shared" si="8"/>
        <v>0</v>
      </c>
    </row>
    <row r="79" spans="1:11" ht="15" x14ac:dyDescent="0.25">
      <c r="A79" s="361">
        <v>675</v>
      </c>
      <c r="B79" s="361" t="s">
        <v>439</v>
      </c>
      <c r="C79" s="361" t="s">
        <v>439</v>
      </c>
      <c r="D79" s="358">
        <v>578.59883300000001</v>
      </c>
      <c r="E79" s="360" t="s">
        <v>359</v>
      </c>
      <c r="G79" s="233" t="str">
        <f>LEFT('Nährstoffe und Lagerraum'!$P$5,3)</f>
        <v>0</v>
      </c>
      <c r="H79" s="233" t="str">
        <f t="shared" si="6"/>
        <v>0</v>
      </c>
      <c r="I79" s="233">
        <f t="shared" si="7"/>
        <v>0</v>
      </c>
      <c r="J79" s="358">
        <f t="shared" si="5"/>
        <v>0</v>
      </c>
      <c r="K79">
        <f t="shared" si="8"/>
        <v>0</v>
      </c>
    </row>
    <row r="80" spans="1:11" ht="15" x14ac:dyDescent="0.25">
      <c r="A80" s="361">
        <v>676</v>
      </c>
      <c r="B80" s="361" t="s">
        <v>440</v>
      </c>
      <c r="C80" s="361" t="s">
        <v>440</v>
      </c>
      <c r="D80" s="358">
        <v>708.85569499999997</v>
      </c>
      <c r="E80" s="360" t="s">
        <v>359</v>
      </c>
      <c r="G80" s="233" t="str">
        <f>LEFT('Nährstoffe und Lagerraum'!$P$5,3)</f>
        <v>0</v>
      </c>
      <c r="H80" s="233" t="str">
        <f t="shared" si="6"/>
        <v>0</v>
      </c>
      <c r="I80" s="233">
        <f t="shared" si="7"/>
        <v>0</v>
      </c>
      <c r="J80" s="358">
        <f t="shared" si="5"/>
        <v>0</v>
      </c>
      <c r="K80">
        <f t="shared" si="8"/>
        <v>0</v>
      </c>
    </row>
    <row r="81" spans="1:11" ht="15" x14ac:dyDescent="0.25">
      <c r="A81" s="361">
        <v>677</v>
      </c>
      <c r="B81" s="361" t="s">
        <v>441</v>
      </c>
      <c r="C81" s="361" t="s">
        <v>441</v>
      </c>
      <c r="D81" s="358">
        <v>714.86358199999995</v>
      </c>
      <c r="E81" s="360" t="s">
        <v>359</v>
      </c>
      <c r="G81" s="233" t="str">
        <f>LEFT('Nährstoffe und Lagerraum'!$P$5,3)</f>
        <v>0</v>
      </c>
      <c r="H81" s="233" t="str">
        <f t="shared" si="6"/>
        <v>0</v>
      </c>
      <c r="I81" s="233">
        <f t="shared" si="7"/>
        <v>0</v>
      </c>
      <c r="J81" s="358">
        <f t="shared" si="5"/>
        <v>0</v>
      </c>
      <c r="K81">
        <f t="shared" si="8"/>
        <v>0</v>
      </c>
    </row>
    <row r="82" spans="1:11" ht="15" x14ac:dyDescent="0.25">
      <c r="A82" s="361">
        <v>678</v>
      </c>
      <c r="B82" s="361" t="s">
        <v>431</v>
      </c>
      <c r="C82" s="361" t="s">
        <v>431</v>
      </c>
      <c r="D82" s="358">
        <v>593.07196199999998</v>
      </c>
      <c r="E82" s="360" t="s">
        <v>359</v>
      </c>
      <c r="G82" s="233" t="str">
        <f>LEFT('Nährstoffe und Lagerraum'!$P$5,3)</f>
        <v>0</v>
      </c>
      <c r="H82" s="233" t="str">
        <f t="shared" si="6"/>
        <v>0</v>
      </c>
      <c r="I82" s="233">
        <f t="shared" si="7"/>
        <v>0</v>
      </c>
      <c r="J82" s="358">
        <f t="shared" si="5"/>
        <v>0</v>
      </c>
      <c r="K82">
        <f t="shared" si="8"/>
        <v>0</v>
      </c>
    </row>
    <row r="83" spans="1:11" ht="15" x14ac:dyDescent="0.25">
      <c r="A83" s="361">
        <v>679</v>
      </c>
      <c r="B83" s="361" t="s">
        <v>432</v>
      </c>
      <c r="C83" s="361" t="s">
        <v>433</v>
      </c>
      <c r="D83" s="358">
        <v>596.123695</v>
      </c>
      <c r="E83" s="360" t="s">
        <v>359</v>
      </c>
      <c r="G83" s="233" t="str">
        <f>LEFT('Nährstoffe und Lagerraum'!$P$5,3)</f>
        <v>0</v>
      </c>
      <c r="H83" s="233" t="str">
        <f t="shared" si="6"/>
        <v>0</v>
      </c>
      <c r="I83" s="233">
        <f t="shared" si="7"/>
        <v>0</v>
      </c>
      <c r="J83" s="358">
        <f t="shared" si="5"/>
        <v>0</v>
      </c>
      <c r="K83">
        <f t="shared" si="8"/>
        <v>0</v>
      </c>
    </row>
    <row r="84" spans="1:11" ht="15" x14ac:dyDescent="0.25">
      <c r="A84" s="361">
        <v>761</v>
      </c>
      <c r="B84" s="361" t="s">
        <v>442</v>
      </c>
      <c r="C84" s="361" t="s">
        <v>442</v>
      </c>
      <c r="D84" s="358">
        <v>784.74589200000003</v>
      </c>
      <c r="E84" s="360" t="s">
        <v>359</v>
      </c>
      <c r="G84" s="233" t="str">
        <f>LEFT('Nährstoffe und Lagerraum'!$P$5,3)</f>
        <v>0</v>
      </c>
      <c r="H84" s="233" t="str">
        <f t="shared" si="6"/>
        <v>0</v>
      </c>
      <c r="I84" s="233">
        <f t="shared" si="7"/>
        <v>0</v>
      </c>
      <c r="J84" s="358">
        <f t="shared" si="5"/>
        <v>0</v>
      </c>
      <c r="K84">
        <f t="shared" si="8"/>
        <v>0</v>
      </c>
    </row>
    <row r="85" spans="1:11" ht="15" x14ac:dyDescent="0.25">
      <c r="A85" s="361">
        <v>762</v>
      </c>
      <c r="B85" s="361" t="s">
        <v>443</v>
      </c>
      <c r="C85" s="361" t="s">
        <v>443</v>
      </c>
      <c r="D85" s="358">
        <v>1070.4261980000001</v>
      </c>
      <c r="E85" s="360" t="s">
        <v>359</v>
      </c>
      <c r="G85" s="233" t="str">
        <f>LEFT('Nährstoffe und Lagerraum'!$P$5,3)</f>
        <v>0</v>
      </c>
      <c r="H85" s="233" t="str">
        <f t="shared" si="6"/>
        <v>0</v>
      </c>
      <c r="I85" s="233">
        <f t="shared" si="7"/>
        <v>0</v>
      </c>
      <c r="J85" s="358">
        <f t="shared" si="5"/>
        <v>0</v>
      </c>
      <c r="K85">
        <f t="shared" si="8"/>
        <v>0</v>
      </c>
    </row>
    <row r="86" spans="1:11" ht="15" x14ac:dyDescent="0.25">
      <c r="A86" s="361">
        <v>763</v>
      </c>
      <c r="B86" s="361" t="s">
        <v>444</v>
      </c>
      <c r="C86" s="361" t="s">
        <v>445</v>
      </c>
      <c r="D86" s="358">
        <v>1267.7194099999999</v>
      </c>
      <c r="E86" s="360" t="s">
        <v>359</v>
      </c>
      <c r="G86" s="233" t="str">
        <f>LEFT('Nährstoffe und Lagerraum'!$P$5,3)</f>
        <v>0</v>
      </c>
      <c r="H86" s="233" t="str">
        <f t="shared" si="6"/>
        <v>0</v>
      </c>
      <c r="I86" s="233">
        <f t="shared" si="7"/>
        <v>0</v>
      </c>
      <c r="J86" s="358">
        <f t="shared" si="5"/>
        <v>0</v>
      </c>
      <c r="K86">
        <f t="shared" si="8"/>
        <v>0</v>
      </c>
    </row>
    <row r="87" spans="1:11" ht="15" x14ac:dyDescent="0.25">
      <c r="A87" s="361">
        <v>764</v>
      </c>
      <c r="B87" s="361" t="s">
        <v>446</v>
      </c>
      <c r="C87" s="361" t="s">
        <v>446</v>
      </c>
      <c r="D87" s="358">
        <v>954.05857200000003</v>
      </c>
      <c r="E87" s="360" t="s">
        <v>359</v>
      </c>
      <c r="G87" s="233" t="str">
        <f>LEFT('Nährstoffe und Lagerraum'!$P$5,3)</f>
        <v>0</v>
      </c>
      <c r="H87" s="233" t="str">
        <f t="shared" si="6"/>
        <v>0</v>
      </c>
      <c r="I87" s="233">
        <f t="shared" si="7"/>
        <v>0</v>
      </c>
      <c r="J87" s="358">
        <f t="shared" si="5"/>
        <v>0</v>
      </c>
      <c r="K87">
        <f t="shared" si="8"/>
        <v>0</v>
      </c>
    </row>
    <row r="88" spans="1:11" ht="15" x14ac:dyDescent="0.25">
      <c r="A88" s="361">
        <v>771</v>
      </c>
      <c r="B88" s="361" t="s">
        <v>447</v>
      </c>
      <c r="C88" s="361" t="s">
        <v>447</v>
      </c>
      <c r="D88" s="358">
        <v>783.19884500000001</v>
      </c>
      <c r="E88" s="360" t="s">
        <v>359</v>
      </c>
      <c r="G88" s="233" t="str">
        <f>LEFT('Nährstoffe und Lagerraum'!$P$5,3)</f>
        <v>0</v>
      </c>
      <c r="H88" s="233" t="str">
        <f t="shared" si="6"/>
        <v>0</v>
      </c>
      <c r="I88" s="233">
        <f t="shared" si="7"/>
        <v>0</v>
      </c>
      <c r="J88" s="358">
        <f t="shared" si="5"/>
        <v>0</v>
      </c>
      <c r="K88">
        <f t="shared" si="8"/>
        <v>0</v>
      </c>
    </row>
    <row r="89" spans="1:11" ht="15" x14ac:dyDescent="0.25">
      <c r="A89" s="361">
        <v>772</v>
      </c>
      <c r="B89" s="361" t="s">
        <v>442</v>
      </c>
      <c r="C89" s="361" t="s">
        <v>442</v>
      </c>
      <c r="D89" s="358">
        <v>815.15079000000003</v>
      </c>
      <c r="E89" s="360" t="s">
        <v>359</v>
      </c>
      <c r="G89" s="233" t="str">
        <f>LEFT('Nährstoffe und Lagerraum'!$P$5,3)</f>
        <v>0</v>
      </c>
      <c r="H89" s="233" t="str">
        <f t="shared" si="6"/>
        <v>0</v>
      </c>
      <c r="I89" s="233">
        <f t="shared" si="7"/>
        <v>0</v>
      </c>
      <c r="J89" s="358">
        <f t="shared" si="5"/>
        <v>0</v>
      </c>
      <c r="K89">
        <f t="shared" si="8"/>
        <v>0</v>
      </c>
    </row>
    <row r="90" spans="1:11" ht="15" x14ac:dyDescent="0.25">
      <c r="A90" s="361">
        <v>773</v>
      </c>
      <c r="B90" s="361" t="s">
        <v>448</v>
      </c>
      <c r="C90" s="361" t="s">
        <v>448</v>
      </c>
      <c r="D90" s="358">
        <v>686.38991199999998</v>
      </c>
      <c r="E90" s="360" t="s">
        <v>359</v>
      </c>
      <c r="G90" s="233" t="str">
        <f>LEFT('Nährstoffe und Lagerraum'!$P$5,3)</f>
        <v>0</v>
      </c>
      <c r="H90" s="233" t="str">
        <f t="shared" si="6"/>
        <v>0</v>
      </c>
      <c r="I90" s="233">
        <f t="shared" si="7"/>
        <v>0</v>
      </c>
      <c r="J90" s="358">
        <f t="shared" si="5"/>
        <v>0</v>
      </c>
      <c r="K90">
        <f t="shared" si="8"/>
        <v>0</v>
      </c>
    </row>
    <row r="91" spans="1:11" ht="15" x14ac:dyDescent="0.25">
      <c r="A91" s="361">
        <v>774</v>
      </c>
      <c r="B91" s="361" t="s">
        <v>449</v>
      </c>
      <c r="C91" s="361" t="s">
        <v>450</v>
      </c>
      <c r="D91" s="358">
        <v>779.68375300000002</v>
      </c>
      <c r="E91" s="360" t="s">
        <v>359</v>
      </c>
      <c r="G91" s="233" t="str">
        <f>LEFT('Nährstoffe und Lagerraum'!$P$5,3)</f>
        <v>0</v>
      </c>
      <c r="H91" s="233" t="str">
        <f t="shared" si="6"/>
        <v>0</v>
      </c>
      <c r="I91" s="233">
        <f t="shared" si="7"/>
        <v>0</v>
      </c>
      <c r="J91" s="358">
        <f t="shared" si="5"/>
        <v>0</v>
      </c>
      <c r="K91">
        <f t="shared" si="8"/>
        <v>0</v>
      </c>
    </row>
    <row r="92" spans="1:11" ht="15" x14ac:dyDescent="0.25">
      <c r="A92" s="361">
        <v>775</v>
      </c>
      <c r="B92" s="361" t="s">
        <v>451</v>
      </c>
      <c r="C92" s="361" t="s">
        <v>451</v>
      </c>
      <c r="D92" s="358">
        <v>783.64961700000003</v>
      </c>
      <c r="E92" s="360" t="s">
        <v>359</v>
      </c>
      <c r="G92" s="233" t="str">
        <f>LEFT('Nährstoffe und Lagerraum'!$P$5,3)</f>
        <v>0</v>
      </c>
      <c r="H92" s="233" t="str">
        <f t="shared" si="6"/>
        <v>0</v>
      </c>
      <c r="I92" s="233">
        <f t="shared" si="7"/>
        <v>0</v>
      </c>
      <c r="J92" s="358">
        <f t="shared" si="5"/>
        <v>0</v>
      </c>
      <c r="K92">
        <f t="shared" si="8"/>
        <v>0</v>
      </c>
    </row>
    <row r="93" spans="1:11" ht="15" x14ac:dyDescent="0.25">
      <c r="A93" s="361">
        <v>776</v>
      </c>
      <c r="B93" s="361" t="s">
        <v>452</v>
      </c>
      <c r="C93" s="361" t="s">
        <v>452</v>
      </c>
      <c r="D93" s="358">
        <v>1552.55107</v>
      </c>
      <c r="E93" s="360" t="s">
        <v>359</v>
      </c>
      <c r="G93" s="233" t="str">
        <f>LEFT('Nährstoffe und Lagerraum'!$P$5,3)</f>
        <v>0</v>
      </c>
      <c r="H93" s="233" t="str">
        <f t="shared" si="6"/>
        <v>0</v>
      </c>
      <c r="I93" s="233">
        <f t="shared" si="7"/>
        <v>0</v>
      </c>
      <c r="J93" s="358">
        <f t="shared" si="5"/>
        <v>0</v>
      </c>
      <c r="K93">
        <f t="shared" si="8"/>
        <v>0</v>
      </c>
    </row>
    <row r="94" spans="1:11" ht="15" x14ac:dyDescent="0.25">
      <c r="A94" s="361">
        <v>777</v>
      </c>
      <c r="B94" s="361" t="s">
        <v>453</v>
      </c>
      <c r="C94" s="361" t="s">
        <v>454</v>
      </c>
      <c r="D94" s="358">
        <v>1239.5021609999999</v>
      </c>
      <c r="E94" s="360" t="s">
        <v>359</v>
      </c>
      <c r="G94" s="233" t="str">
        <f>LEFT('Nährstoffe und Lagerraum'!$P$5,3)</f>
        <v>0</v>
      </c>
      <c r="H94" s="233" t="str">
        <f t="shared" si="6"/>
        <v>0</v>
      </c>
      <c r="I94" s="233">
        <f t="shared" si="7"/>
        <v>0</v>
      </c>
      <c r="J94" s="358">
        <f t="shared" si="5"/>
        <v>0</v>
      </c>
      <c r="K94">
        <f t="shared" si="8"/>
        <v>0</v>
      </c>
    </row>
    <row r="95" spans="1:11" ht="15" x14ac:dyDescent="0.25">
      <c r="A95" s="361">
        <v>778</v>
      </c>
      <c r="B95" s="361" t="s">
        <v>455</v>
      </c>
      <c r="C95" s="361" t="s">
        <v>456</v>
      </c>
      <c r="D95" s="358">
        <v>957.17201999999997</v>
      </c>
      <c r="E95" s="360" t="s">
        <v>359</v>
      </c>
      <c r="G95" s="233" t="str">
        <f>LEFT('Nährstoffe und Lagerraum'!$P$5,3)</f>
        <v>0</v>
      </c>
      <c r="H95" s="233" t="str">
        <f t="shared" si="6"/>
        <v>0</v>
      </c>
      <c r="I95" s="233">
        <f t="shared" si="7"/>
        <v>0</v>
      </c>
      <c r="J95" s="358">
        <f t="shared" si="5"/>
        <v>0</v>
      </c>
      <c r="K95">
        <f t="shared" si="8"/>
        <v>0</v>
      </c>
    </row>
    <row r="96" spans="1:11" ht="15" x14ac:dyDescent="0.25">
      <c r="A96" s="361">
        <v>779</v>
      </c>
      <c r="B96" s="361" t="s">
        <v>457</v>
      </c>
      <c r="C96" s="361" t="s">
        <v>457</v>
      </c>
      <c r="D96" s="358">
        <v>684.44976599999995</v>
      </c>
      <c r="E96" s="360" t="s">
        <v>359</v>
      </c>
      <c r="G96" s="233" t="str">
        <f>LEFT('Nährstoffe und Lagerraum'!$P$5,3)</f>
        <v>0</v>
      </c>
      <c r="H96" s="233" t="str">
        <f t="shared" si="6"/>
        <v>0</v>
      </c>
      <c r="I96" s="233">
        <f t="shared" si="7"/>
        <v>0</v>
      </c>
      <c r="J96" s="358">
        <f t="shared" si="5"/>
        <v>0</v>
      </c>
      <c r="K96">
        <f t="shared" si="8"/>
        <v>0</v>
      </c>
    </row>
    <row r="97" spans="1:12" ht="15" x14ac:dyDescent="0.25">
      <c r="A97" s="361">
        <v>780</v>
      </c>
      <c r="B97" s="361" t="s">
        <v>458</v>
      </c>
      <c r="C97" s="361" t="s">
        <v>459</v>
      </c>
      <c r="D97" s="358">
        <v>1765.1118100000001</v>
      </c>
      <c r="E97" s="360" t="s">
        <v>359</v>
      </c>
      <c r="G97" s="233" t="str">
        <f>LEFT('Nährstoffe und Lagerraum'!$P$5,3)</f>
        <v>0</v>
      </c>
      <c r="H97" s="233" t="str">
        <f t="shared" si="6"/>
        <v>0</v>
      </c>
      <c r="I97" s="233">
        <f t="shared" si="7"/>
        <v>0</v>
      </c>
      <c r="J97" s="358">
        <f t="shared" si="5"/>
        <v>0</v>
      </c>
      <c r="K97">
        <f t="shared" si="8"/>
        <v>0</v>
      </c>
    </row>
    <row r="98" spans="1:12" x14ac:dyDescent="0.2">
      <c r="K98">
        <f>SUM(K2:K97)</f>
        <v>0</v>
      </c>
      <c r="L98">
        <f>IF(K98&gt;0,K98,0)</f>
        <v>0</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1756-AA94-4912-9644-F031ED07CE22}">
  <sheetPr codeName="Tabelle11"/>
  <dimension ref="B1:S42"/>
  <sheetViews>
    <sheetView showGridLines="0" showWhiteSpace="0" zoomScaleNormal="100" workbookViewId="0">
      <selection activeCell="D15" sqref="D15:E15"/>
    </sheetView>
  </sheetViews>
  <sheetFormatPr baseColWidth="10" defaultColWidth="5.42578125" defaultRowHeight="12.75" x14ac:dyDescent="0.2"/>
  <cols>
    <col min="1" max="1" width="1.42578125" style="386" customWidth="1"/>
    <col min="2" max="2" width="8.28515625" style="386" customWidth="1"/>
    <col min="3" max="3" width="17.85546875" style="386" customWidth="1"/>
    <col min="4" max="4" width="8.28515625" style="386" customWidth="1"/>
    <col min="5" max="10" width="7.5703125" style="386" customWidth="1"/>
    <col min="11" max="11" width="4.140625" style="386" customWidth="1"/>
    <col min="12" max="12" width="7.5703125" style="386" customWidth="1"/>
    <col min="13" max="13" width="4.85546875" style="386" customWidth="1"/>
    <col min="14" max="17" width="5.42578125" style="386"/>
    <col min="18" max="18" width="10.85546875" style="386" hidden="1" customWidth="1"/>
    <col min="19" max="16384" width="5.42578125" style="386"/>
  </cols>
  <sheetData>
    <row r="1" spans="2:10" ht="14.45" customHeight="1" x14ac:dyDescent="0.2">
      <c r="B1" s="1107"/>
      <c r="C1" s="1107"/>
      <c r="D1" s="1107"/>
      <c r="E1" s="1107"/>
      <c r="F1" s="1107"/>
      <c r="G1" s="1107"/>
      <c r="H1" s="1107"/>
    </row>
    <row r="2" spans="2:10" ht="8.25" customHeight="1" x14ac:dyDescent="0.2">
      <c r="B2" s="1107"/>
      <c r="C2" s="1107"/>
      <c r="D2" s="1107"/>
      <c r="E2" s="1107"/>
      <c r="F2" s="1107"/>
      <c r="G2" s="1107"/>
      <c r="H2" s="1107"/>
    </row>
    <row r="3" spans="2:10" ht="15.75" customHeight="1" x14ac:dyDescent="0.2">
      <c r="B3" s="1654" t="str">
        <f>CONCATENATE("Deklaration des Wirtschaftsdüngers 
aus Berechnung Lagerraum und Nährstoffanfall ",'Nährstoffe und Lagerraum'!$D$5)</f>
        <v>Deklaration des Wirtschaftsdüngers 
aus Berechnung Lagerraum und Nährstoffanfall 2024</v>
      </c>
      <c r="C3" s="1654"/>
      <c r="D3" s="1654"/>
      <c r="E3" s="1654"/>
      <c r="F3" s="1654"/>
      <c r="G3" s="1654"/>
      <c r="H3" s="1654"/>
      <c r="I3" s="1080"/>
      <c r="J3" s="1080"/>
    </row>
    <row r="4" spans="2:10" ht="15.75" customHeight="1" x14ac:dyDescent="0.2">
      <c r="B4" s="1654"/>
      <c r="C4" s="1654"/>
      <c r="D4" s="1654"/>
      <c r="E4" s="1654"/>
      <c r="F4" s="1654"/>
      <c r="G4" s="1654"/>
      <c r="H4" s="1654"/>
      <c r="I4" s="1080"/>
      <c r="J4" s="1080"/>
    </row>
    <row r="5" spans="2:10" ht="15.75" customHeight="1" x14ac:dyDescent="0.2">
      <c r="C5" s="1080"/>
      <c r="D5" s="1080"/>
      <c r="E5" s="1080"/>
      <c r="F5" s="1080"/>
      <c r="G5" s="1080"/>
      <c r="H5" s="1080"/>
    </row>
    <row r="6" spans="2:10" ht="15.75" customHeight="1" x14ac:dyDescent="0.2"/>
    <row r="7" spans="2:10" ht="15.75" customHeight="1" x14ac:dyDescent="0.2">
      <c r="B7" s="979" t="s">
        <v>7881</v>
      </c>
    </row>
    <row r="8" spans="2:10" ht="15.75" customHeight="1" x14ac:dyDescent="0.2"/>
    <row r="9" spans="2:10" ht="15.75" customHeight="1" x14ac:dyDescent="0.2">
      <c r="B9" s="386" t="str">
        <f>IF('Nährstoffe und Lagerraum'!B6="","",'Nährstoffe und Lagerraum'!B6)</f>
        <v/>
      </c>
      <c r="G9" s="1109" t="s">
        <v>12</v>
      </c>
      <c r="I9" s="977" t="str">
        <f>IF('Nährstoffe und Lagerraum'!B5="","",'Nährstoffe und Lagerraum'!B5)</f>
        <v/>
      </c>
    </row>
    <row r="10" spans="2:10" ht="15.75" customHeight="1" x14ac:dyDescent="0.2">
      <c r="B10" s="386" t="str">
        <f>IF('Nährstoffe und Lagerraum'!B8="","",'Nährstoffe und Lagerraum'!B8)</f>
        <v/>
      </c>
      <c r="G10" s="386" t="str">
        <f>IF('Nährstoffe und Lagerraum'!B10="","","Telefon:")</f>
        <v/>
      </c>
      <c r="I10" s="386" t="str">
        <f>IF('Nährstoffe und Lagerraum'!B10="","",'Nährstoffe und Lagerraum'!B10)</f>
        <v/>
      </c>
    </row>
    <row r="11" spans="2:10" ht="15.75" customHeight="1" x14ac:dyDescent="0.2">
      <c r="B11" s="386" t="str">
        <f>IF('Nährstoffe und Lagerraum'!B9="","",'Nährstoffe und Lagerraum'!B9)</f>
        <v/>
      </c>
    </row>
    <row r="12" spans="2:10" ht="15.75" customHeight="1" x14ac:dyDescent="0.2"/>
    <row r="13" spans="2:10" ht="15.75" customHeight="1" x14ac:dyDescent="0.2"/>
    <row r="14" spans="2:10" ht="15.75" customHeight="1" x14ac:dyDescent="0.2"/>
    <row r="15" spans="2:10" ht="15.75" customHeight="1" x14ac:dyDescent="0.2">
      <c r="B15" s="1109" t="s">
        <v>7929</v>
      </c>
      <c r="D15" s="1670"/>
      <c r="E15" s="1671"/>
    </row>
    <row r="16" spans="2:10" ht="5.25" customHeight="1" x14ac:dyDescent="0.2">
      <c r="B16" s="1102"/>
    </row>
    <row r="17" spans="2:19" ht="15.75" customHeight="1" x14ac:dyDescent="0.2">
      <c r="B17" s="1102" t="s">
        <v>7882</v>
      </c>
      <c r="D17" s="1661"/>
      <c r="E17" s="1662"/>
      <c r="F17" s="1662"/>
      <c r="G17" s="1662"/>
      <c r="H17" s="1662"/>
      <c r="I17" s="1662"/>
      <c r="J17" s="1663"/>
    </row>
    <row r="18" spans="2:19" ht="15.75" customHeight="1" x14ac:dyDescent="0.2">
      <c r="B18" s="1102"/>
      <c r="D18" s="1664"/>
      <c r="E18" s="1665"/>
      <c r="F18" s="1665"/>
      <c r="G18" s="1665"/>
      <c r="H18" s="1665"/>
      <c r="I18" s="1665"/>
      <c r="J18" s="1666"/>
    </row>
    <row r="19" spans="2:19" ht="15.75" customHeight="1" x14ac:dyDescent="0.2">
      <c r="B19" s="1110"/>
      <c r="C19" s="491"/>
      <c r="D19" s="1667"/>
      <c r="E19" s="1668"/>
      <c r="F19" s="1668"/>
      <c r="G19" s="1668"/>
      <c r="H19" s="1668"/>
      <c r="I19" s="1668"/>
      <c r="J19" s="1669"/>
      <c r="S19" s="1084"/>
    </row>
    <row r="20" spans="2:19" ht="15.75" customHeight="1" x14ac:dyDescent="0.2"/>
    <row r="21" spans="2:19" ht="15.75" customHeight="1" x14ac:dyDescent="0.2">
      <c r="B21" s="979" t="s">
        <v>7884</v>
      </c>
    </row>
    <row r="22" spans="2:19" ht="15.75" customHeight="1" x14ac:dyDescent="0.2">
      <c r="B22" s="1672" t="s">
        <v>7925</v>
      </c>
      <c r="C22" s="1672"/>
      <c r="D22" s="1672"/>
      <c r="E22" s="1672"/>
      <c r="F22" s="1672"/>
      <c r="G22" s="1672"/>
      <c r="H22" s="1672"/>
      <c r="I22" s="1672"/>
      <c r="J22" s="1672"/>
    </row>
    <row r="23" spans="2:19" customFormat="1" ht="15.75" customHeight="1" x14ac:dyDescent="0.2">
      <c r="B23" s="1673"/>
      <c r="C23" s="1673"/>
      <c r="D23" s="1673"/>
      <c r="E23" s="1673"/>
      <c r="F23" s="1673"/>
      <c r="G23" s="1673"/>
      <c r="H23" s="1673"/>
      <c r="I23" s="1673"/>
      <c r="J23" s="1673"/>
      <c r="M23" s="979" t="s">
        <v>7877</v>
      </c>
    </row>
    <row r="24" spans="2:19" ht="15.75" customHeight="1" x14ac:dyDescent="0.2">
      <c r="B24" s="1676" t="s">
        <v>488</v>
      </c>
      <c r="C24" s="981" t="s">
        <v>249</v>
      </c>
      <c r="D24" s="1676" t="s">
        <v>329</v>
      </c>
      <c r="E24" s="1679" t="s">
        <v>7885</v>
      </c>
      <c r="F24" s="1679"/>
      <c r="G24" s="1679"/>
      <c r="H24" s="1679"/>
      <c r="I24" s="1656" t="s">
        <v>7887</v>
      </c>
      <c r="J24" s="1657"/>
      <c r="K24" s="980"/>
      <c r="M24" s="386" t="s">
        <v>7923</v>
      </c>
    </row>
    <row r="25" spans="2:19" ht="15.75" customHeight="1" x14ac:dyDescent="0.2">
      <c r="B25" s="1677"/>
      <c r="C25" s="1674" t="str">
        <f>IF(B28="","","für Stallmist bitte ausfüllen")</f>
        <v/>
      </c>
      <c r="D25" s="1677"/>
      <c r="E25" s="1658" t="s">
        <v>7886</v>
      </c>
      <c r="F25" s="1658"/>
      <c r="G25" s="1658"/>
      <c r="H25" s="1658"/>
      <c r="I25" s="1659" t="s">
        <v>38</v>
      </c>
      <c r="J25" s="1660"/>
      <c r="K25" s="980"/>
      <c r="L25" s="980"/>
      <c r="M25" s="1101" t="s">
        <v>7924</v>
      </c>
    </row>
    <row r="26" spans="2:19" ht="15.75" customHeight="1" x14ac:dyDescent="0.2">
      <c r="B26" s="1678"/>
      <c r="C26" s="1675"/>
      <c r="D26" s="1678"/>
      <c r="E26" s="960" t="s">
        <v>4</v>
      </c>
      <c r="F26" s="519" t="s">
        <v>518</v>
      </c>
      <c r="G26" s="960" t="s">
        <v>349</v>
      </c>
      <c r="H26" s="519" t="s">
        <v>350</v>
      </c>
      <c r="I26" s="960" t="s">
        <v>4</v>
      </c>
      <c r="J26" s="960" t="s">
        <v>349</v>
      </c>
      <c r="K26" s="526"/>
      <c r="L26" s="526"/>
      <c r="R26" s="386" t="s">
        <v>7880</v>
      </c>
    </row>
    <row r="27" spans="2:19" ht="15.75" customHeight="1" x14ac:dyDescent="0.2">
      <c r="B27" s="1008" t="str">
        <f>IF(OR($R27=FALSE,'Nährstoffe und Lagerraum'!$I$47=" ",'Nährstoffe und Lagerraum'!B89&lt;0.1),"",RIGHT('Nährstoffe und Lagerraum'!$AA$54,6))</f>
        <v/>
      </c>
      <c r="C27" s="1009" t="str">
        <f>IF($B27="","",'Nährstoffe und Lagerraum'!$Y$54)</f>
        <v/>
      </c>
      <c r="D27" s="1010" t="str">
        <f>IF($B27="","",'Nährstoffe und Lagerraum'!C50)</f>
        <v/>
      </c>
      <c r="E27" s="1010" t="str">
        <f>IF($B27="","",'Nährstoffe und Lagerraum'!D50)</f>
        <v/>
      </c>
      <c r="F27" s="1010" t="str">
        <f>IF($B27="","",'Nährstoffe und Lagerraum'!E50)</f>
        <v/>
      </c>
      <c r="G27" s="1010" t="str">
        <f>IF($B27="","",'Nährstoffe und Lagerraum'!F50)</f>
        <v/>
      </c>
      <c r="H27" s="1010" t="str">
        <f>IF($B27="","",'Nährstoffe und Lagerraum'!G50)</f>
        <v/>
      </c>
      <c r="I27" s="1009" t="str">
        <f>IF($B27="","",100)</f>
        <v/>
      </c>
      <c r="J27" s="1011" t="str">
        <f>IF($B27="","",100)</f>
        <v/>
      </c>
      <c r="K27" s="701"/>
      <c r="M27" s="976"/>
      <c r="N27" s="386" t="s">
        <v>465</v>
      </c>
      <c r="R27" s="982" t="b">
        <v>1</v>
      </c>
    </row>
    <row r="28" spans="2:19" ht="15.75" customHeight="1" x14ac:dyDescent="0.2">
      <c r="B28" s="1012" t="str">
        <f>IF(OR('Nährstoffe und Lagerraum'!J46=" ",$R28=FALSE),"","Stallmist")</f>
        <v/>
      </c>
      <c r="C28" s="1085"/>
      <c r="D28" s="1079" t="str">
        <f>IF($R28=FALSE,"",'Nährstoffe und Lagerraum'!C51)</f>
        <v xml:space="preserve"> </v>
      </c>
      <c r="E28" s="1079" t="str">
        <f>IF($R28=FALSE,"",'Nährstoffe und Lagerraum'!D51)</f>
        <v xml:space="preserve"> </v>
      </c>
      <c r="F28" s="1079" t="str">
        <f>IF($R28=FALSE,"",'Nährstoffe und Lagerraum'!E51)</f>
        <v xml:space="preserve"> </v>
      </c>
      <c r="G28" s="1079" t="str">
        <f>IF($R28=FALSE,"",'Nährstoffe und Lagerraum'!F51)</f>
        <v xml:space="preserve"> </v>
      </c>
      <c r="H28" s="1079" t="str">
        <f>IF($R28=FALSE,"",'Nährstoffe und Lagerraum'!G51)</f>
        <v xml:space="preserve"> </v>
      </c>
      <c r="I28" s="526" t="str">
        <f>IF($B28="","",100)</f>
        <v/>
      </c>
      <c r="J28" s="1013" t="str">
        <f>IF($B28="","",100)</f>
        <v/>
      </c>
      <c r="K28" s="701"/>
      <c r="M28" s="976"/>
      <c r="N28" s="386" t="s">
        <v>195</v>
      </c>
      <c r="R28" s="982" t="b">
        <v>1</v>
      </c>
    </row>
    <row r="29" spans="2:19" ht="15.75" customHeight="1" x14ac:dyDescent="0.2">
      <c r="B29" s="1012" t="str">
        <f>IF(OR('Nährstoffe und Lagerraum'!$F$91="",$R29=FALSE),"",CONCATENATE(RIGHT('Nährstoffe und Lagerraum'!$AA$54,6),"*"))</f>
        <v/>
      </c>
      <c r="C29" s="1077" t="str">
        <f>IF($B29="","",'Nährstoffe und Lagerraum'!$Y$54)</f>
        <v/>
      </c>
      <c r="D29" s="1079" t="str">
        <f>IF($B29="","",'Nährstoffe und Lagerraum'!F90)</f>
        <v/>
      </c>
      <c r="E29" s="1079" t="str">
        <f>IF($B29="","",'Nährstoffe und Lagerraum'!F91)</f>
        <v/>
      </c>
      <c r="F29" s="1079" t="str">
        <f>IF($B29="","",'Nährstoffe und Lagerraum'!F92)</f>
        <v/>
      </c>
      <c r="G29" s="1079" t="str">
        <f>IF($B29="","",'Nährstoffe und Lagerraum'!F93)</f>
        <v/>
      </c>
      <c r="H29" s="1079" t="str">
        <f>IF($B29="","",'Nährstoffe und Lagerraum'!F94)</f>
        <v/>
      </c>
      <c r="I29" s="1077" t="str">
        <f t="shared" ref="I29:J31" si="0">IF($B29="","",100)</f>
        <v/>
      </c>
      <c r="J29" s="1013" t="str">
        <f t="shared" si="0"/>
        <v/>
      </c>
      <c r="K29" s="701"/>
      <c r="M29" s="976"/>
      <c r="N29" s="386" t="s">
        <v>7878</v>
      </c>
      <c r="R29" s="982" t="b">
        <v>1</v>
      </c>
    </row>
    <row r="30" spans="2:19" ht="15.75" customHeight="1" x14ac:dyDescent="0.2">
      <c r="B30" s="1012" t="str">
        <f>IF(OR('Nährstoffe und Lagerraum'!$J$91="",$R30=FALSE),"",CONCATENATE(RIGHT('Nährstoffe und Lagerraum'!$AA$54,6),"**"))</f>
        <v/>
      </c>
      <c r="C30" s="1077" t="str">
        <f>IF($B30="","",'Nährstoffe und Lagerraum'!$Y$54)</f>
        <v/>
      </c>
      <c r="D30" s="1079" t="str">
        <f>IF($B30="","",'Nährstoffe und Lagerraum'!J90)</f>
        <v/>
      </c>
      <c r="E30" s="1079" t="str">
        <f>IF($B30="","",'Nährstoffe und Lagerraum'!J91)</f>
        <v/>
      </c>
      <c r="F30" s="1079" t="str">
        <f>IF($B30="","",'Nährstoffe und Lagerraum'!J92)</f>
        <v/>
      </c>
      <c r="G30" s="1079" t="str">
        <f>IF($B30="","",'Nährstoffe und Lagerraum'!J93)</f>
        <v/>
      </c>
      <c r="H30" s="1079" t="str">
        <f>IF($B30="","",'Nährstoffe und Lagerraum'!J94)</f>
        <v/>
      </c>
      <c r="I30" s="1077" t="str">
        <f t="shared" si="0"/>
        <v/>
      </c>
      <c r="J30" s="1013" t="str">
        <f t="shared" si="0"/>
        <v/>
      </c>
      <c r="K30" s="701"/>
      <c r="M30" s="976"/>
      <c r="N30" s="386" t="s">
        <v>7879</v>
      </c>
      <c r="R30" s="982" t="b">
        <v>1</v>
      </c>
    </row>
    <row r="31" spans="2:19" ht="15.75" customHeight="1" x14ac:dyDescent="0.2">
      <c r="B31" s="1014" t="str">
        <f>IF(OR('Nährstoffe und Lagerraum'!$F$91="",$R31=FALSE,'Nährstoffe und Lagerraum'!B89&lt;0.1),"",CONCATENATE(RIGHT('Nährstoffe und Lagerraum'!$AA$54,6),"***"))</f>
        <v/>
      </c>
      <c r="C31" s="1015" t="str">
        <f>IF($B31="","",'Nährstoffe und Lagerraum'!$Y$54)</f>
        <v/>
      </c>
      <c r="D31" s="1016" t="str">
        <f>IF($B31="","",'Nährstoffe und Lagerraum'!C98)</f>
        <v/>
      </c>
      <c r="E31" s="1016" t="str">
        <f>IF($B31="","",'Nährstoffe und Lagerraum'!C99)</f>
        <v/>
      </c>
      <c r="F31" s="1016" t="str">
        <f>IF($B31="","",'Nährstoffe und Lagerraum'!C100)</f>
        <v/>
      </c>
      <c r="G31" s="1016" t="str">
        <f>IF($B31="","",'Nährstoffe und Lagerraum'!C101)</f>
        <v/>
      </c>
      <c r="H31" s="1016" t="str">
        <f>IF($B31="","",'Nährstoffe und Lagerraum'!C102)</f>
        <v/>
      </c>
      <c r="I31" s="1015" t="str">
        <f t="shared" si="0"/>
        <v/>
      </c>
      <c r="J31" s="1017" t="str">
        <f t="shared" si="0"/>
        <v/>
      </c>
      <c r="K31" s="701"/>
      <c r="M31" s="976"/>
      <c r="N31" s="491" t="s">
        <v>7883</v>
      </c>
      <c r="R31" s="982" t="b">
        <v>1</v>
      </c>
    </row>
    <row r="32" spans="2:19" ht="15.75" customHeight="1" x14ac:dyDescent="0.2">
      <c r="B32" s="386" t="str">
        <f>IF(B29="","","* Separiert, flüssiger Wirtschaftsdünger")</f>
        <v/>
      </c>
    </row>
    <row r="33" spans="2:10" x14ac:dyDescent="0.2">
      <c r="B33" s="386" t="str">
        <f>IF(B30="","","** Separiert, fester Wirtschaftsdünger")</f>
        <v/>
      </c>
    </row>
    <row r="34" spans="2:10" x14ac:dyDescent="0.2">
      <c r="B34" s="386" t="str">
        <f>IF(B31="","","*** Separiert, flüssiger Wirtschaftsdünger gemischt mit nicht separierter Gülle")</f>
        <v/>
      </c>
    </row>
    <row r="36" spans="2:10" x14ac:dyDescent="0.2">
      <c r="D36" s="978"/>
    </row>
    <row r="37" spans="2:10" ht="13.15" customHeight="1" x14ac:dyDescent="0.2">
      <c r="B37" s="1655" t="str">
        <f>CONCATENATE("Ändert sich der Tierbestand um ≤ 15 %, dürfen diese Nährstoffgehalte maximal bis Ablauf des Kalenderjahres ",'Nährstoffe und Lagerraum'!D5+1," für die Deklaration und Düngebedarfsermittlung verwendet werden.")</f>
        <v>Ändert sich der Tierbestand um ≤ 15 %, dürfen diese Nährstoffgehalte maximal bis Ablauf des Kalenderjahres 2025 für die Deklaration und Düngebedarfsermittlung verwendet werden.</v>
      </c>
      <c r="C37" s="1655"/>
      <c r="D37" s="1655"/>
      <c r="E37" s="1655"/>
      <c r="F37" s="1655"/>
      <c r="G37" s="1655"/>
      <c r="H37" s="1655"/>
      <c r="I37" s="1655"/>
      <c r="J37" s="1655"/>
    </row>
    <row r="38" spans="2:10" x14ac:dyDescent="0.2">
      <c r="B38" s="1655"/>
      <c r="C38" s="1655"/>
      <c r="D38" s="1655"/>
      <c r="E38" s="1655"/>
      <c r="F38" s="1655"/>
      <c r="G38" s="1655"/>
      <c r="H38" s="1655"/>
      <c r="I38" s="1655"/>
      <c r="J38" s="1655"/>
    </row>
    <row r="39" spans="2:10" x14ac:dyDescent="0.2">
      <c r="B39" s="1655"/>
      <c r="C39" s="1655"/>
      <c r="D39" s="1655"/>
      <c r="E39" s="1655"/>
      <c r="F39" s="1655"/>
      <c r="G39" s="1655"/>
      <c r="H39" s="1655"/>
      <c r="I39" s="1655"/>
      <c r="J39" s="1655"/>
    </row>
    <row r="40" spans="2:10" x14ac:dyDescent="0.2">
      <c r="B40" s="1655"/>
      <c r="C40" s="1655"/>
      <c r="D40" s="1655"/>
      <c r="E40" s="1655"/>
      <c r="F40" s="1655"/>
      <c r="G40" s="1655"/>
      <c r="H40" s="1655"/>
      <c r="I40" s="1655"/>
      <c r="J40" s="1655"/>
    </row>
    <row r="42" spans="2:10" x14ac:dyDescent="0.2">
      <c r="B42" s="386" t="str" cm="1">
        <f t="array" aca="1" ref="B42" ca="1">CONCATENATE("Dateiname: ",MID(CELL("dateiname"),FIND("[",CELL("Dateiname"))+1,FIND("]",CELL("Dateiname"))-FIND("[",CELL("Dateiname"))-1))</f>
        <v>Dateiname: LfL-Lagerraum_Nährstoffanfall2024_off19_fertig.xlsx</v>
      </c>
    </row>
  </sheetData>
  <sheetProtection algorithmName="SHA-512" hashValue="7PDwXsJ/DyLtMlxohxeFqmPt0AOdaQUlH86GKV7SP5SpZqnra7rXiHPPKLSM7k5NTt70GpyNBjJ410YqRUkpiA==" saltValue="ugw/MuTGImxAtuRSxmd8ew==" spinCount="100000" sheet="1" objects="1" scenarios="1"/>
  <mergeCells count="12">
    <mergeCell ref="B3:H4"/>
    <mergeCell ref="B37:J40"/>
    <mergeCell ref="I24:J24"/>
    <mergeCell ref="E25:H25"/>
    <mergeCell ref="I25:J25"/>
    <mergeCell ref="D17:J19"/>
    <mergeCell ref="D15:E15"/>
    <mergeCell ref="B22:J23"/>
    <mergeCell ref="C25:C26"/>
    <mergeCell ref="D24:D26"/>
    <mergeCell ref="B24:B26"/>
    <mergeCell ref="E24:H24"/>
  </mergeCells>
  <conditionalFormatting sqref="C28">
    <cfRule type="expression" dxfId="1" priority="1">
      <formula>$B$28="Stallmist"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De, Sp, Ks); Stand: 09.08.2023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25</xdr:row>
                    <xdr:rowOff>190500</xdr:rowOff>
                  </from>
                  <to>
                    <xdr:col>13</xdr:col>
                    <xdr:colOff>57150</xdr:colOff>
                    <xdr:row>27</xdr:row>
                    <xdr:rowOff>9525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26</xdr:row>
                    <xdr:rowOff>180975</xdr:rowOff>
                  </from>
                  <to>
                    <xdr:col>13</xdr:col>
                    <xdr:colOff>57150</xdr:colOff>
                    <xdr:row>28</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27</xdr:row>
                    <xdr:rowOff>190500</xdr:rowOff>
                  </from>
                  <to>
                    <xdr:col>13</xdr:col>
                    <xdr:colOff>57150</xdr:colOff>
                    <xdr:row>29</xdr:row>
                    <xdr:rowOff>9525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28</xdr:row>
                    <xdr:rowOff>190500</xdr:rowOff>
                  </from>
                  <to>
                    <xdr:col>13</xdr:col>
                    <xdr:colOff>57150</xdr:colOff>
                    <xdr:row>30</xdr:row>
                    <xdr:rowOff>9525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29</xdr:row>
                    <xdr:rowOff>190500</xdr:rowOff>
                  </from>
                  <to>
                    <xdr:col>13</xdr:col>
                    <xdr:colOff>57150</xdr:colOff>
                    <xdr:row>31</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2C296-8E1C-47BB-9E8A-C3E09D5F5223}">
  <sheetPr codeName="Tabelle12"/>
  <dimension ref="B1:E7889"/>
  <sheetViews>
    <sheetView workbookViewId="0">
      <selection activeCell="B1" sqref="B1:E1"/>
    </sheetView>
  </sheetViews>
  <sheetFormatPr baseColWidth="10" defaultRowHeight="12.75" x14ac:dyDescent="0.2"/>
  <cols>
    <col min="1" max="1" width="4.5703125" customWidth="1"/>
    <col min="2" max="2" width="13.140625" customWidth="1"/>
    <col min="3" max="3" width="23.42578125" style="541" customWidth="1"/>
    <col min="4" max="4" width="23.42578125" style="656" customWidth="1"/>
    <col min="5" max="5" width="26.42578125" customWidth="1"/>
    <col min="6" max="6" width="3.7109375" customWidth="1"/>
    <col min="8" max="12" width="0" hidden="1" customWidth="1"/>
  </cols>
  <sheetData>
    <row r="1" spans="2:5" ht="26.45" customHeight="1" x14ac:dyDescent="0.2">
      <c r="B1" s="1680" t="s">
        <v>7626</v>
      </c>
      <c r="C1" s="1680"/>
      <c r="D1" s="1680"/>
      <c r="E1" s="1680"/>
    </row>
    <row r="2" spans="2:5" ht="11.45" customHeight="1" x14ac:dyDescent="0.2">
      <c r="C2" s="538"/>
      <c r="D2" s="538"/>
      <c r="E2" s="538"/>
    </row>
    <row r="3" spans="2:5" ht="89.45" customHeight="1" x14ac:dyDescent="0.2">
      <c r="B3" s="1672" t="s">
        <v>7930</v>
      </c>
      <c r="C3" s="1672"/>
      <c r="D3" s="1672"/>
      <c r="E3" s="1672"/>
    </row>
    <row r="4" spans="2:5" ht="12" customHeight="1" thickBot="1" x14ac:dyDescent="0.25">
      <c r="C4" s="539"/>
      <c r="D4" s="539"/>
      <c r="E4" s="539"/>
    </row>
    <row r="5" spans="2:5" ht="45.6" customHeight="1" thickBot="1" x14ac:dyDescent="0.25">
      <c r="B5" s="535" t="s">
        <v>657</v>
      </c>
      <c r="C5" s="536" t="s">
        <v>658</v>
      </c>
      <c r="D5" s="700" t="s">
        <v>7737</v>
      </c>
      <c r="E5" s="537" t="s">
        <v>659</v>
      </c>
    </row>
    <row r="6" spans="2:5" x14ac:dyDescent="0.2">
      <c r="B6" s="533">
        <v>1</v>
      </c>
      <c r="C6" s="541" t="s">
        <v>5081</v>
      </c>
      <c r="D6" s="656" t="s">
        <v>436</v>
      </c>
      <c r="E6" s="534">
        <v>831.79998799999998</v>
      </c>
    </row>
    <row r="7" spans="2:5" x14ac:dyDescent="0.2">
      <c r="B7" s="533">
        <v>2</v>
      </c>
      <c r="C7" s="541" t="s">
        <v>5589</v>
      </c>
      <c r="D7" s="656" t="s">
        <v>436</v>
      </c>
      <c r="E7" s="534">
        <v>911</v>
      </c>
    </row>
    <row r="8" spans="2:5" x14ac:dyDescent="0.2">
      <c r="B8" s="533">
        <v>3</v>
      </c>
      <c r="C8" s="541" t="s">
        <v>5007</v>
      </c>
      <c r="D8" s="656" t="s">
        <v>436</v>
      </c>
      <c r="E8" s="534">
        <v>824.18332899999996</v>
      </c>
    </row>
    <row r="9" spans="2:5" x14ac:dyDescent="0.2">
      <c r="B9" s="533">
        <v>4</v>
      </c>
      <c r="C9" s="541" t="s">
        <v>6576</v>
      </c>
      <c r="D9" s="656" t="s">
        <v>436</v>
      </c>
      <c r="E9" s="534">
        <v>840.09997599999997</v>
      </c>
    </row>
    <row r="10" spans="2:5" x14ac:dyDescent="0.2">
      <c r="B10" s="533">
        <v>5</v>
      </c>
      <c r="C10" s="541" t="s">
        <v>3382</v>
      </c>
      <c r="D10" s="656" t="s">
        <v>436</v>
      </c>
      <c r="E10" s="534">
        <v>710.53333499999997</v>
      </c>
    </row>
    <row r="11" spans="2:5" ht="13.15" customHeight="1" x14ac:dyDescent="0.2">
      <c r="B11" s="533">
        <v>6</v>
      </c>
      <c r="C11" s="541" t="s">
        <v>7397</v>
      </c>
      <c r="D11" s="656" t="s">
        <v>436</v>
      </c>
      <c r="E11" s="534">
        <v>925.16668700000002</v>
      </c>
    </row>
    <row r="12" spans="2:5" x14ac:dyDescent="0.2">
      <c r="B12" s="533">
        <v>7</v>
      </c>
      <c r="C12" s="541" t="s">
        <v>5302</v>
      </c>
      <c r="D12" s="656" t="s">
        <v>436</v>
      </c>
      <c r="E12" s="534">
        <v>863.78666999999996</v>
      </c>
    </row>
    <row r="13" spans="2:5" x14ac:dyDescent="0.2">
      <c r="B13" s="533">
        <v>8</v>
      </c>
      <c r="C13" s="541" t="s">
        <v>3824</v>
      </c>
      <c r="D13" s="656" t="s">
        <v>436</v>
      </c>
      <c r="E13" s="534">
        <v>734.80001800000002</v>
      </c>
    </row>
    <row r="14" spans="2:5" x14ac:dyDescent="0.2">
      <c r="B14" s="533">
        <v>9</v>
      </c>
      <c r="C14" s="541" t="s">
        <v>3416</v>
      </c>
      <c r="D14" s="656" t="s">
        <v>436</v>
      </c>
      <c r="E14" s="534">
        <v>712.39999399999999</v>
      </c>
    </row>
    <row r="15" spans="2:5" x14ac:dyDescent="0.2">
      <c r="B15" s="533">
        <v>10</v>
      </c>
      <c r="C15" s="541" t="s">
        <v>2491</v>
      </c>
      <c r="D15" s="656" t="s">
        <v>436</v>
      </c>
      <c r="E15" s="534">
        <v>665.66666699999996</v>
      </c>
    </row>
    <row r="16" spans="2:5" x14ac:dyDescent="0.2">
      <c r="B16" s="533">
        <v>11</v>
      </c>
      <c r="C16" s="541" t="s">
        <v>954</v>
      </c>
      <c r="D16" s="656" t="s">
        <v>436</v>
      </c>
      <c r="E16" s="534">
        <v>934.03529600000002</v>
      </c>
    </row>
    <row r="17" spans="2:5" x14ac:dyDescent="0.2">
      <c r="B17" s="533">
        <v>12</v>
      </c>
      <c r="C17" s="541" t="s">
        <v>3476</v>
      </c>
      <c r="D17" s="656" t="s">
        <v>436</v>
      </c>
      <c r="E17" s="534">
        <v>715.23999000000003</v>
      </c>
    </row>
    <row r="18" spans="2:5" x14ac:dyDescent="0.2">
      <c r="B18" s="533">
        <v>13</v>
      </c>
      <c r="C18" s="541" t="s">
        <v>7238</v>
      </c>
      <c r="D18" s="656" t="s">
        <v>436</v>
      </c>
      <c r="E18" s="534">
        <v>662</v>
      </c>
    </row>
    <row r="19" spans="2:5" x14ac:dyDescent="0.2">
      <c r="B19" s="533">
        <v>14</v>
      </c>
      <c r="C19" s="541" t="s">
        <v>1770</v>
      </c>
      <c r="D19" s="656" t="s">
        <v>436</v>
      </c>
      <c r="E19" s="534">
        <v>635.41428900000005</v>
      </c>
    </row>
    <row r="20" spans="2:5" x14ac:dyDescent="0.2">
      <c r="B20" s="533">
        <v>15</v>
      </c>
      <c r="C20" s="541" t="s">
        <v>427</v>
      </c>
      <c r="D20" s="656" t="s">
        <v>436</v>
      </c>
      <c r="E20" s="534">
        <v>1007.833344</v>
      </c>
    </row>
    <row r="21" spans="2:5" x14ac:dyDescent="0.2">
      <c r="B21" s="533">
        <v>16</v>
      </c>
      <c r="C21" s="541" t="s">
        <v>5663</v>
      </c>
      <c r="D21" s="656" t="s">
        <v>436</v>
      </c>
      <c r="E21" s="534">
        <v>931.5</v>
      </c>
    </row>
    <row r="22" spans="2:5" x14ac:dyDescent="0.2">
      <c r="B22" s="533">
        <v>17</v>
      </c>
      <c r="C22" s="541" t="s">
        <v>1860</v>
      </c>
      <c r="D22" s="656" t="s">
        <v>436</v>
      </c>
      <c r="E22" s="534">
        <v>738.74999200000002</v>
      </c>
    </row>
    <row r="23" spans="2:5" x14ac:dyDescent="0.2">
      <c r="B23" s="533">
        <v>18</v>
      </c>
      <c r="C23" s="541" t="s">
        <v>7239</v>
      </c>
      <c r="D23" s="656" t="s">
        <v>436</v>
      </c>
      <c r="E23" s="534">
        <v>658.47499600000003</v>
      </c>
    </row>
    <row r="24" spans="2:5" x14ac:dyDescent="0.2">
      <c r="B24" s="533">
        <v>19</v>
      </c>
      <c r="C24" s="541" t="s">
        <v>6735</v>
      </c>
      <c r="D24" s="656" t="s">
        <v>436</v>
      </c>
      <c r="E24" s="534">
        <v>663.214294</v>
      </c>
    </row>
    <row r="25" spans="2:5" x14ac:dyDescent="0.2">
      <c r="B25" s="533">
        <v>20</v>
      </c>
      <c r="C25" s="541" t="s">
        <v>7556</v>
      </c>
      <c r="D25" s="656" t="s">
        <v>436</v>
      </c>
      <c r="E25" s="534">
        <v>665.19999700000005</v>
      </c>
    </row>
    <row r="26" spans="2:5" x14ac:dyDescent="0.2">
      <c r="B26" s="533">
        <v>21</v>
      </c>
      <c r="C26" s="541" t="s">
        <v>5631</v>
      </c>
      <c r="D26" s="656" t="s">
        <v>436</v>
      </c>
      <c r="E26" s="534">
        <v>923.15555800000004</v>
      </c>
    </row>
    <row r="27" spans="2:5" x14ac:dyDescent="0.2">
      <c r="B27" s="533">
        <v>22</v>
      </c>
      <c r="C27" s="541" t="s">
        <v>5638</v>
      </c>
      <c r="D27" s="656" t="s">
        <v>436</v>
      </c>
      <c r="E27" s="534">
        <v>924.34445300000004</v>
      </c>
    </row>
    <row r="28" spans="2:5" x14ac:dyDescent="0.2">
      <c r="B28" s="533">
        <v>23</v>
      </c>
      <c r="C28" s="541" t="s">
        <v>2127</v>
      </c>
      <c r="D28" s="656" t="s">
        <v>436</v>
      </c>
      <c r="E28" s="534">
        <v>733.11250299999995</v>
      </c>
    </row>
    <row r="29" spans="2:5" x14ac:dyDescent="0.2">
      <c r="B29" s="533">
        <v>24</v>
      </c>
      <c r="C29" s="541" t="s">
        <v>7467</v>
      </c>
      <c r="D29" s="656" t="s">
        <v>436</v>
      </c>
      <c r="E29" s="534">
        <v>695.49167399999999</v>
      </c>
    </row>
    <row r="30" spans="2:5" x14ac:dyDescent="0.2">
      <c r="B30" s="533">
        <v>25</v>
      </c>
      <c r="C30" s="541" t="s">
        <v>6478</v>
      </c>
      <c r="D30" s="656" t="s">
        <v>436</v>
      </c>
      <c r="E30" s="534">
        <v>608.57777199999998</v>
      </c>
    </row>
    <row r="31" spans="2:5" x14ac:dyDescent="0.2">
      <c r="B31" s="533">
        <v>26</v>
      </c>
      <c r="C31" s="541" t="s">
        <v>1338</v>
      </c>
      <c r="D31" s="656" t="s">
        <v>436</v>
      </c>
      <c r="E31" s="534">
        <v>612.20526400000006</v>
      </c>
    </row>
    <row r="32" spans="2:5" x14ac:dyDescent="0.2">
      <c r="B32" s="533">
        <v>27</v>
      </c>
      <c r="C32" s="541" t="s">
        <v>6713</v>
      </c>
      <c r="D32" s="656" t="s">
        <v>436</v>
      </c>
      <c r="E32" s="534">
        <v>642.81666099999995</v>
      </c>
    </row>
    <row r="33" spans="2:5" x14ac:dyDescent="0.2">
      <c r="B33" s="533">
        <v>28</v>
      </c>
      <c r="C33" s="541" t="s">
        <v>7289</v>
      </c>
      <c r="D33" s="656" t="s">
        <v>436</v>
      </c>
      <c r="E33" s="534">
        <v>985.49999000000003</v>
      </c>
    </row>
    <row r="34" spans="2:5" x14ac:dyDescent="0.2">
      <c r="B34" s="533">
        <v>29</v>
      </c>
      <c r="C34" s="541" t="s">
        <v>5808</v>
      </c>
      <c r="D34" s="656" t="s">
        <v>436</v>
      </c>
      <c r="E34" s="534">
        <v>969.56000400000005</v>
      </c>
    </row>
    <row r="35" spans="2:5" x14ac:dyDescent="0.2">
      <c r="B35" s="533">
        <v>30</v>
      </c>
      <c r="C35" s="541" t="s">
        <v>6555</v>
      </c>
      <c r="D35" s="656" t="s">
        <v>436</v>
      </c>
      <c r="E35" s="534">
        <v>921.870588</v>
      </c>
    </row>
    <row r="36" spans="2:5" x14ac:dyDescent="0.2">
      <c r="B36" s="533">
        <v>31</v>
      </c>
      <c r="C36" s="541" t="s">
        <v>5704</v>
      </c>
      <c r="D36" s="656" t="s">
        <v>436</v>
      </c>
      <c r="E36" s="534">
        <v>942.67647799999997</v>
      </c>
    </row>
    <row r="37" spans="2:5" x14ac:dyDescent="0.2">
      <c r="B37" s="533">
        <v>32</v>
      </c>
      <c r="C37" s="541" t="s">
        <v>3865</v>
      </c>
      <c r="D37" s="656" t="s">
        <v>436</v>
      </c>
      <c r="E37" s="534">
        <v>737.32500500000003</v>
      </c>
    </row>
    <row r="38" spans="2:5" x14ac:dyDescent="0.2">
      <c r="B38" s="533">
        <v>33</v>
      </c>
      <c r="C38" s="541" t="s">
        <v>3116</v>
      </c>
      <c r="D38" s="656" t="s">
        <v>436</v>
      </c>
      <c r="E38" s="534">
        <v>697.48751800000002</v>
      </c>
    </row>
    <row r="39" spans="2:5" x14ac:dyDescent="0.2">
      <c r="B39" s="533">
        <v>34</v>
      </c>
      <c r="C39" s="541" t="s">
        <v>2834</v>
      </c>
      <c r="D39" s="656" t="s">
        <v>436</v>
      </c>
      <c r="E39" s="534">
        <v>683.75</v>
      </c>
    </row>
    <row r="40" spans="2:5" x14ac:dyDescent="0.2">
      <c r="B40" s="533">
        <v>35</v>
      </c>
      <c r="C40" s="541" t="s">
        <v>2931</v>
      </c>
      <c r="D40" s="656" t="s">
        <v>436</v>
      </c>
      <c r="E40" s="534">
        <v>687.42500299999995</v>
      </c>
    </row>
    <row r="41" spans="2:5" x14ac:dyDescent="0.2">
      <c r="B41" s="533">
        <v>36</v>
      </c>
      <c r="C41" s="541" t="s">
        <v>812</v>
      </c>
      <c r="D41" s="656" t="s">
        <v>436</v>
      </c>
      <c r="E41" s="534">
        <v>571.20952199999999</v>
      </c>
    </row>
    <row r="42" spans="2:5" x14ac:dyDescent="0.2">
      <c r="B42" s="533">
        <v>37</v>
      </c>
      <c r="C42" s="541" t="s">
        <v>7195</v>
      </c>
      <c r="D42" s="656" t="s">
        <v>436</v>
      </c>
      <c r="E42" s="534">
        <v>592.51428199999998</v>
      </c>
    </row>
    <row r="43" spans="2:5" x14ac:dyDescent="0.2">
      <c r="B43" s="533">
        <v>38</v>
      </c>
      <c r="C43" s="541" t="s">
        <v>7376</v>
      </c>
      <c r="D43" s="656" t="s">
        <v>436</v>
      </c>
      <c r="E43" s="534">
        <v>582.25</v>
      </c>
    </row>
    <row r="44" spans="2:5" x14ac:dyDescent="0.2">
      <c r="B44" s="533">
        <v>39</v>
      </c>
      <c r="C44" s="541" t="s">
        <v>6966</v>
      </c>
      <c r="D44" s="656" t="s">
        <v>436</v>
      </c>
      <c r="E44" s="534">
        <v>870.33528799999999</v>
      </c>
    </row>
    <row r="45" spans="2:5" x14ac:dyDescent="0.2">
      <c r="B45" s="533">
        <v>40</v>
      </c>
      <c r="C45" s="541" t="s">
        <v>7553</v>
      </c>
      <c r="D45" s="656" t="s">
        <v>436</v>
      </c>
      <c r="E45" s="534">
        <v>814.76248899999996</v>
      </c>
    </row>
    <row r="46" spans="2:5" x14ac:dyDescent="0.2">
      <c r="B46" s="533">
        <v>41</v>
      </c>
      <c r="C46" s="541" t="s">
        <v>3741</v>
      </c>
      <c r="D46" s="656" t="s">
        <v>436</v>
      </c>
      <c r="E46" s="534">
        <v>729.66665999999998</v>
      </c>
    </row>
    <row r="47" spans="2:5" x14ac:dyDescent="0.2">
      <c r="B47" s="533">
        <v>42</v>
      </c>
      <c r="C47" s="541" t="s">
        <v>6607</v>
      </c>
      <c r="D47" s="656" t="s">
        <v>436</v>
      </c>
      <c r="E47" s="534">
        <v>701.01999499999999</v>
      </c>
    </row>
    <row r="48" spans="2:5" x14ac:dyDescent="0.2">
      <c r="B48" s="533">
        <v>43</v>
      </c>
      <c r="C48" s="541" t="s">
        <v>2775</v>
      </c>
      <c r="D48" s="656" t="s">
        <v>436</v>
      </c>
      <c r="E48" s="534">
        <v>679.97143600000004</v>
      </c>
    </row>
    <row r="49" spans="2:5" x14ac:dyDescent="0.2">
      <c r="B49" s="533">
        <v>44</v>
      </c>
      <c r="C49" s="541" t="s">
        <v>1771</v>
      </c>
      <c r="D49" s="656" t="s">
        <v>436</v>
      </c>
      <c r="E49" s="534">
        <v>635.42222800000002</v>
      </c>
    </row>
    <row r="50" spans="2:5" x14ac:dyDescent="0.2">
      <c r="B50" s="533">
        <v>45</v>
      </c>
      <c r="C50" s="541" t="s">
        <v>1714</v>
      </c>
      <c r="D50" s="656" t="s">
        <v>436</v>
      </c>
      <c r="E50" s="534">
        <v>633.31428700000004</v>
      </c>
    </row>
    <row r="51" spans="2:5" x14ac:dyDescent="0.2">
      <c r="B51" s="533">
        <v>46</v>
      </c>
      <c r="C51" s="541" t="s">
        <v>871</v>
      </c>
      <c r="D51" s="656" t="s">
        <v>436</v>
      </c>
      <c r="E51" s="534">
        <v>577.68333399999995</v>
      </c>
    </row>
    <row r="52" spans="2:5" x14ac:dyDescent="0.2">
      <c r="B52" s="533">
        <v>47</v>
      </c>
      <c r="C52" s="541" t="s">
        <v>950</v>
      </c>
      <c r="D52" s="656" t="s">
        <v>436</v>
      </c>
      <c r="E52" s="534">
        <v>584.97142699999995</v>
      </c>
    </row>
    <row r="53" spans="2:5" x14ac:dyDescent="0.2">
      <c r="B53" s="533">
        <v>48</v>
      </c>
      <c r="C53" s="541" t="s">
        <v>3061</v>
      </c>
      <c r="D53" s="656" t="s">
        <v>436</v>
      </c>
      <c r="E53" s="534">
        <v>694.5</v>
      </c>
    </row>
    <row r="54" spans="2:5" x14ac:dyDescent="0.2">
      <c r="B54" s="533">
        <v>49</v>
      </c>
      <c r="C54" s="541" t="s">
        <v>7354</v>
      </c>
      <c r="D54" s="656" t="s">
        <v>436</v>
      </c>
      <c r="E54" s="534">
        <v>661.65999799999997</v>
      </c>
    </row>
    <row r="55" spans="2:5" x14ac:dyDescent="0.2">
      <c r="B55" s="533">
        <v>50</v>
      </c>
      <c r="C55" s="541" t="s">
        <v>1370</v>
      </c>
      <c r="D55" s="656" t="s">
        <v>436</v>
      </c>
      <c r="E55" s="534">
        <v>614.04998799999998</v>
      </c>
    </row>
    <row r="56" spans="2:5" x14ac:dyDescent="0.2">
      <c r="B56" s="533">
        <v>51</v>
      </c>
      <c r="C56" s="541" t="s">
        <v>1388</v>
      </c>
      <c r="D56" s="656" t="s">
        <v>436</v>
      </c>
      <c r="E56" s="534">
        <v>615</v>
      </c>
    </row>
    <row r="57" spans="2:5" x14ac:dyDescent="0.2">
      <c r="B57" s="533">
        <v>52</v>
      </c>
      <c r="C57" s="541" t="s">
        <v>944</v>
      </c>
      <c r="D57" s="656" t="s">
        <v>436</v>
      </c>
      <c r="E57" s="534">
        <v>584.625</v>
      </c>
    </row>
    <row r="58" spans="2:5" x14ac:dyDescent="0.2">
      <c r="B58" s="533">
        <v>53</v>
      </c>
      <c r="C58" s="541" t="s">
        <v>965</v>
      </c>
      <c r="D58" s="656" t="s">
        <v>436</v>
      </c>
      <c r="E58" s="534">
        <v>586.31666099999995</v>
      </c>
    </row>
    <row r="59" spans="2:5" x14ac:dyDescent="0.2">
      <c r="B59" s="533">
        <v>54</v>
      </c>
      <c r="C59" s="541" t="s">
        <v>923</v>
      </c>
      <c r="D59" s="656" t="s">
        <v>436</v>
      </c>
      <c r="E59" s="534">
        <v>582.84999100000005</v>
      </c>
    </row>
    <row r="60" spans="2:5" x14ac:dyDescent="0.2">
      <c r="B60" s="533">
        <v>55</v>
      </c>
      <c r="C60" s="541" t="s">
        <v>1017</v>
      </c>
      <c r="D60" s="656" t="s">
        <v>436</v>
      </c>
      <c r="E60" s="534">
        <v>591.84999700000003</v>
      </c>
    </row>
    <row r="61" spans="2:5" x14ac:dyDescent="0.2">
      <c r="B61" s="533">
        <v>56</v>
      </c>
      <c r="C61" s="541" t="s">
        <v>1272</v>
      </c>
      <c r="D61" s="656" t="s">
        <v>436</v>
      </c>
      <c r="E61" s="534">
        <v>608.46667500000001</v>
      </c>
    </row>
    <row r="62" spans="2:5" x14ac:dyDescent="0.2">
      <c r="B62" s="533">
        <v>57</v>
      </c>
      <c r="C62" s="541" t="s">
        <v>806</v>
      </c>
      <c r="D62" s="656" t="s">
        <v>436</v>
      </c>
      <c r="E62" s="534">
        <v>569.91666699999996</v>
      </c>
    </row>
    <row r="63" spans="2:5" x14ac:dyDescent="0.2">
      <c r="B63" s="533">
        <v>58</v>
      </c>
      <c r="C63" s="541" t="s">
        <v>4509</v>
      </c>
      <c r="D63" s="656" t="s">
        <v>436</v>
      </c>
      <c r="E63" s="534">
        <v>780.866669</v>
      </c>
    </row>
    <row r="64" spans="2:5" x14ac:dyDescent="0.2">
      <c r="B64" s="533">
        <v>59</v>
      </c>
      <c r="C64" s="541" t="s">
        <v>4173</v>
      </c>
      <c r="D64" s="656" t="s">
        <v>436</v>
      </c>
      <c r="E64" s="534">
        <v>756.09997599999997</v>
      </c>
    </row>
    <row r="65" spans="2:5" x14ac:dyDescent="0.2">
      <c r="B65" s="533">
        <v>60</v>
      </c>
      <c r="C65" s="541" t="s">
        <v>3863</v>
      </c>
      <c r="D65" s="656" t="s">
        <v>436</v>
      </c>
      <c r="E65" s="534">
        <v>737.28750600000001</v>
      </c>
    </row>
    <row r="66" spans="2:5" x14ac:dyDescent="0.2">
      <c r="B66" s="533">
        <v>61</v>
      </c>
      <c r="C66" s="541" t="s">
        <v>2382</v>
      </c>
      <c r="D66" s="656" t="s">
        <v>436</v>
      </c>
      <c r="E66" s="534">
        <v>661.63332100000002</v>
      </c>
    </row>
    <row r="67" spans="2:5" x14ac:dyDescent="0.2">
      <c r="B67" s="533">
        <v>62</v>
      </c>
      <c r="C67" s="541" t="s">
        <v>1863</v>
      </c>
      <c r="D67" s="656" t="s">
        <v>436</v>
      </c>
      <c r="E67" s="534">
        <v>638.77000699999996</v>
      </c>
    </row>
    <row r="68" spans="2:5" x14ac:dyDescent="0.2">
      <c r="B68" s="533">
        <v>63</v>
      </c>
      <c r="C68" s="541" t="s">
        <v>1129</v>
      </c>
      <c r="D68" s="656" t="s">
        <v>436</v>
      </c>
      <c r="E68" s="534">
        <v>599.82857000000001</v>
      </c>
    </row>
    <row r="69" spans="2:5" x14ac:dyDescent="0.2">
      <c r="B69" s="533">
        <v>64</v>
      </c>
      <c r="C69" s="541" t="s">
        <v>957</v>
      </c>
      <c r="D69" s="656" t="s">
        <v>436</v>
      </c>
      <c r="E69" s="534">
        <v>585.43077700000003</v>
      </c>
    </row>
    <row r="70" spans="2:5" x14ac:dyDescent="0.2">
      <c r="B70" s="533">
        <v>65</v>
      </c>
      <c r="C70" s="541" t="s">
        <v>935</v>
      </c>
      <c r="D70" s="656" t="s">
        <v>436</v>
      </c>
      <c r="E70" s="534">
        <v>583.71818399999995</v>
      </c>
    </row>
    <row r="71" spans="2:5" x14ac:dyDescent="0.2">
      <c r="B71" s="533">
        <v>66</v>
      </c>
      <c r="C71" s="541" t="s">
        <v>897</v>
      </c>
      <c r="D71" s="656" t="s">
        <v>436</v>
      </c>
      <c r="E71" s="534">
        <v>580.03333499999997</v>
      </c>
    </row>
    <row r="72" spans="2:5" x14ac:dyDescent="0.2">
      <c r="B72" s="533">
        <v>67</v>
      </c>
      <c r="C72" s="541" t="s">
        <v>1422</v>
      </c>
      <c r="D72" s="656" t="s">
        <v>436</v>
      </c>
      <c r="E72" s="534">
        <v>616.94999700000005</v>
      </c>
    </row>
    <row r="73" spans="2:5" x14ac:dyDescent="0.2">
      <c r="B73" s="533">
        <v>68</v>
      </c>
      <c r="C73" s="541" t="s">
        <v>1191</v>
      </c>
      <c r="D73" s="656" t="s">
        <v>436</v>
      </c>
      <c r="E73" s="534">
        <v>603.79998799999998</v>
      </c>
    </row>
    <row r="74" spans="2:5" x14ac:dyDescent="0.2">
      <c r="B74" s="533">
        <v>69</v>
      </c>
      <c r="C74" s="541" t="s">
        <v>827</v>
      </c>
      <c r="D74" s="656" t="s">
        <v>436</v>
      </c>
      <c r="E74" s="534">
        <v>573.64000199999998</v>
      </c>
    </row>
    <row r="75" spans="2:5" x14ac:dyDescent="0.2">
      <c r="B75" s="533">
        <v>70</v>
      </c>
      <c r="C75" s="541" t="s">
        <v>6801</v>
      </c>
      <c r="D75" s="656" t="s">
        <v>436</v>
      </c>
      <c r="E75" s="534">
        <v>573.34999100000005</v>
      </c>
    </row>
    <row r="76" spans="2:5" ht="15" x14ac:dyDescent="0.2">
      <c r="B76" s="531">
        <v>71</v>
      </c>
      <c r="C76" s="541" t="s">
        <v>719</v>
      </c>
      <c r="D76" s="656" t="s">
        <v>436</v>
      </c>
      <c r="E76" s="532">
        <v>547.72500600000001</v>
      </c>
    </row>
    <row r="77" spans="2:5" x14ac:dyDescent="0.2">
      <c r="B77" s="533">
        <v>72</v>
      </c>
      <c r="C77" s="541" t="s">
        <v>821</v>
      </c>
      <c r="D77" s="656" t="s">
        <v>436</v>
      </c>
      <c r="E77" s="534">
        <v>572.67500299999995</v>
      </c>
    </row>
    <row r="78" spans="2:5" x14ac:dyDescent="0.2">
      <c r="B78" s="533">
        <v>73</v>
      </c>
      <c r="C78" s="541" t="s">
        <v>4652</v>
      </c>
      <c r="D78" s="656" t="s">
        <v>436</v>
      </c>
      <c r="E78" s="534">
        <v>793.139996</v>
      </c>
    </row>
    <row r="79" spans="2:5" x14ac:dyDescent="0.2">
      <c r="B79" s="533">
        <v>74</v>
      </c>
      <c r="C79" s="541" t="s">
        <v>3294</v>
      </c>
      <c r="D79" s="656" t="s">
        <v>436</v>
      </c>
      <c r="E79" s="534">
        <v>706.14285700000005</v>
      </c>
    </row>
    <row r="80" spans="2:5" x14ac:dyDescent="0.2">
      <c r="B80" s="533">
        <v>75</v>
      </c>
      <c r="C80" s="541" t="s">
        <v>3214</v>
      </c>
      <c r="D80" s="656" t="s">
        <v>436</v>
      </c>
      <c r="E80" s="534">
        <v>702.31999499999995</v>
      </c>
    </row>
    <row r="81" spans="2:5" x14ac:dyDescent="0.2">
      <c r="B81" s="533">
        <v>76</v>
      </c>
      <c r="C81" s="541" t="s">
        <v>6737</v>
      </c>
      <c r="D81" s="656" t="s">
        <v>436</v>
      </c>
      <c r="E81" s="534">
        <v>715.91875100000004</v>
      </c>
    </row>
    <row r="82" spans="2:5" x14ac:dyDescent="0.2">
      <c r="B82" s="533">
        <v>77</v>
      </c>
      <c r="C82" s="541" t="s">
        <v>3357</v>
      </c>
      <c r="D82" s="656" t="s">
        <v>436</v>
      </c>
      <c r="E82" s="534">
        <v>709.25713199999996</v>
      </c>
    </row>
    <row r="83" spans="2:5" x14ac:dyDescent="0.2">
      <c r="B83" s="533">
        <v>78</v>
      </c>
      <c r="C83" s="541" t="s">
        <v>2589</v>
      </c>
      <c r="D83" s="656" t="s">
        <v>436</v>
      </c>
      <c r="E83" s="534">
        <v>670.63332100000002</v>
      </c>
    </row>
    <row r="84" spans="2:5" x14ac:dyDescent="0.2">
      <c r="B84" s="533">
        <v>79</v>
      </c>
      <c r="C84" s="541" t="s">
        <v>1493</v>
      </c>
      <c r="D84" s="656" t="s">
        <v>436</v>
      </c>
      <c r="E84" s="534">
        <v>639.47499100000005</v>
      </c>
    </row>
    <row r="85" spans="2:5" x14ac:dyDescent="0.2">
      <c r="B85" s="533">
        <v>80</v>
      </c>
      <c r="C85" s="541" t="s">
        <v>1062</v>
      </c>
      <c r="D85" s="656" t="s">
        <v>436</v>
      </c>
      <c r="E85" s="534">
        <v>595.54444699999999</v>
      </c>
    </row>
    <row r="86" spans="2:5" x14ac:dyDescent="0.2">
      <c r="B86" s="533">
        <v>81</v>
      </c>
      <c r="C86" s="541" t="s">
        <v>1118</v>
      </c>
      <c r="D86" s="656" t="s">
        <v>436</v>
      </c>
      <c r="E86" s="534">
        <v>599.49998800000003</v>
      </c>
    </row>
    <row r="87" spans="2:5" x14ac:dyDescent="0.2">
      <c r="B87" s="533">
        <v>82</v>
      </c>
      <c r="C87" s="541" t="s">
        <v>6695</v>
      </c>
      <c r="D87" s="656" t="s">
        <v>436</v>
      </c>
      <c r="E87" s="534">
        <v>585.82142399999998</v>
      </c>
    </row>
    <row r="88" spans="2:5" x14ac:dyDescent="0.2">
      <c r="B88" s="533">
        <v>83</v>
      </c>
      <c r="C88" s="541" t="s">
        <v>990</v>
      </c>
      <c r="D88" s="656" t="s">
        <v>436</v>
      </c>
      <c r="E88" s="534">
        <v>589.15999799999997</v>
      </c>
    </row>
    <row r="89" spans="2:5" x14ac:dyDescent="0.2">
      <c r="B89" s="533">
        <v>84</v>
      </c>
      <c r="C89" s="541" t="s">
        <v>858</v>
      </c>
      <c r="D89" s="656" t="s">
        <v>436</v>
      </c>
      <c r="E89" s="534">
        <v>576.33077300000002</v>
      </c>
    </row>
    <row r="90" spans="2:5" x14ac:dyDescent="0.2">
      <c r="B90" s="533">
        <v>85</v>
      </c>
      <c r="C90" s="541" t="s">
        <v>764</v>
      </c>
      <c r="D90" s="656" t="s">
        <v>436</v>
      </c>
      <c r="E90" s="534">
        <v>562.74999000000003</v>
      </c>
    </row>
    <row r="91" spans="2:5" x14ac:dyDescent="0.2">
      <c r="B91" s="533">
        <v>86</v>
      </c>
      <c r="C91" s="541" t="s">
        <v>857</v>
      </c>
      <c r="D91" s="656" t="s">
        <v>436</v>
      </c>
      <c r="E91" s="534">
        <v>575.990906</v>
      </c>
    </row>
    <row r="92" spans="2:5" x14ac:dyDescent="0.2">
      <c r="B92" s="533">
        <v>87</v>
      </c>
      <c r="C92" s="541" t="s">
        <v>2291</v>
      </c>
      <c r="D92" s="656" t="s">
        <v>436</v>
      </c>
      <c r="E92" s="534">
        <v>657.35000600000001</v>
      </c>
    </row>
    <row r="93" spans="2:5" x14ac:dyDescent="0.2">
      <c r="B93" s="533">
        <v>88</v>
      </c>
      <c r="C93" s="541" t="s">
        <v>2214</v>
      </c>
      <c r="D93" s="656" t="s">
        <v>436</v>
      </c>
      <c r="E93" s="534">
        <v>653.98570900000004</v>
      </c>
    </row>
    <row r="94" spans="2:5" x14ac:dyDescent="0.2">
      <c r="B94" s="533">
        <v>89</v>
      </c>
      <c r="C94" s="541" t="s">
        <v>983</v>
      </c>
      <c r="D94" s="656" t="s">
        <v>436</v>
      </c>
      <c r="E94" s="534">
        <v>588.52499399999999</v>
      </c>
    </row>
    <row r="95" spans="2:5" x14ac:dyDescent="0.2">
      <c r="B95" s="533">
        <v>90</v>
      </c>
      <c r="C95" s="541" t="s">
        <v>7191</v>
      </c>
      <c r="D95" s="656" t="s">
        <v>436</v>
      </c>
      <c r="E95" s="534">
        <v>592.19998199999998</v>
      </c>
    </row>
    <row r="96" spans="2:5" x14ac:dyDescent="0.2">
      <c r="B96" s="533">
        <v>91</v>
      </c>
      <c r="C96" s="541" t="s">
        <v>1643</v>
      </c>
      <c r="D96" s="656" t="s">
        <v>436</v>
      </c>
      <c r="E96" s="534">
        <v>629.20001200000002</v>
      </c>
    </row>
    <row r="97" spans="2:5" x14ac:dyDescent="0.2">
      <c r="B97" s="533">
        <v>92</v>
      </c>
      <c r="C97" s="541" t="s">
        <v>6684</v>
      </c>
      <c r="D97" s="656" t="s">
        <v>436</v>
      </c>
      <c r="E97" s="534">
        <v>650.26666299999999</v>
      </c>
    </row>
    <row r="98" spans="2:5" x14ac:dyDescent="0.2">
      <c r="B98" s="533">
        <v>93</v>
      </c>
      <c r="C98" s="541" t="s">
        <v>7351</v>
      </c>
      <c r="D98" s="656" t="s">
        <v>436</v>
      </c>
      <c r="E98" s="534">
        <v>641.71667500000001</v>
      </c>
    </row>
    <row r="99" spans="2:5" x14ac:dyDescent="0.2">
      <c r="B99" s="533">
        <v>94</v>
      </c>
      <c r="C99" s="541" t="s">
        <v>1360</v>
      </c>
      <c r="D99" s="656" t="s">
        <v>436</v>
      </c>
      <c r="E99" s="534">
        <v>613.70000000000005</v>
      </c>
    </row>
    <row r="100" spans="2:5" x14ac:dyDescent="0.2">
      <c r="B100" s="533">
        <v>95</v>
      </c>
      <c r="C100" s="541" t="s">
        <v>945</v>
      </c>
      <c r="D100" s="656" t="s">
        <v>436</v>
      </c>
      <c r="E100" s="534">
        <v>584.65555800000004</v>
      </c>
    </row>
    <row r="101" spans="2:5" x14ac:dyDescent="0.2">
      <c r="B101" s="533">
        <v>96</v>
      </c>
      <c r="C101" s="541" t="s">
        <v>6861</v>
      </c>
      <c r="D101" s="656" t="s">
        <v>436</v>
      </c>
      <c r="E101" s="534">
        <v>565.80000099999995</v>
      </c>
    </row>
    <row r="102" spans="2:5" ht="15" x14ac:dyDescent="0.2">
      <c r="B102" s="531">
        <v>97</v>
      </c>
      <c r="C102" s="541" t="s">
        <v>6488</v>
      </c>
      <c r="D102" s="656" t="s">
        <v>436</v>
      </c>
      <c r="E102" s="532">
        <v>547.33333700000003</v>
      </c>
    </row>
    <row r="103" spans="2:5" ht="15" x14ac:dyDescent="0.2">
      <c r="B103" s="531">
        <v>98</v>
      </c>
      <c r="C103" s="541" t="s">
        <v>715</v>
      </c>
      <c r="D103" s="656" t="s">
        <v>436</v>
      </c>
      <c r="E103" s="532">
        <v>547.07499700000005</v>
      </c>
    </row>
    <row r="104" spans="2:5" x14ac:dyDescent="0.2">
      <c r="B104" s="533">
        <v>99</v>
      </c>
      <c r="C104" s="541" t="s">
        <v>1034</v>
      </c>
      <c r="D104" s="656" t="s">
        <v>436</v>
      </c>
      <c r="E104" s="534">
        <v>593.01538100000005</v>
      </c>
    </row>
    <row r="105" spans="2:5" x14ac:dyDescent="0.2">
      <c r="B105" s="533">
        <v>100</v>
      </c>
      <c r="C105" s="541" t="s">
        <v>1096</v>
      </c>
      <c r="D105" s="656" t="s">
        <v>436</v>
      </c>
      <c r="E105" s="534">
        <v>598.21818399999995</v>
      </c>
    </row>
    <row r="106" spans="2:5" x14ac:dyDescent="0.2">
      <c r="B106" s="533">
        <v>101</v>
      </c>
      <c r="C106" s="541" t="s">
        <v>1565</v>
      </c>
      <c r="D106" s="656" t="s">
        <v>436</v>
      </c>
      <c r="E106" s="534">
        <v>624.90000399999997</v>
      </c>
    </row>
    <row r="107" spans="2:5" x14ac:dyDescent="0.2">
      <c r="B107" s="533">
        <v>102</v>
      </c>
      <c r="C107" s="541" t="s">
        <v>1517</v>
      </c>
      <c r="D107" s="656" t="s">
        <v>436</v>
      </c>
      <c r="E107" s="534">
        <v>621.875</v>
      </c>
    </row>
    <row r="108" spans="2:5" x14ac:dyDescent="0.2">
      <c r="B108" s="533">
        <v>103</v>
      </c>
      <c r="C108" s="541" t="s">
        <v>1197</v>
      </c>
      <c r="D108" s="656" t="s">
        <v>436</v>
      </c>
      <c r="E108" s="534">
        <v>604.05999099999997</v>
      </c>
    </row>
    <row r="109" spans="2:5" x14ac:dyDescent="0.2">
      <c r="B109" s="533">
        <v>104</v>
      </c>
      <c r="C109" s="541" t="s">
        <v>7130</v>
      </c>
      <c r="D109" s="656" t="s">
        <v>436</v>
      </c>
      <c r="E109" s="534">
        <v>640.375</v>
      </c>
    </row>
    <row r="110" spans="2:5" x14ac:dyDescent="0.2">
      <c r="B110" s="533">
        <v>105</v>
      </c>
      <c r="C110" s="541" t="s">
        <v>759</v>
      </c>
      <c r="D110" s="656" t="s">
        <v>436</v>
      </c>
      <c r="E110" s="534">
        <v>562.02500899999995</v>
      </c>
    </row>
    <row r="111" spans="2:5" x14ac:dyDescent="0.2">
      <c r="B111" s="533">
        <v>106</v>
      </c>
      <c r="C111" s="541" t="s">
        <v>765</v>
      </c>
      <c r="D111" s="656" t="s">
        <v>436</v>
      </c>
      <c r="E111" s="534">
        <v>563.02000699999996</v>
      </c>
    </row>
    <row r="112" spans="2:5" x14ac:dyDescent="0.2">
      <c r="B112" s="533">
        <v>107</v>
      </c>
      <c r="C112" s="541" t="s">
        <v>741</v>
      </c>
      <c r="D112" s="656" t="s">
        <v>436</v>
      </c>
      <c r="E112" s="534">
        <v>557.44998899999996</v>
      </c>
    </row>
    <row r="113" spans="2:5" x14ac:dyDescent="0.2">
      <c r="B113" s="533">
        <v>108</v>
      </c>
      <c r="C113" s="541" t="s">
        <v>1006</v>
      </c>
      <c r="D113" s="656" t="s">
        <v>436</v>
      </c>
      <c r="E113" s="534">
        <v>590.69999600000006</v>
      </c>
    </row>
    <row r="114" spans="2:5" x14ac:dyDescent="0.2">
      <c r="B114" s="533">
        <v>109</v>
      </c>
      <c r="C114" s="541" t="s">
        <v>2906</v>
      </c>
      <c r="D114" s="656" t="s">
        <v>436</v>
      </c>
      <c r="E114" s="534">
        <v>686.34999100000005</v>
      </c>
    </row>
    <row r="115" spans="2:5" x14ac:dyDescent="0.2">
      <c r="B115" s="533">
        <v>110</v>
      </c>
      <c r="C115" s="541" t="s">
        <v>1934</v>
      </c>
      <c r="D115" s="656" t="s">
        <v>436</v>
      </c>
      <c r="E115" s="534">
        <v>641.54999999999995</v>
      </c>
    </row>
    <row r="116" spans="2:5" x14ac:dyDescent="0.2">
      <c r="B116" s="533">
        <v>111</v>
      </c>
      <c r="C116" s="541" t="s">
        <v>2479</v>
      </c>
      <c r="D116" s="656" t="s">
        <v>436</v>
      </c>
      <c r="E116" s="534">
        <v>665.34615399999996</v>
      </c>
    </row>
    <row r="117" spans="2:5" x14ac:dyDescent="0.2">
      <c r="B117" s="533">
        <v>112</v>
      </c>
      <c r="C117" s="541" t="s">
        <v>6850</v>
      </c>
      <c r="D117" s="656" t="s">
        <v>436</v>
      </c>
      <c r="E117" s="534">
        <v>586.56666399999995</v>
      </c>
    </row>
    <row r="118" spans="2:5" x14ac:dyDescent="0.2">
      <c r="B118" s="533">
        <v>113</v>
      </c>
      <c r="C118" s="541" t="s">
        <v>1004</v>
      </c>
      <c r="D118" s="656" t="s">
        <v>436</v>
      </c>
      <c r="E118" s="534">
        <v>590.38666999999998</v>
      </c>
    </row>
    <row r="119" spans="2:5" x14ac:dyDescent="0.2">
      <c r="B119" s="533">
        <v>114</v>
      </c>
      <c r="C119" s="541" t="s">
        <v>1263</v>
      </c>
      <c r="D119" s="656" t="s">
        <v>436</v>
      </c>
      <c r="E119" s="534">
        <v>607.67999899999995</v>
      </c>
    </row>
    <row r="120" spans="2:5" x14ac:dyDescent="0.2">
      <c r="B120" s="533">
        <v>115</v>
      </c>
      <c r="C120" s="541" t="s">
        <v>920</v>
      </c>
      <c r="D120" s="656" t="s">
        <v>436</v>
      </c>
      <c r="E120" s="534">
        <v>635.64999399999999</v>
      </c>
    </row>
    <row r="121" spans="2:5" x14ac:dyDescent="0.2">
      <c r="B121" s="533">
        <v>116</v>
      </c>
      <c r="C121" s="541" t="s">
        <v>791</v>
      </c>
      <c r="D121" s="656" t="s">
        <v>436</v>
      </c>
      <c r="E121" s="534">
        <v>567.21249399999999</v>
      </c>
    </row>
    <row r="122" spans="2:5" x14ac:dyDescent="0.2">
      <c r="B122" s="533">
        <v>117</v>
      </c>
      <c r="C122" s="541" t="s">
        <v>7540</v>
      </c>
      <c r="D122" s="656" t="s">
        <v>436</v>
      </c>
      <c r="E122" s="534">
        <v>578.84999600000003</v>
      </c>
    </row>
    <row r="123" spans="2:5" x14ac:dyDescent="0.2">
      <c r="B123" s="533">
        <v>118</v>
      </c>
      <c r="C123" s="541" t="s">
        <v>7257</v>
      </c>
      <c r="D123" s="656" t="s">
        <v>436</v>
      </c>
      <c r="E123" s="534">
        <v>576.885716</v>
      </c>
    </row>
    <row r="124" spans="2:5" x14ac:dyDescent="0.2">
      <c r="B124" s="533">
        <v>119</v>
      </c>
      <c r="C124" s="541" t="s">
        <v>940</v>
      </c>
      <c r="D124" s="656" t="s">
        <v>436</v>
      </c>
      <c r="E124" s="534">
        <v>583.93332899999996</v>
      </c>
    </row>
    <row r="125" spans="2:5" x14ac:dyDescent="0.2">
      <c r="B125" s="533">
        <v>120</v>
      </c>
      <c r="C125" s="541" t="s">
        <v>1303</v>
      </c>
      <c r="D125" s="656" t="s">
        <v>436</v>
      </c>
      <c r="E125" s="534">
        <v>610.35000600000001</v>
      </c>
    </row>
    <row r="126" spans="2:5" x14ac:dyDescent="0.2">
      <c r="B126" s="533">
        <v>121</v>
      </c>
      <c r="C126" s="541" t="s">
        <v>1282</v>
      </c>
      <c r="D126" s="656" t="s">
        <v>436</v>
      </c>
      <c r="E126" s="534">
        <v>609.20001200000002</v>
      </c>
    </row>
    <row r="127" spans="2:5" x14ac:dyDescent="0.2">
      <c r="B127" s="533">
        <v>122</v>
      </c>
      <c r="C127" s="541" t="s">
        <v>2089</v>
      </c>
      <c r="D127" s="656" t="s">
        <v>436</v>
      </c>
      <c r="E127" s="534">
        <v>648.07499700000005</v>
      </c>
    </row>
    <row r="128" spans="2:5" x14ac:dyDescent="0.2">
      <c r="B128" s="533">
        <v>123</v>
      </c>
      <c r="C128" s="541" t="s">
        <v>2132</v>
      </c>
      <c r="D128" s="656" t="s">
        <v>436</v>
      </c>
      <c r="E128" s="534">
        <v>650.38420699999995</v>
      </c>
    </row>
    <row r="129" spans="2:5" x14ac:dyDescent="0.2">
      <c r="B129" s="533">
        <v>124</v>
      </c>
      <c r="C129" s="541" t="s">
        <v>1224</v>
      </c>
      <c r="D129" s="656" t="s">
        <v>436</v>
      </c>
      <c r="E129" s="534">
        <v>605.73076900000001</v>
      </c>
    </row>
    <row r="130" spans="2:5" x14ac:dyDescent="0.2">
      <c r="B130" s="533">
        <v>125</v>
      </c>
      <c r="C130" s="541" t="s">
        <v>1469</v>
      </c>
      <c r="D130" s="656" t="s">
        <v>436</v>
      </c>
      <c r="E130" s="534">
        <v>619.08335399999999</v>
      </c>
    </row>
    <row r="131" spans="2:5" x14ac:dyDescent="0.2">
      <c r="B131" s="533">
        <v>126</v>
      </c>
      <c r="C131" s="541" t="s">
        <v>1192</v>
      </c>
      <c r="D131" s="656" t="s">
        <v>436</v>
      </c>
      <c r="E131" s="534">
        <v>603.84999100000005</v>
      </c>
    </row>
    <row r="132" spans="2:5" x14ac:dyDescent="0.2">
      <c r="B132" s="533">
        <v>150</v>
      </c>
      <c r="C132" s="541" t="s">
        <v>2046</v>
      </c>
      <c r="D132" s="656" t="s">
        <v>436</v>
      </c>
      <c r="E132" s="534">
        <v>645.69999199999995</v>
      </c>
    </row>
    <row r="133" spans="2:5" x14ac:dyDescent="0.2">
      <c r="B133" s="533">
        <v>151</v>
      </c>
      <c r="C133" s="541" t="s">
        <v>5135</v>
      </c>
      <c r="D133" s="656" t="s">
        <v>434</v>
      </c>
      <c r="E133" s="534">
        <v>838.10000300000002</v>
      </c>
    </row>
    <row r="134" spans="2:5" x14ac:dyDescent="0.2">
      <c r="B134" s="533">
        <v>152</v>
      </c>
      <c r="C134" s="541" t="s">
        <v>5492</v>
      </c>
      <c r="D134" s="656" t="s">
        <v>434</v>
      </c>
      <c r="E134" s="534">
        <v>896.10000600000001</v>
      </c>
    </row>
    <row r="135" spans="2:5" x14ac:dyDescent="0.2">
      <c r="B135" s="533">
        <v>153</v>
      </c>
      <c r="C135" s="541" t="s">
        <v>5676</v>
      </c>
      <c r="D135" s="656" t="s">
        <v>434</v>
      </c>
      <c r="E135" s="534">
        <v>934.59343799999999</v>
      </c>
    </row>
    <row r="136" spans="2:5" x14ac:dyDescent="0.2">
      <c r="B136" s="533">
        <v>154</v>
      </c>
      <c r="C136" s="541" t="s">
        <v>5317</v>
      </c>
      <c r="D136" s="656" t="s">
        <v>434</v>
      </c>
      <c r="E136" s="534">
        <v>866.79998799999998</v>
      </c>
    </row>
    <row r="137" spans="2:5" x14ac:dyDescent="0.2">
      <c r="B137" s="533">
        <v>155</v>
      </c>
      <c r="C137" s="541" t="s">
        <v>4744</v>
      </c>
      <c r="D137" s="656" t="s">
        <v>434</v>
      </c>
      <c r="E137" s="534">
        <v>800</v>
      </c>
    </row>
    <row r="138" spans="2:5" x14ac:dyDescent="0.2">
      <c r="B138" s="533">
        <v>156</v>
      </c>
      <c r="C138" s="541" t="s">
        <v>5546</v>
      </c>
      <c r="D138" s="656" t="s">
        <v>434</v>
      </c>
      <c r="E138" s="534">
        <v>905.72500600000001</v>
      </c>
    </row>
    <row r="139" spans="2:5" x14ac:dyDescent="0.2">
      <c r="B139" s="533">
        <v>157</v>
      </c>
      <c r="C139" s="541" t="s">
        <v>5417</v>
      </c>
      <c r="D139" s="656" t="s">
        <v>434</v>
      </c>
      <c r="E139" s="534">
        <v>883.75</v>
      </c>
    </row>
    <row r="140" spans="2:5" x14ac:dyDescent="0.2">
      <c r="B140" s="533">
        <v>158</v>
      </c>
      <c r="C140" s="541" t="s">
        <v>4313</v>
      </c>
      <c r="D140" s="656" t="s">
        <v>434</v>
      </c>
      <c r="E140" s="534">
        <v>766.40000399999997</v>
      </c>
    </row>
    <row r="141" spans="2:5" x14ac:dyDescent="0.2">
      <c r="B141" s="533">
        <v>159</v>
      </c>
      <c r="C141" s="541" t="s">
        <v>7189</v>
      </c>
      <c r="D141" s="656" t="s">
        <v>434</v>
      </c>
      <c r="E141" s="534">
        <v>844.62501499999996</v>
      </c>
    </row>
    <row r="142" spans="2:5" x14ac:dyDescent="0.2">
      <c r="B142" s="533">
        <v>160</v>
      </c>
      <c r="C142" s="541" t="s">
        <v>5412</v>
      </c>
      <c r="D142" s="656" t="s">
        <v>434</v>
      </c>
      <c r="E142" s="534">
        <v>882.75833599999999</v>
      </c>
    </row>
    <row r="143" spans="2:5" x14ac:dyDescent="0.2">
      <c r="B143" s="533">
        <v>161</v>
      </c>
      <c r="C143" s="541" t="s">
        <v>7361</v>
      </c>
      <c r="D143" s="656" t="s">
        <v>434</v>
      </c>
      <c r="E143" s="534">
        <v>858.50000499999999</v>
      </c>
    </row>
    <row r="144" spans="2:5" x14ac:dyDescent="0.2">
      <c r="B144" s="533">
        <v>162</v>
      </c>
      <c r="C144" s="541" t="s">
        <v>6872</v>
      </c>
      <c r="D144" s="656" t="s">
        <v>434</v>
      </c>
      <c r="E144" s="534">
        <v>865.02499399999999</v>
      </c>
    </row>
    <row r="145" spans="2:5" x14ac:dyDescent="0.2">
      <c r="B145" s="533">
        <v>163</v>
      </c>
      <c r="C145" s="541" t="s">
        <v>5100</v>
      </c>
      <c r="D145" s="656" t="s">
        <v>434</v>
      </c>
      <c r="E145" s="534">
        <v>834.29998799999998</v>
      </c>
    </row>
    <row r="146" spans="2:5" x14ac:dyDescent="0.2">
      <c r="B146" s="533">
        <v>164</v>
      </c>
      <c r="C146" s="541" t="s">
        <v>5235</v>
      </c>
      <c r="D146" s="656" t="s">
        <v>434</v>
      </c>
      <c r="E146" s="534">
        <v>852.99286300000006</v>
      </c>
    </row>
    <row r="147" spans="2:5" x14ac:dyDescent="0.2">
      <c r="B147" s="533">
        <v>165</v>
      </c>
      <c r="C147" s="541" t="s">
        <v>7364</v>
      </c>
      <c r="D147" s="656" t="s">
        <v>434</v>
      </c>
      <c r="E147" s="534">
        <v>809.51999499999999</v>
      </c>
    </row>
    <row r="148" spans="2:5" x14ac:dyDescent="0.2">
      <c r="B148" s="533">
        <v>166</v>
      </c>
      <c r="C148" s="541" t="s">
        <v>7360</v>
      </c>
      <c r="D148" s="656" t="s">
        <v>434</v>
      </c>
      <c r="E148" s="534">
        <v>743.59999600000003</v>
      </c>
    </row>
    <row r="149" spans="2:5" x14ac:dyDescent="0.2">
      <c r="B149" s="533">
        <v>167</v>
      </c>
      <c r="C149" s="541" t="s">
        <v>6523</v>
      </c>
      <c r="D149" s="656" t="s">
        <v>434</v>
      </c>
      <c r="E149" s="534">
        <v>750.51999499999999</v>
      </c>
    </row>
    <row r="150" spans="2:5" x14ac:dyDescent="0.2">
      <c r="B150" s="533">
        <v>168</v>
      </c>
      <c r="C150" s="541" t="s">
        <v>7362</v>
      </c>
      <c r="D150" s="656" t="s">
        <v>434</v>
      </c>
      <c r="E150" s="534">
        <v>844.62501499999996</v>
      </c>
    </row>
    <row r="151" spans="2:5" x14ac:dyDescent="0.2">
      <c r="B151" s="533">
        <v>169</v>
      </c>
      <c r="C151" s="541" t="s">
        <v>4754</v>
      </c>
      <c r="D151" s="656" t="s">
        <v>434</v>
      </c>
      <c r="E151" s="534">
        <v>801.14999399999999</v>
      </c>
    </row>
    <row r="152" spans="2:5" x14ac:dyDescent="0.2">
      <c r="B152" s="533">
        <v>170</v>
      </c>
      <c r="C152" s="541" t="s">
        <v>5272</v>
      </c>
      <c r="D152" s="656" t="s">
        <v>434</v>
      </c>
      <c r="E152" s="534">
        <v>858.39444300000002</v>
      </c>
    </row>
    <row r="153" spans="2:5" x14ac:dyDescent="0.2">
      <c r="B153" s="533">
        <v>171</v>
      </c>
      <c r="C153" s="541" t="s">
        <v>6778</v>
      </c>
      <c r="D153" s="656" t="s">
        <v>434</v>
      </c>
      <c r="E153" s="534">
        <v>701.89999399999999</v>
      </c>
    </row>
    <row r="154" spans="2:5" x14ac:dyDescent="0.2">
      <c r="B154" s="533">
        <v>172</v>
      </c>
      <c r="C154" s="541" t="s">
        <v>2334</v>
      </c>
      <c r="D154" s="656" t="s">
        <v>434</v>
      </c>
      <c r="E154" s="534">
        <v>659.34286099999997</v>
      </c>
    </row>
    <row r="155" spans="2:5" x14ac:dyDescent="0.2">
      <c r="B155" s="533">
        <v>173</v>
      </c>
      <c r="C155" s="541" t="s">
        <v>3780</v>
      </c>
      <c r="D155" s="656" t="s">
        <v>434</v>
      </c>
      <c r="E155" s="534">
        <v>732.02499399999999</v>
      </c>
    </row>
    <row r="156" spans="2:5" x14ac:dyDescent="0.2">
      <c r="B156" s="533">
        <v>174</v>
      </c>
      <c r="C156" s="541" t="s">
        <v>7363</v>
      </c>
      <c r="D156" s="656" t="s">
        <v>434</v>
      </c>
      <c r="E156" s="534">
        <v>768.76668299999994</v>
      </c>
    </row>
    <row r="157" spans="2:5" x14ac:dyDescent="0.2">
      <c r="B157" s="533">
        <v>175</v>
      </c>
      <c r="C157" s="541" t="s">
        <v>4139</v>
      </c>
      <c r="D157" s="656" t="s">
        <v>434</v>
      </c>
      <c r="E157" s="534">
        <v>753.9</v>
      </c>
    </row>
    <row r="158" spans="2:5" x14ac:dyDescent="0.2">
      <c r="B158" s="533">
        <v>176</v>
      </c>
      <c r="C158" s="541" t="s">
        <v>4902</v>
      </c>
      <c r="D158" s="656" t="s">
        <v>434</v>
      </c>
      <c r="E158" s="534">
        <v>813.25</v>
      </c>
    </row>
    <row r="159" spans="2:5" x14ac:dyDescent="0.2">
      <c r="B159" s="533">
        <v>177</v>
      </c>
      <c r="C159" s="541" t="s">
        <v>5206</v>
      </c>
      <c r="D159" s="656" t="s">
        <v>434</v>
      </c>
      <c r="E159" s="534">
        <v>847.70999099999995</v>
      </c>
    </row>
    <row r="160" spans="2:5" x14ac:dyDescent="0.2">
      <c r="B160" s="533">
        <v>178</v>
      </c>
      <c r="C160" s="541" t="s">
        <v>3605</v>
      </c>
      <c r="D160" s="656" t="s">
        <v>434</v>
      </c>
      <c r="E160" s="534">
        <v>722.58571099999995</v>
      </c>
    </row>
    <row r="161" spans="2:5" x14ac:dyDescent="0.2">
      <c r="B161" s="533">
        <v>179</v>
      </c>
      <c r="C161" s="541" t="s">
        <v>1869</v>
      </c>
      <c r="D161" s="656" t="s">
        <v>434</v>
      </c>
      <c r="E161" s="534">
        <v>639.17500299999995</v>
      </c>
    </row>
    <row r="162" spans="2:5" x14ac:dyDescent="0.2">
      <c r="B162" s="533">
        <v>180</v>
      </c>
      <c r="C162" s="541" t="s">
        <v>1577</v>
      </c>
      <c r="D162" s="656" t="s">
        <v>434</v>
      </c>
      <c r="E162" s="534">
        <v>625.64999399999999</v>
      </c>
    </row>
    <row r="163" spans="2:5" x14ac:dyDescent="0.2">
      <c r="B163" s="533">
        <v>181</v>
      </c>
      <c r="C163" s="541" t="s">
        <v>3005</v>
      </c>
      <c r="D163" s="656" t="s">
        <v>434</v>
      </c>
      <c r="E163" s="534">
        <v>691.46666500000003</v>
      </c>
    </row>
    <row r="164" spans="2:5" x14ac:dyDescent="0.2">
      <c r="B164" s="533">
        <v>182</v>
      </c>
      <c r="C164" s="541" t="s">
        <v>4794</v>
      </c>
      <c r="D164" s="656" t="s">
        <v>434</v>
      </c>
      <c r="E164" s="534">
        <v>803.76666299999999</v>
      </c>
    </row>
    <row r="165" spans="2:5" x14ac:dyDescent="0.2">
      <c r="B165" s="533">
        <v>183</v>
      </c>
      <c r="C165" s="541" t="s">
        <v>4318</v>
      </c>
      <c r="D165" s="656" t="s">
        <v>434</v>
      </c>
      <c r="E165" s="534">
        <v>766.87999300000001</v>
      </c>
    </row>
    <row r="166" spans="2:5" x14ac:dyDescent="0.2">
      <c r="B166" s="533">
        <v>184</v>
      </c>
      <c r="C166" s="541" t="s">
        <v>1042</v>
      </c>
      <c r="D166" s="656" t="s">
        <v>434</v>
      </c>
      <c r="E166" s="534">
        <v>594</v>
      </c>
    </row>
    <row r="167" spans="2:5" x14ac:dyDescent="0.2">
      <c r="B167" s="533">
        <v>185</v>
      </c>
      <c r="C167" s="541" t="s">
        <v>1753</v>
      </c>
      <c r="D167" s="656" t="s">
        <v>434</v>
      </c>
      <c r="E167" s="534">
        <v>634.39999799999998</v>
      </c>
    </row>
    <row r="168" spans="2:5" x14ac:dyDescent="0.2">
      <c r="B168" s="533">
        <v>186</v>
      </c>
      <c r="C168" s="541" t="s">
        <v>4183</v>
      </c>
      <c r="D168" s="656" t="s">
        <v>434</v>
      </c>
      <c r="E168" s="534">
        <v>756.96429899999998</v>
      </c>
    </row>
    <row r="169" spans="2:5" x14ac:dyDescent="0.2">
      <c r="B169" s="533">
        <v>187</v>
      </c>
      <c r="C169" s="541" t="s">
        <v>4458</v>
      </c>
      <c r="D169" s="656" t="s">
        <v>434</v>
      </c>
      <c r="E169" s="534">
        <v>778.00000899999998</v>
      </c>
    </row>
    <row r="170" spans="2:5" x14ac:dyDescent="0.2">
      <c r="B170" s="533">
        <v>188</v>
      </c>
      <c r="C170" s="541" t="s">
        <v>2835</v>
      </c>
      <c r="D170" s="656" t="s">
        <v>434</v>
      </c>
      <c r="E170" s="534">
        <v>683.75</v>
      </c>
    </row>
    <row r="171" spans="2:5" x14ac:dyDescent="0.2">
      <c r="B171" s="533">
        <v>189</v>
      </c>
      <c r="C171" s="541" t="s">
        <v>1129</v>
      </c>
      <c r="D171" s="656" t="s">
        <v>434</v>
      </c>
      <c r="E171" s="534">
        <v>681.07499700000005</v>
      </c>
    </row>
    <row r="172" spans="2:5" x14ac:dyDescent="0.2">
      <c r="B172" s="533">
        <v>190</v>
      </c>
      <c r="C172" s="541" t="s">
        <v>2877</v>
      </c>
      <c r="D172" s="656" t="s">
        <v>434</v>
      </c>
      <c r="E172" s="534">
        <v>685.48999600000002</v>
      </c>
    </row>
    <row r="173" spans="2:5" x14ac:dyDescent="0.2">
      <c r="B173" s="533">
        <v>191</v>
      </c>
      <c r="C173" s="541" t="s">
        <v>992</v>
      </c>
      <c r="D173" s="656" t="s">
        <v>434</v>
      </c>
      <c r="E173" s="534">
        <v>589.30001800000002</v>
      </c>
    </row>
    <row r="174" spans="2:5" x14ac:dyDescent="0.2">
      <c r="B174" s="533">
        <v>192</v>
      </c>
      <c r="C174" s="541" t="s">
        <v>3146</v>
      </c>
      <c r="D174" s="656" t="s">
        <v>436</v>
      </c>
      <c r="E174" s="534">
        <v>699.20001200000002</v>
      </c>
    </row>
    <row r="175" spans="2:5" x14ac:dyDescent="0.2">
      <c r="B175" s="533">
        <v>193</v>
      </c>
      <c r="C175" s="541" t="s">
        <v>6550</v>
      </c>
      <c r="D175" s="656" t="s">
        <v>434</v>
      </c>
      <c r="E175" s="534">
        <v>631.45001200000002</v>
      </c>
    </row>
    <row r="176" spans="2:5" x14ac:dyDescent="0.2">
      <c r="B176" s="533">
        <v>194</v>
      </c>
      <c r="C176" s="541" t="s">
        <v>2826</v>
      </c>
      <c r="D176" s="656" t="s">
        <v>434</v>
      </c>
      <c r="E176" s="534">
        <v>683.12498500000004</v>
      </c>
    </row>
    <row r="177" spans="2:5" x14ac:dyDescent="0.2">
      <c r="B177" s="533">
        <v>195</v>
      </c>
      <c r="C177" s="541" t="s">
        <v>3739</v>
      </c>
      <c r="D177" s="656" t="s">
        <v>434</v>
      </c>
      <c r="E177" s="534">
        <v>729.61250299999995</v>
      </c>
    </row>
    <row r="178" spans="2:5" x14ac:dyDescent="0.2">
      <c r="B178" s="533">
        <v>196</v>
      </c>
      <c r="C178" s="541" t="s">
        <v>4263</v>
      </c>
      <c r="D178" s="656" t="s">
        <v>434</v>
      </c>
      <c r="E178" s="534">
        <v>762.80000500000006</v>
      </c>
    </row>
    <row r="179" spans="2:5" x14ac:dyDescent="0.2">
      <c r="B179" s="533">
        <v>197</v>
      </c>
      <c r="C179" s="541" t="s">
        <v>4603</v>
      </c>
      <c r="D179" s="656" t="s">
        <v>434</v>
      </c>
      <c r="E179" s="534">
        <v>788.8</v>
      </c>
    </row>
    <row r="180" spans="2:5" x14ac:dyDescent="0.2">
      <c r="B180" s="533">
        <v>198</v>
      </c>
      <c r="C180" s="541" t="s">
        <v>3641</v>
      </c>
      <c r="D180" s="656" t="s">
        <v>434</v>
      </c>
      <c r="E180" s="534">
        <v>724.42499499999997</v>
      </c>
    </row>
    <row r="181" spans="2:5" x14ac:dyDescent="0.2">
      <c r="B181" s="533">
        <v>199</v>
      </c>
      <c r="C181" s="541" t="s">
        <v>4099</v>
      </c>
      <c r="D181" s="656" t="s">
        <v>434</v>
      </c>
      <c r="E181" s="534">
        <v>751.20000700000003</v>
      </c>
    </row>
    <row r="182" spans="2:5" x14ac:dyDescent="0.2">
      <c r="B182" s="533">
        <v>200</v>
      </c>
      <c r="C182" s="541" t="s">
        <v>4310</v>
      </c>
      <c r="D182" s="656" t="s">
        <v>434</v>
      </c>
      <c r="E182" s="534">
        <v>766.19999199999995</v>
      </c>
    </row>
    <row r="183" spans="2:5" x14ac:dyDescent="0.2">
      <c r="B183" s="533">
        <v>201</v>
      </c>
      <c r="C183" s="541" t="s">
        <v>2821</v>
      </c>
      <c r="D183" s="656" t="s">
        <v>434</v>
      </c>
      <c r="E183" s="534">
        <v>682.77999299999999</v>
      </c>
    </row>
    <row r="184" spans="2:5" x14ac:dyDescent="0.2">
      <c r="B184" s="533">
        <v>202</v>
      </c>
      <c r="C184" s="541" t="s">
        <v>1521</v>
      </c>
      <c r="D184" s="656" t="s">
        <v>434</v>
      </c>
      <c r="E184" s="534">
        <v>622</v>
      </c>
    </row>
    <row r="185" spans="2:5" x14ac:dyDescent="0.2">
      <c r="B185" s="533">
        <v>203</v>
      </c>
      <c r="C185" s="541" t="s">
        <v>1553</v>
      </c>
      <c r="D185" s="656" t="s">
        <v>434</v>
      </c>
      <c r="E185" s="534">
        <v>624.36665900000003</v>
      </c>
    </row>
    <row r="186" spans="2:5" x14ac:dyDescent="0.2">
      <c r="B186" s="533">
        <v>204</v>
      </c>
      <c r="C186" s="541" t="s">
        <v>1537</v>
      </c>
      <c r="D186" s="656" t="s">
        <v>434</v>
      </c>
      <c r="E186" s="534">
        <v>623.56666099999995</v>
      </c>
    </row>
    <row r="187" spans="2:5" x14ac:dyDescent="0.2">
      <c r="B187" s="533">
        <v>205</v>
      </c>
      <c r="C187" s="541" t="s">
        <v>7588</v>
      </c>
      <c r="D187" s="656" t="s">
        <v>434</v>
      </c>
      <c r="E187" s="534">
        <v>674.89998400000002</v>
      </c>
    </row>
    <row r="188" spans="2:5" x14ac:dyDescent="0.2">
      <c r="B188" s="533">
        <v>206</v>
      </c>
      <c r="C188" s="541" t="s">
        <v>2231</v>
      </c>
      <c r="D188" s="656" t="s">
        <v>434</v>
      </c>
      <c r="E188" s="534">
        <v>654.76666299999999</v>
      </c>
    </row>
    <row r="189" spans="2:5" x14ac:dyDescent="0.2">
      <c r="B189" s="533">
        <v>207</v>
      </c>
      <c r="C189" s="541" t="s">
        <v>2133</v>
      </c>
      <c r="D189" s="656" t="s">
        <v>434</v>
      </c>
      <c r="E189" s="534">
        <v>650.53334600000005</v>
      </c>
    </row>
    <row r="190" spans="2:5" x14ac:dyDescent="0.2">
      <c r="B190" s="533">
        <v>208</v>
      </c>
      <c r="C190" s="541" t="s">
        <v>1098</v>
      </c>
      <c r="D190" s="656" t="s">
        <v>434</v>
      </c>
      <c r="E190" s="534">
        <v>598.38889600000005</v>
      </c>
    </row>
    <row r="191" spans="2:5" x14ac:dyDescent="0.2">
      <c r="B191" s="533">
        <v>209</v>
      </c>
      <c r="C191" s="541" t="s">
        <v>6917</v>
      </c>
      <c r="D191" s="656" t="s">
        <v>434</v>
      </c>
      <c r="E191" s="534">
        <v>583.12306599999999</v>
      </c>
    </row>
    <row r="192" spans="2:5" x14ac:dyDescent="0.2">
      <c r="B192" s="533">
        <v>210</v>
      </c>
      <c r="C192" s="541" t="s">
        <v>4259</v>
      </c>
      <c r="D192" s="656" t="s">
        <v>434</v>
      </c>
      <c r="E192" s="534">
        <v>762.59997599999997</v>
      </c>
    </row>
    <row r="193" spans="2:5" x14ac:dyDescent="0.2">
      <c r="B193" s="533">
        <v>211</v>
      </c>
      <c r="C193" s="541" t="s">
        <v>3514</v>
      </c>
      <c r="D193" s="656" t="s">
        <v>434</v>
      </c>
      <c r="E193" s="534">
        <v>717.56664999999998</v>
      </c>
    </row>
    <row r="194" spans="2:5" x14ac:dyDescent="0.2">
      <c r="B194" s="533">
        <v>212</v>
      </c>
      <c r="C194" s="541" t="s">
        <v>7216</v>
      </c>
      <c r="D194" s="656" t="s">
        <v>434</v>
      </c>
      <c r="E194" s="534">
        <v>681.74998500000004</v>
      </c>
    </row>
    <row r="195" spans="2:5" x14ac:dyDescent="0.2">
      <c r="B195" s="533">
        <v>213</v>
      </c>
      <c r="C195" s="541" t="s">
        <v>7574</v>
      </c>
      <c r="D195" s="656" t="s">
        <v>434</v>
      </c>
      <c r="E195" s="534">
        <v>713.44999700000005</v>
      </c>
    </row>
    <row r="196" spans="2:5" x14ac:dyDescent="0.2">
      <c r="B196" s="533">
        <v>214</v>
      </c>
      <c r="C196" s="541" t="s">
        <v>7432</v>
      </c>
      <c r="D196" s="656" t="s">
        <v>434</v>
      </c>
      <c r="E196" s="534">
        <v>710.42501100000004</v>
      </c>
    </row>
    <row r="197" spans="2:5" x14ac:dyDescent="0.2">
      <c r="B197" s="533">
        <v>215</v>
      </c>
      <c r="C197" s="541" t="s">
        <v>1995</v>
      </c>
      <c r="D197" s="656" t="s">
        <v>434</v>
      </c>
      <c r="E197" s="534">
        <v>715.95001200000002</v>
      </c>
    </row>
    <row r="198" spans="2:5" x14ac:dyDescent="0.2">
      <c r="B198" s="533">
        <v>216</v>
      </c>
      <c r="C198" s="541" t="s">
        <v>6862</v>
      </c>
      <c r="D198" s="656" t="s">
        <v>434</v>
      </c>
      <c r="E198" s="534">
        <v>590.6</v>
      </c>
    </row>
    <row r="199" spans="2:5" x14ac:dyDescent="0.2">
      <c r="B199" s="533">
        <v>217</v>
      </c>
      <c r="C199" s="541" t="s">
        <v>1364</v>
      </c>
      <c r="D199" s="656" t="s">
        <v>434</v>
      </c>
      <c r="E199" s="534">
        <v>669.48751100000004</v>
      </c>
    </row>
    <row r="200" spans="2:5" x14ac:dyDescent="0.2">
      <c r="B200" s="533">
        <v>218</v>
      </c>
      <c r="C200" s="541" t="s">
        <v>1263</v>
      </c>
      <c r="D200" s="656" t="s">
        <v>434</v>
      </c>
      <c r="E200" s="534">
        <v>646.32000700000003</v>
      </c>
    </row>
    <row r="201" spans="2:5" x14ac:dyDescent="0.2">
      <c r="B201" s="533">
        <v>219</v>
      </c>
      <c r="C201" s="541" t="s">
        <v>3263</v>
      </c>
      <c r="D201" s="656" t="s">
        <v>434</v>
      </c>
      <c r="E201" s="534">
        <v>704.20001200000002</v>
      </c>
    </row>
    <row r="202" spans="2:5" x14ac:dyDescent="0.2">
      <c r="B202" s="533">
        <v>220</v>
      </c>
      <c r="C202" s="541" t="s">
        <v>2647</v>
      </c>
      <c r="D202" s="656" t="s">
        <v>434</v>
      </c>
      <c r="E202" s="534">
        <v>674.14999399999999</v>
      </c>
    </row>
    <row r="203" spans="2:5" x14ac:dyDescent="0.2">
      <c r="B203" s="533">
        <v>221</v>
      </c>
      <c r="C203" s="541" t="s">
        <v>2547</v>
      </c>
      <c r="D203" s="656" t="s">
        <v>434</v>
      </c>
      <c r="E203" s="534">
        <v>668.68333900000005</v>
      </c>
    </row>
    <row r="204" spans="2:5" x14ac:dyDescent="0.2">
      <c r="B204" s="533">
        <v>222</v>
      </c>
      <c r="C204" s="541" t="s">
        <v>1908</v>
      </c>
      <c r="D204" s="656" t="s">
        <v>434</v>
      </c>
      <c r="E204" s="534">
        <v>640.69999700000005</v>
      </c>
    </row>
    <row r="205" spans="2:5" x14ac:dyDescent="0.2">
      <c r="B205" s="533">
        <v>223</v>
      </c>
      <c r="C205" s="541" t="s">
        <v>6489</v>
      </c>
      <c r="D205" s="656" t="s">
        <v>434</v>
      </c>
      <c r="E205" s="534">
        <v>646.35555999999997</v>
      </c>
    </row>
    <row r="206" spans="2:5" x14ac:dyDescent="0.2">
      <c r="B206" s="533">
        <v>224</v>
      </c>
      <c r="C206" s="541" t="s">
        <v>6580</v>
      </c>
      <c r="D206" s="656" t="s">
        <v>434</v>
      </c>
      <c r="E206" s="534">
        <v>609.89999399999999</v>
      </c>
    </row>
    <row r="207" spans="2:5" x14ac:dyDescent="0.2">
      <c r="B207" s="533">
        <v>225</v>
      </c>
      <c r="C207" s="541" t="s">
        <v>7366</v>
      </c>
      <c r="D207" s="656" t="s">
        <v>434</v>
      </c>
      <c r="E207" s="534">
        <v>732.06087300000002</v>
      </c>
    </row>
    <row r="208" spans="2:5" x14ac:dyDescent="0.2">
      <c r="B208" s="533">
        <v>226</v>
      </c>
      <c r="C208" s="541" t="s">
        <v>3618</v>
      </c>
      <c r="D208" s="656" t="s">
        <v>434</v>
      </c>
      <c r="E208" s="534">
        <v>723.52499399999999</v>
      </c>
    </row>
    <row r="209" spans="2:5" x14ac:dyDescent="0.2">
      <c r="B209" s="533">
        <v>227</v>
      </c>
      <c r="C209" s="541" t="s">
        <v>3718</v>
      </c>
      <c r="D209" s="656" t="s">
        <v>434</v>
      </c>
      <c r="E209" s="534">
        <v>728.60868800000003</v>
      </c>
    </row>
    <row r="210" spans="2:5" x14ac:dyDescent="0.2">
      <c r="B210" s="533">
        <v>228</v>
      </c>
      <c r="C210" s="541" t="s">
        <v>772</v>
      </c>
      <c r="D210" s="656" t="s">
        <v>434</v>
      </c>
      <c r="E210" s="534">
        <v>563.89999399999999</v>
      </c>
    </row>
    <row r="211" spans="2:5" x14ac:dyDescent="0.2">
      <c r="B211" s="533">
        <v>229</v>
      </c>
      <c r="C211" s="541" t="s">
        <v>1087</v>
      </c>
      <c r="D211" s="656" t="s">
        <v>434</v>
      </c>
      <c r="E211" s="534">
        <v>597.240002</v>
      </c>
    </row>
    <row r="212" spans="2:5" x14ac:dyDescent="0.2">
      <c r="B212" s="533">
        <v>230</v>
      </c>
      <c r="C212" s="541" t="s">
        <v>2985</v>
      </c>
      <c r="D212" s="656" t="s">
        <v>434</v>
      </c>
      <c r="E212" s="534">
        <v>690.33331299999998</v>
      </c>
    </row>
    <row r="213" spans="2:5" x14ac:dyDescent="0.2">
      <c r="B213" s="533">
        <v>231</v>
      </c>
      <c r="C213" s="541" t="s">
        <v>2659</v>
      </c>
      <c r="D213" s="656" t="s">
        <v>434</v>
      </c>
      <c r="E213" s="534">
        <v>674.54000199999996</v>
      </c>
    </row>
    <row r="214" spans="2:5" x14ac:dyDescent="0.2">
      <c r="B214" s="533">
        <v>232</v>
      </c>
      <c r="C214" s="541" t="s">
        <v>7061</v>
      </c>
      <c r="D214" s="656" t="s">
        <v>434</v>
      </c>
      <c r="E214" s="534">
        <v>646.31818699999997</v>
      </c>
    </row>
    <row r="215" spans="2:5" x14ac:dyDescent="0.2">
      <c r="B215" s="533">
        <v>233</v>
      </c>
      <c r="C215" s="541" t="s">
        <v>954</v>
      </c>
      <c r="D215" s="656" t="s">
        <v>434</v>
      </c>
      <c r="E215" s="534">
        <v>585.366669</v>
      </c>
    </row>
    <row r="216" spans="2:5" x14ac:dyDescent="0.2">
      <c r="B216" s="533">
        <v>234</v>
      </c>
      <c r="C216" s="541" t="s">
        <v>1056</v>
      </c>
      <c r="D216" s="656" t="s">
        <v>434</v>
      </c>
      <c r="E216" s="534">
        <v>594.89000199999998</v>
      </c>
    </row>
    <row r="217" spans="2:5" x14ac:dyDescent="0.2">
      <c r="B217" s="533">
        <v>235</v>
      </c>
      <c r="C217" s="541" t="s">
        <v>6730</v>
      </c>
      <c r="D217" s="656" t="s">
        <v>434</v>
      </c>
      <c r="E217" s="534">
        <v>730.2</v>
      </c>
    </row>
    <row r="218" spans="2:5" x14ac:dyDescent="0.2">
      <c r="B218" s="533">
        <v>236</v>
      </c>
      <c r="C218" s="541" t="s">
        <v>3361</v>
      </c>
      <c r="D218" s="656" t="s">
        <v>434</v>
      </c>
      <c r="E218" s="534">
        <v>709.37917100000004</v>
      </c>
    </row>
    <row r="219" spans="2:5" x14ac:dyDescent="0.2">
      <c r="B219" s="533">
        <v>237</v>
      </c>
      <c r="C219" s="541" t="s">
        <v>2278</v>
      </c>
      <c r="D219" s="656" t="s">
        <v>434</v>
      </c>
      <c r="E219" s="534">
        <v>656.83333300000004</v>
      </c>
    </row>
    <row r="220" spans="2:5" x14ac:dyDescent="0.2">
      <c r="B220" s="533">
        <v>238</v>
      </c>
      <c r="C220" s="541" t="s">
        <v>6951</v>
      </c>
      <c r="D220" s="656" t="s">
        <v>434</v>
      </c>
      <c r="E220" s="534">
        <v>638.100008</v>
      </c>
    </row>
    <row r="221" spans="2:5" x14ac:dyDescent="0.2">
      <c r="B221" s="533">
        <v>239</v>
      </c>
      <c r="C221" s="541" t="s">
        <v>1964</v>
      </c>
      <c r="D221" s="656" t="s">
        <v>434</v>
      </c>
      <c r="E221" s="534">
        <v>642.49998500000004</v>
      </c>
    </row>
    <row r="222" spans="2:5" x14ac:dyDescent="0.2">
      <c r="B222" s="533">
        <v>240</v>
      </c>
      <c r="C222" s="541" t="s">
        <v>1240</v>
      </c>
      <c r="D222" s="656" t="s">
        <v>434</v>
      </c>
      <c r="E222" s="534">
        <v>606.46520999999996</v>
      </c>
    </row>
    <row r="223" spans="2:5" x14ac:dyDescent="0.2">
      <c r="B223" s="533">
        <v>241</v>
      </c>
      <c r="C223" s="541" t="s">
        <v>1073</v>
      </c>
      <c r="D223" s="656" t="s">
        <v>434</v>
      </c>
      <c r="E223" s="534">
        <v>596.23333700000001</v>
      </c>
    </row>
    <row r="224" spans="2:5" x14ac:dyDescent="0.2">
      <c r="B224" s="533">
        <v>242</v>
      </c>
      <c r="C224" s="541" t="s">
        <v>1220</v>
      </c>
      <c r="D224" s="656" t="s">
        <v>434</v>
      </c>
      <c r="E224" s="534">
        <v>605.42500299999995</v>
      </c>
    </row>
    <row r="225" spans="2:5" x14ac:dyDescent="0.2">
      <c r="B225" s="533">
        <v>243</v>
      </c>
      <c r="C225" s="541" t="s">
        <v>3879</v>
      </c>
      <c r="D225" s="656" t="s">
        <v>434</v>
      </c>
      <c r="E225" s="534">
        <v>738.03334600000005</v>
      </c>
    </row>
    <row r="226" spans="2:5" x14ac:dyDescent="0.2">
      <c r="B226" s="533">
        <v>244</v>
      </c>
      <c r="C226" s="541" t="s">
        <v>2624</v>
      </c>
      <c r="D226" s="656" t="s">
        <v>434</v>
      </c>
      <c r="E226" s="534">
        <v>673.11665900000003</v>
      </c>
    </row>
    <row r="227" spans="2:5" x14ac:dyDescent="0.2">
      <c r="B227" s="533">
        <v>245</v>
      </c>
      <c r="C227" s="541" t="s">
        <v>1045</v>
      </c>
      <c r="D227" s="656" t="s">
        <v>434</v>
      </c>
      <c r="E227" s="534">
        <v>652.72858499999995</v>
      </c>
    </row>
    <row r="228" spans="2:5" x14ac:dyDescent="0.2">
      <c r="B228" s="533">
        <v>246</v>
      </c>
      <c r="C228" s="541" t="s">
        <v>434</v>
      </c>
      <c r="D228" s="656" t="s">
        <v>434</v>
      </c>
      <c r="E228" s="534">
        <v>609.68461300000001</v>
      </c>
    </row>
    <row r="229" spans="2:5" x14ac:dyDescent="0.2">
      <c r="B229" s="533">
        <v>247</v>
      </c>
      <c r="C229" s="541" t="s">
        <v>1225</v>
      </c>
      <c r="D229" s="656" t="s">
        <v>434</v>
      </c>
      <c r="E229" s="534">
        <v>605.79998799999998</v>
      </c>
    </row>
    <row r="230" spans="2:5" x14ac:dyDescent="0.2">
      <c r="B230" s="533">
        <v>248</v>
      </c>
      <c r="C230" s="541" t="s">
        <v>7557</v>
      </c>
      <c r="D230" s="656" t="s">
        <v>434</v>
      </c>
      <c r="E230" s="534">
        <v>702.56249200000002</v>
      </c>
    </row>
    <row r="231" spans="2:5" x14ac:dyDescent="0.2">
      <c r="B231" s="533">
        <v>249</v>
      </c>
      <c r="C231" s="541" t="s">
        <v>7454</v>
      </c>
      <c r="D231" s="656" t="s">
        <v>434</v>
      </c>
      <c r="E231" s="534">
        <v>674.84286899999995</v>
      </c>
    </row>
    <row r="232" spans="2:5" x14ac:dyDescent="0.2">
      <c r="B232" s="533">
        <v>250</v>
      </c>
      <c r="C232" s="541" t="s">
        <v>2638</v>
      </c>
      <c r="D232" s="656" t="s">
        <v>434</v>
      </c>
      <c r="E232" s="534">
        <v>673.740002</v>
      </c>
    </row>
    <row r="233" spans="2:5" x14ac:dyDescent="0.2">
      <c r="B233" s="533">
        <v>251</v>
      </c>
      <c r="C233" s="541" t="s">
        <v>2550</v>
      </c>
      <c r="D233" s="656" t="s">
        <v>434</v>
      </c>
      <c r="E233" s="534">
        <v>668.75</v>
      </c>
    </row>
    <row r="234" spans="2:5" x14ac:dyDescent="0.2">
      <c r="B234" s="533">
        <v>252</v>
      </c>
      <c r="C234" s="541" t="s">
        <v>2375</v>
      </c>
      <c r="D234" s="656" t="s">
        <v>434</v>
      </c>
      <c r="E234" s="534">
        <v>661.13334099999997</v>
      </c>
    </row>
    <row r="235" spans="2:5" x14ac:dyDescent="0.2">
      <c r="B235" s="533">
        <v>253</v>
      </c>
      <c r="C235" s="541" t="s">
        <v>2352</v>
      </c>
      <c r="D235" s="656" t="s">
        <v>434</v>
      </c>
      <c r="E235" s="534">
        <v>660.29999799999996</v>
      </c>
    </row>
    <row r="236" spans="2:5" x14ac:dyDescent="0.2">
      <c r="B236" s="533">
        <v>254</v>
      </c>
      <c r="C236" s="541" t="s">
        <v>1180</v>
      </c>
      <c r="D236" s="656" t="s">
        <v>434</v>
      </c>
      <c r="E236" s="534">
        <v>603.30001200000004</v>
      </c>
    </row>
    <row r="237" spans="2:5" x14ac:dyDescent="0.2">
      <c r="B237" s="533">
        <v>255</v>
      </c>
      <c r="C237" s="541" t="s">
        <v>1561</v>
      </c>
      <c r="D237" s="656" t="s">
        <v>434</v>
      </c>
      <c r="E237" s="534">
        <v>624.68000500000005</v>
      </c>
    </row>
    <row r="238" spans="2:5" x14ac:dyDescent="0.2">
      <c r="B238" s="533">
        <v>256</v>
      </c>
      <c r="C238" s="541" t="s">
        <v>1132</v>
      </c>
      <c r="D238" s="656" t="s">
        <v>434</v>
      </c>
      <c r="E238" s="534">
        <v>600.25714100000005</v>
      </c>
    </row>
    <row r="239" spans="2:5" x14ac:dyDescent="0.2">
      <c r="B239" s="533">
        <v>257</v>
      </c>
      <c r="C239" s="541" t="s">
        <v>1826</v>
      </c>
      <c r="D239" s="656" t="s">
        <v>434</v>
      </c>
      <c r="E239" s="534">
        <v>637.21250199999997</v>
      </c>
    </row>
    <row r="240" spans="2:5" x14ac:dyDescent="0.2">
      <c r="B240" s="533">
        <v>258</v>
      </c>
      <c r="C240" s="541" t="s">
        <v>2287</v>
      </c>
      <c r="D240" s="656" t="s">
        <v>434</v>
      </c>
      <c r="E240" s="534">
        <v>657.1</v>
      </c>
    </row>
    <row r="241" spans="2:5" x14ac:dyDescent="0.2">
      <c r="B241" s="533">
        <v>259</v>
      </c>
      <c r="C241" s="541" t="s">
        <v>2112</v>
      </c>
      <c r="D241" s="656" t="s">
        <v>434</v>
      </c>
      <c r="E241" s="534">
        <v>649.53332499999999</v>
      </c>
    </row>
    <row r="242" spans="2:5" x14ac:dyDescent="0.2">
      <c r="B242" s="533">
        <v>260</v>
      </c>
      <c r="C242" s="541" t="s">
        <v>2441</v>
      </c>
      <c r="D242" s="656" t="s">
        <v>434</v>
      </c>
      <c r="E242" s="534">
        <v>664.114284</v>
      </c>
    </row>
    <row r="243" spans="2:5" x14ac:dyDescent="0.2">
      <c r="B243" s="533">
        <v>261</v>
      </c>
      <c r="C243" s="541" t="s">
        <v>1649</v>
      </c>
      <c r="D243" s="656" t="s">
        <v>434</v>
      </c>
      <c r="E243" s="534">
        <v>629.70000600000003</v>
      </c>
    </row>
    <row r="244" spans="2:5" x14ac:dyDescent="0.2">
      <c r="B244" s="533">
        <v>262</v>
      </c>
      <c r="C244" s="541" t="s">
        <v>1669</v>
      </c>
      <c r="D244" s="656" t="s">
        <v>434</v>
      </c>
      <c r="E244" s="534">
        <v>631.08181999999999</v>
      </c>
    </row>
    <row r="245" spans="2:5" x14ac:dyDescent="0.2">
      <c r="B245" s="533">
        <v>263</v>
      </c>
      <c r="C245" s="541" t="s">
        <v>1691</v>
      </c>
      <c r="D245" s="656" t="s">
        <v>434</v>
      </c>
      <c r="E245" s="534">
        <v>632.259998</v>
      </c>
    </row>
    <row r="246" spans="2:5" x14ac:dyDescent="0.2">
      <c r="B246" s="533">
        <v>264</v>
      </c>
      <c r="C246" s="541" t="s">
        <v>2121</v>
      </c>
      <c r="D246" s="656" t="s">
        <v>434</v>
      </c>
      <c r="E246" s="534">
        <v>649.89999399999999</v>
      </c>
    </row>
    <row r="247" spans="2:5" x14ac:dyDescent="0.2">
      <c r="B247" s="533">
        <v>265</v>
      </c>
      <c r="C247" s="541" t="s">
        <v>1221</v>
      </c>
      <c r="D247" s="656" t="s">
        <v>434</v>
      </c>
      <c r="E247" s="534">
        <v>605.44999700000005</v>
      </c>
    </row>
    <row r="248" spans="2:5" x14ac:dyDescent="0.2">
      <c r="B248" s="533">
        <v>266</v>
      </c>
      <c r="C248" s="541" t="s">
        <v>1204</v>
      </c>
      <c r="D248" s="656" t="s">
        <v>434</v>
      </c>
      <c r="E248" s="534">
        <v>604.59998900000005</v>
      </c>
    </row>
    <row r="249" spans="2:5" x14ac:dyDescent="0.2">
      <c r="B249" s="533">
        <v>267</v>
      </c>
      <c r="C249" s="541" t="s">
        <v>1111</v>
      </c>
      <c r="D249" s="656" t="s">
        <v>434</v>
      </c>
      <c r="E249" s="534">
        <v>598.88181399999996</v>
      </c>
    </row>
    <row r="250" spans="2:5" x14ac:dyDescent="0.2">
      <c r="B250" s="533">
        <v>268</v>
      </c>
      <c r="C250" s="541" t="s">
        <v>1223</v>
      </c>
      <c r="D250" s="656" t="s">
        <v>434</v>
      </c>
      <c r="E250" s="534">
        <v>605.62222599999996</v>
      </c>
    </row>
    <row r="251" spans="2:5" x14ac:dyDescent="0.2">
      <c r="B251" s="533">
        <v>269</v>
      </c>
      <c r="C251" s="541" t="s">
        <v>1609</v>
      </c>
      <c r="D251" s="656" t="s">
        <v>434</v>
      </c>
      <c r="E251" s="534">
        <v>627.48748799999998</v>
      </c>
    </row>
    <row r="252" spans="2:5" x14ac:dyDescent="0.2">
      <c r="B252" s="533">
        <v>270</v>
      </c>
      <c r="C252" s="541" t="s">
        <v>1815</v>
      </c>
      <c r="D252" s="656" t="s">
        <v>434</v>
      </c>
      <c r="E252" s="534">
        <v>636.81000400000005</v>
      </c>
    </row>
    <row r="253" spans="2:5" x14ac:dyDescent="0.2">
      <c r="B253" s="533">
        <v>271</v>
      </c>
      <c r="C253" s="541" t="s">
        <v>1514</v>
      </c>
      <c r="D253" s="656" t="s">
        <v>434</v>
      </c>
      <c r="E253" s="534">
        <v>621.66842199999996</v>
      </c>
    </row>
    <row r="254" spans="2:5" x14ac:dyDescent="0.2">
      <c r="B254" s="533">
        <v>272</v>
      </c>
      <c r="C254" s="541" t="s">
        <v>7152</v>
      </c>
      <c r="D254" s="656" t="s">
        <v>434</v>
      </c>
      <c r="E254" s="534">
        <v>598.20000200000004</v>
      </c>
    </row>
    <row r="255" spans="2:5" x14ac:dyDescent="0.2">
      <c r="B255" s="533">
        <v>273</v>
      </c>
      <c r="C255" s="541" t="s">
        <v>7151</v>
      </c>
      <c r="D255" s="656" t="s">
        <v>434</v>
      </c>
      <c r="E255" s="534">
        <v>594.92916600000001</v>
      </c>
    </row>
    <row r="256" spans="2:5" x14ac:dyDescent="0.2">
      <c r="B256" s="533">
        <v>274</v>
      </c>
      <c r="C256" s="541" t="s">
        <v>1126</v>
      </c>
      <c r="D256" s="656" t="s">
        <v>434</v>
      </c>
      <c r="E256" s="534">
        <v>599.70000200000004</v>
      </c>
    </row>
    <row r="257" spans="2:5" x14ac:dyDescent="0.2">
      <c r="B257" s="533">
        <v>275</v>
      </c>
      <c r="C257" s="541" t="s">
        <v>1396</v>
      </c>
      <c r="D257" s="656" t="s">
        <v>434</v>
      </c>
      <c r="E257" s="534">
        <v>615.29998799999998</v>
      </c>
    </row>
    <row r="258" spans="2:5" x14ac:dyDescent="0.2">
      <c r="B258" s="533">
        <v>276</v>
      </c>
      <c r="C258" s="541" t="s">
        <v>1473</v>
      </c>
      <c r="D258" s="656" t="s">
        <v>434</v>
      </c>
      <c r="E258" s="534">
        <v>619.24999000000003</v>
      </c>
    </row>
    <row r="259" spans="2:5" x14ac:dyDescent="0.2">
      <c r="B259" s="533">
        <v>277</v>
      </c>
      <c r="C259" s="541" t="s">
        <v>1955</v>
      </c>
      <c r="D259" s="656" t="s">
        <v>434</v>
      </c>
      <c r="E259" s="534">
        <v>642.15002400000003</v>
      </c>
    </row>
    <row r="260" spans="2:5" x14ac:dyDescent="0.2">
      <c r="B260" s="533">
        <v>278</v>
      </c>
      <c r="C260" s="541" t="s">
        <v>1066</v>
      </c>
      <c r="D260" s="656" t="s">
        <v>434</v>
      </c>
      <c r="E260" s="534">
        <v>595.889996</v>
      </c>
    </row>
    <row r="261" spans="2:5" x14ac:dyDescent="0.2">
      <c r="B261" s="533">
        <v>279</v>
      </c>
      <c r="C261" s="541" t="s">
        <v>1081</v>
      </c>
      <c r="D261" s="656" t="s">
        <v>434</v>
      </c>
      <c r="E261" s="534">
        <v>596.84374600000001</v>
      </c>
    </row>
    <row r="262" spans="2:5" x14ac:dyDescent="0.2">
      <c r="B262" s="533">
        <v>280</v>
      </c>
      <c r="C262" s="541" t="s">
        <v>900</v>
      </c>
      <c r="D262" s="656" t="s">
        <v>434</v>
      </c>
      <c r="E262" s="534">
        <v>598.125</v>
      </c>
    </row>
    <row r="263" spans="2:5" x14ac:dyDescent="0.2">
      <c r="B263" s="533">
        <v>281</v>
      </c>
      <c r="C263" s="541" t="s">
        <v>949</v>
      </c>
      <c r="D263" s="656" t="s">
        <v>434</v>
      </c>
      <c r="E263" s="534">
        <v>584.90000399999997</v>
      </c>
    </row>
    <row r="264" spans="2:5" x14ac:dyDescent="0.2">
      <c r="B264" s="533">
        <v>282</v>
      </c>
      <c r="C264" s="541" t="s">
        <v>2428</v>
      </c>
      <c r="D264" s="656" t="s">
        <v>434</v>
      </c>
      <c r="E264" s="534">
        <v>663.79998799999998</v>
      </c>
    </row>
    <row r="265" spans="2:5" x14ac:dyDescent="0.2">
      <c r="B265" s="533">
        <v>283</v>
      </c>
      <c r="C265" s="541" t="s">
        <v>1361</v>
      </c>
      <c r="D265" s="656" t="s">
        <v>434</v>
      </c>
      <c r="E265" s="534">
        <v>613.70000200000004</v>
      </c>
    </row>
    <row r="266" spans="2:5" x14ac:dyDescent="0.2">
      <c r="B266" s="533">
        <v>284</v>
      </c>
      <c r="C266" s="541" t="s">
        <v>1937</v>
      </c>
      <c r="D266" s="656" t="s">
        <v>434</v>
      </c>
      <c r="E266" s="534">
        <v>641.62726399999997</v>
      </c>
    </row>
    <row r="267" spans="2:5" x14ac:dyDescent="0.2">
      <c r="B267" s="533">
        <v>285</v>
      </c>
      <c r="C267" s="541" t="s">
        <v>1027</v>
      </c>
      <c r="D267" s="656" t="s">
        <v>434</v>
      </c>
      <c r="E267" s="534">
        <v>592.39999399999999</v>
      </c>
    </row>
    <row r="268" spans="2:5" x14ac:dyDescent="0.2">
      <c r="B268" s="533">
        <v>286</v>
      </c>
      <c r="C268" s="541" t="s">
        <v>1420</v>
      </c>
      <c r="D268" s="656" t="s">
        <v>434</v>
      </c>
      <c r="E268" s="534">
        <v>616.85000600000001</v>
      </c>
    </row>
    <row r="269" spans="2:5" x14ac:dyDescent="0.2">
      <c r="B269" s="533">
        <v>287</v>
      </c>
      <c r="C269" s="541" t="s">
        <v>1646</v>
      </c>
      <c r="D269" s="656" t="s">
        <v>434</v>
      </c>
      <c r="E269" s="534">
        <v>629.42999899999995</v>
      </c>
    </row>
    <row r="270" spans="2:5" x14ac:dyDescent="0.2">
      <c r="B270" s="533">
        <v>288</v>
      </c>
      <c r="C270" s="541" t="s">
        <v>1542</v>
      </c>
      <c r="D270" s="656" t="s">
        <v>434</v>
      </c>
      <c r="E270" s="534">
        <v>623.84999500000004</v>
      </c>
    </row>
    <row r="271" spans="2:5" x14ac:dyDescent="0.2">
      <c r="B271" s="533">
        <v>289</v>
      </c>
      <c r="C271" s="541" t="s">
        <v>1816</v>
      </c>
      <c r="D271" s="656" t="s">
        <v>434</v>
      </c>
      <c r="E271" s="534">
        <v>636.86665900000003</v>
      </c>
    </row>
    <row r="272" spans="2:5" x14ac:dyDescent="0.2">
      <c r="B272" s="533">
        <v>290</v>
      </c>
      <c r="C272" s="541" t="s">
        <v>1415</v>
      </c>
      <c r="D272" s="656" t="s">
        <v>434</v>
      </c>
      <c r="E272" s="534">
        <v>616.56364299999996</v>
      </c>
    </row>
    <row r="273" spans="2:5" x14ac:dyDescent="0.2">
      <c r="B273" s="533">
        <v>291</v>
      </c>
      <c r="C273" s="541" t="s">
        <v>1505</v>
      </c>
      <c r="D273" s="656" t="s">
        <v>434</v>
      </c>
      <c r="E273" s="534">
        <v>621.44999700000005</v>
      </c>
    </row>
    <row r="274" spans="2:5" x14ac:dyDescent="0.2">
      <c r="B274" s="533">
        <v>292</v>
      </c>
      <c r="C274" s="541" t="s">
        <v>1806</v>
      </c>
      <c r="D274" s="656" t="s">
        <v>434</v>
      </c>
      <c r="E274" s="534">
        <v>636.69999199999995</v>
      </c>
    </row>
    <row r="275" spans="2:5" x14ac:dyDescent="0.2">
      <c r="B275" s="533">
        <v>293</v>
      </c>
      <c r="C275" s="541" t="s">
        <v>968</v>
      </c>
      <c r="D275" s="656" t="s">
        <v>434</v>
      </c>
      <c r="E275" s="534">
        <v>640.67894899999999</v>
      </c>
    </row>
    <row r="276" spans="2:5" x14ac:dyDescent="0.2">
      <c r="B276" s="533">
        <v>294</v>
      </c>
      <c r="C276" s="541" t="s">
        <v>1991</v>
      </c>
      <c r="D276" s="656" t="s">
        <v>434</v>
      </c>
      <c r="E276" s="534">
        <v>643.30769499999997</v>
      </c>
    </row>
    <row r="277" spans="2:5" x14ac:dyDescent="0.2">
      <c r="B277" s="533">
        <v>295</v>
      </c>
      <c r="C277" s="541" t="s">
        <v>2161</v>
      </c>
      <c r="D277" s="656" t="s">
        <v>434</v>
      </c>
      <c r="E277" s="534">
        <v>651.84616300000005</v>
      </c>
    </row>
    <row r="278" spans="2:5" x14ac:dyDescent="0.2">
      <c r="B278" s="533">
        <v>296</v>
      </c>
      <c r="C278" s="541" t="s">
        <v>1697</v>
      </c>
      <c r="D278" s="656" t="s">
        <v>434</v>
      </c>
      <c r="E278" s="534">
        <v>632.56922799999995</v>
      </c>
    </row>
    <row r="279" spans="2:5" x14ac:dyDescent="0.2">
      <c r="B279" s="533">
        <v>301</v>
      </c>
      <c r="C279" s="541" t="s">
        <v>5291</v>
      </c>
      <c r="D279" s="656" t="s">
        <v>430</v>
      </c>
      <c r="E279" s="534">
        <v>862.13999000000001</v>
      </c>
    </row>
    <row r="280" spans="2:5" x14ac:dyDescent="0.2">
      <c r="B280" s="533">
        <v>302</v>
      </c>
      <c r="C280" s="541" t="s">
        <v>4063</v>
      </c>
      <c r="D280" s="656" t="s">
        <v>430</v>
      </c>
      <c r="E280" s="534">
        <v>749.54285500000003</v>
      </c>
    </row>
    <row r="281" spans="2:5" x14ac:dyDescent="0.2">
      <c r="B281" s="533">
        <v>303</v>
      </c>
      <c r="C281" s="541" t="s">
        <v>5071</v>
      </c>
      <c r="D281" s="656" t="s">
        <v>430</v>
      </c>
      <c r="E281" s="534">
        <v>831.16667700000005</v>
      </c>
    </row>
    <row r="282" spans="2:5" x14ac:dyDescent="0.2">
      <c r="B282" s="533">
        <v>304</v>
      </c>
      <c r="C282" s="541" t="s">
        <v>5333</v>
      </c>
      <c r="D282" s="656" t="s">
        <v>430</v>
      </c>
      <c r="E282" s="534">
        <v>869.38889600000005</v>
      </c>
    </row>
    <row r="283" spans="2:5" x14ac:dyDescent="0.2">
      <c r="B283" s="533">
        <v>305</v>
      </c>
      <c r="C283" s="541" t="s">
        <v>4901</v>
      </c>
      <c r="D283" s="656" t="s">
        <v>430</v>
      </c>
      <c r="E283" s="534">
        <v>813.02502400000003</v>
      </c>
    </row>
    <row r="284" spans="2:5" x14ac:dyDescent="0.2">
      <c r="B284" s="533">
        <v>306</v>
      </c>
      <c r="C284" s="541" t="s">
        <v>2317</v>
      </c>
      <c r="D284" s="656" t="s">
        <v>430</v>
      </c>
      <c r="E284" s="534">
        <v>658.86499900000001</v>
      </c>
    </row>
    <row r="285" spans="2:5" x14ac:dyDescent="0.2">
      <c r="B285" s="533">
        <v>307</v>
      </c>
      <c r="C285" s="541" t="s">
        <v>7048</v>
      </c>
      <c r="D285" s="656" t="s">
        <v>430</v>
      </c>
      <c r="E285" s="534">
        <v>705.89999399999999</v>
      </c>
    </row>
    <row r="286" spans="2:5" x14ac:dyDescent="0.2">
      <c r="B286" s="533">
        <v>308</v>
      </c>
      <c r="C286" s="541" t="s">
        <v>2751</v>
      </c>
      <c r="D286" s="656" t="s">
        <v>430</v>
      </c>
      <c r="E286" s="534">
        <v>734.35</v>
      </c>
    </row>
    <row r="287" spans="2:5" x14ac:dyDescent="0.2">
      <c r="B287" s="533">
        <v>309</v>
      </c>
      <c r="C287" s="541" t="s">
        <v>6652</v>
      </c>
      <c r="D287" s="656" t="s">
        <v>430</v>
      </c>
      <c r="E287" s="534">
        <v>838.29998799999998</v>
      </c>
    </row>
    <row r="288" spans="2:5" x14ac:dyDescent="0.2">
      <c r="B288" s="533">
        <v>310</v>
      </c>
      <c r="C288" s="541" t="s">
        <v>4879</v>
      </c>
      <c r="D288" s="656" t="s">
        <v>430</v>
      </c>
      <c r="E288" s="534">
        <v>810.32499700000005</v>
      </c>
    </row>
    <row r="289" spans="2:5" x14ac:dyDescent="0.2">
      <c r="B289" s="533">
        <v>311</v>
      </c>
      <c r="C289" s="541" t="s">
        <v>6994</v>
      </c>
      <c r="D289" s="656" t="s">
        <v>430</v>
      </c>
      <c r="E289" s="534">
        <v>808.96665399999995</v>
      </c>
    </row>
    <row r="290" spans="2:5" x14ac:dyDescent="0.2">
      <c r="B290" s="533">
        <v>312</v>
      </c>
      <c r="C290" s="541" t="s">
        <v>4518</v>
      </c>
      <c r="D290" s="656" t="s">
        <v>430</v>
      </c>
      <c r="E290" s="534">
        <v>781.60000600000001</v>
      </c>
    </row>
    <row r="291" spans="2:5" x14ac:dyDescent="0.2">
      <c r="B291" s="533">
        <v>313</v>
      </c>
      <c r="C291" s="541" t="s">
        <v>4696</v>
      </c>
      <c r="D291" s="656" t="s">
        <v>430</v>
      </c>
      <c r="E291" s="534">
        <v>796.43332899999996</v>
      </c>
    </row>
    <row r="292" spans="2:5" x14ac:dyDescent="0.2">
      <c r="B292" s="533">
        <v>314</v>
      </c>
      <c r="C292" s="541" t="s">
        <v>6896</v>
      </c>
      <c r="D292" s="656" t="s">
        <v>430</v>
      </c>
      <c r="E292" s="534">
        <v>801.79998799999998</v>
      </c>
    </row>
    <row r="293" spans="2:5" x14ac:dyDescent="0.2">
      <c r="B293" s="533">
        <v>315</v>
      </c>
      <c r="C293" s="541" t="s">
        <v>4900</v>
      </c>
      <c r="D293" s="656" t="s">
        <v>430</v>
      </c>
      <c r="E293" s="534">
        <v>812.90002400000003</v>
      </c>
    </row>
    <row r="294" spans="2:5" x14ac:dyDescent="0.2">
      <c r="B294" s="533">
        <v>316</v>
      </c>
      <c r="C294" s="541" t="s">
        <v>5020</v>
      </c>
      <c r="D294" s="656" t="s">
        <v>430</v>
      </c>
      <c r="E294" s="534">
        <v>825.83335399999999</v>
      </c>
    </row>
    <row r="295" spans="2:5" x14ac:dyDescent="0.2">
      <c r="B295" s="533">
        <v>317</v>
      </c>
      <c r="C295" s="541" t="s">
        <v>6887</v>
      </c>
      <c r="D295" s="656" t="s">
        <v>430</v>
      </c>
      <c r="E295" s="534">
        <v>868.16667700000005</v>
      </c>
    </row>
    <row r="296" spans="2:5" x14ac:dyDescent="0.2">
      <c r="B296" s="533">
        <v>318</v>
      </c>
      <c r="C296" s="541" t="s">
        <v>5261</v>
      </c>
      <c r="D296" s="656" t="s">
        <v>430</v>
      </c>
      <c r="E296" s="534">
        <v>856.79998799999998</v>
      </c>
    </row>
    <row r="297" spans="2:5" x14ac:dyDescent="0.2">
      <c r="B297" s="533">
        <v>319</v>
      </c>
      <c r="C297" s="541" t="s">
        <v>5768</v>
      </c>
      <c r="D297" s="656" t="s">
        <v>430</v>
      </c>
      <c r="E297" s="534">
        <v>960.875</v>
      </c>
    </row>
    <row r="298" spans="2:5" x14ac:dyDescent="0.2">
      <c r="B298" s="533">
        <v>320</v>
      </c>
      <c r="C298" s="541" t="s">
        <v>1102</v>
      </c>
      <c r="D298" s="656" t="s">
        <v>430</v>
      </c>
      <c r="E298" s="534">
        <v>948.41428900000005</v>
      </c>
    </row>
    <row r="299" spans="2:5" x14ac:dyDescent="0.2">
      <c r="B299" s="533">
        <v>321</v>
      </c>
      <c r="C299" s="541" t="s">
        <v>1668</v>
      </c>
      <c r="D299" s="656" t="s">
        <v>430</v>
      </c>
      <c r="E299" s="534">
        <v>631.07500500000003</v>
      </c>
    </row>
    <row r="300" spans="2:5" x14ac:dyDescent="0.2">
      <c r="B300" s="533">
        <v>322</v>
      </c>
      <c r="C300" s="541" t="s">
        <v>2555</v>
      </c>
      <c r="D300" s="656" t="s">
        <v>430</v>
      </c>
      <c r="E300" s="534">
        <v>668.93333900000005</v>
      </c>
    </row>
    <row r="301" spans="2:5" x14ac:dyDescent="0.2">
      <c r="B301" s="533">
        <v>323</v>
      </c>
      <c r="C301" s="541" t="s">
        <v>5433</v>
      </c>
      <c r="D301" s="656" t="s">
        <v>430</v>
      </c>
      <c r="E301" s="534">
        <v>886.5</v>
      </c>
    </row>
    <row r="302" spans="2:5" x14ac:dyDescent="0.2">
      <c r="B302" s="533">
        <v>324</v>
      </c>
      <c r="C302" s="541" t="s">
        <v>5004</v>
      </c>
      <c r="D302" s="656" t="s">
        <v>430</v>
      </c>
      <c r="E302" s="534">
        <v>823.96667500000001</v>
      </c>
    </row>
    <row r="303" spans="2:5" x14ac:dyDescent="0.2">
      <c r="B303" s="533">
        <v>325</v>
      </c>
      <c r="C303" s="541" t="s">
        <v>6615</v>
      </c>
      <c r="D303" s="656" t="s">
        <v>430</v>
      </c>
      <c r="E303" s="534">
        <v>808.442858</v>
      </c>
    </row>
    <row r="304" spans="2:5" x14ac:dyDescent="0.2">
      <c r="B304" s="533">
        <v>326</v>
      </c>
      <c r="C304" s="541" t="s">
        <v>7157</v>
      </c>
      <c r="D304" s="656" t="s">
        <v>430</v>
      </c>
      <c r="E304" s="534">
        <v>825.5</v>
      </c>
    </row>
    <row r="305" spans="2:5" x14ac:dyDescent="0.2">
      <c r="B305" s="533">
        <v>327</v>
      </c>
      <c r="C305" s="541" t="s">
        <v>4735</v>
      </c>
      <c r="D305" s="656" t="s">
        <v>430</v>
      </c>
      <c r="E305" s="534">
        <v>799.47000100000002</v>
      </c>
    </row>
    <row r="306" spans="2:5" x14ac:dyDescent="0.2">
      <c r="B306" s="533">
        <v>328</v>
      </c>
      <c r="C306" s="541" t="s">
        <v>6995</v>
      </c>
      <c r="D306" s="656" t="s">
        <v>430</v>
      </c>
      <c r="E306" s="534">
        <v>788.81428700000004</v>
      </c>
    </row>
    <row r="307" spans="2:5" x14ac:dyDescent="0.2">
      <c r="B307" s="533">
        <v>329</v>
      </c>
      <c r="C307" s="541" t="s">
        <v>4511</v>
      </c>
      <c r="D307" s="656" t="s">
        <v>430</v>
      </c>
      <c r="E307" s="534">
        <v>781</v>
      </c>
    </row>
    <row r="308" spans="2:5" x14ac:dyDescent="0.2">
      <c r="B308" s="533">
        <v>330</v>
      </c>
      <c r="C308" s="541" t="s">
        <v>7425</v>
      </c>
      <c r="D308" s="656" t="s">
        <v>430</v>
      </c>
      <c r="E308" s="534">
        <v>929.34444499999995</v>
      </c>
    </row>
    <row r="309" spans="2:5" x14ac:dyDescent="0.2">
      <c r="B309" s="533">
        <v>331</v>
      </c>
      <c r="C309" s="541" t="s">
        <v>5798</v>
      </c>
      <c r="D309" s="656" t="s">
        <v>430</v>
      </c>
      <c r="E309" s="534">
        <v>968.259998</v>
      </c>
    </row>
    <row r="310" spans="2:5" x14ac:dyDescent="0.2">
      <c r="B310" s="533">
        <v>332</v>
      </c>
      <c r="C310" s="541" t="s">
        <v>6915</v>
      </c>
      <c r="D310" s="656" t="s">
        <v>430</v>
      </c>
      <c r="E310" s="534">
        <v>627.48333700000001</v>
      </c>
    </row>
    <row r="311" spans="2:5" x14ac:dyDescent="0.2">
      <c r="B311" s="533">
        <v>333</v>
      </c>
      <c r="C311" s="541" t="s">
        <v>7023</v>
      </c>
      <c r="D311" s="656" t="s">
        <v>430</v>
      </c>
      <c r="E311" s="534">
        <v>676.5</v>
      </c>
    </row>
    <row r="312" spans="2:5" x14ac:dyDescent="0.2">
      <c r="B312" s="533">
        <v>334</v>
      </c>
      <c r="C312" s="541" t="s">
        <v>4436</v>
      </c>
      <c r="D312" s="656" t="s">
        <v>430</v>
      </c>
      <c r="E312" s="534">
        <v>776.5</v>
      </c>
    </row>
    <row r="313" spans="2:5" x14ac:dyDescent="0.2">
      <c r="B313" s="533">
        <v>335</v>
      </c>
      <c r="C313" s="541" t="s">
        <v>4028</v>
      </c>
      <c r="D313" s="656" t="s">
        <v>430</v>
      </c>
      <c r="E313" s="534">
        <v>747.26666299999999</v>
      </c>
    </row>
    <row r="314" spans="2:5" x14ac:dyDescent="0.2">
      <c r="B314" s="533">
        <v>336</v>
      </c>
      <c r="C314" s="541" t="s">
        <v>7079</v>
      </c>
      <c r="D314" s="656" t="s">
        <v>430</v>
      </c>
      <c r="E314" s="534">
        <v>763.70001200000002</v>
      </c>
    </row>
    <row r="315" spans="2:5" x14ac:dyDescent="0.2">
      <c r="B315" s="533">
        <v>337</v>
      </c>
      <c r="C315" s="541" t="s">
        <v>6857</v>
      </c>
      <c r="D315" s="656" t="s">
        <v>430</v>
      </c>
      <c r="E315" s="534">
        <v>752.54998799999998</v>
      </c>
    </row>
    <row r="316" spans="2:5" x14ac:dyDescent="0.2">
      <c r="B316" s="533">
        <v>338</v>
      </c>
      <c r="C316" s="541" t="s">
        <v>4042</v>
      </c>
      <c r="D316" s="656" t="s">
        <v>430</v>
      </c>
      <c r="E316" s="534">
        <v>748.20001200000002</v>
      </c>
    </row>
    <row r="317" spans="2:5" x14ac:dyDescent="0.2">
      <c r="B317" s="533">
        <v>339</v>
      </c>
      <c r="C317" s="541" t="s">
        <v>4951</v>
      </c>
      <c r="D317" s="656" t="s">
        <v>430</v>
      </c>
      <c r="E317" s="534">
        <v>817.63335199999995</v>
      </c>
    </row>
    <row r="318" spans="2:5" x14ac:dyDescent="0.2">
      <c r="B318" s="533">
        <v>340</v>
      </c>
      <c r="C318" s="541" t="s">
        <v>5804</v>
      </c>
      <c r="D318" s="656" t="s">
        <v>430</v>
      </c>
      <c r="E318" s="534">
        <v>969.04998799999998</v>
      </c>
    </row>
    <row r="319" spans="2:5" x14ac:dyDescent="0.2">
      <c r="B319" s="533">
        <v>341</v>
      </c>
      <c r="C319" s="541" t="s">
        <v>5796</v>
      </c>
      <c r="D319" s="656" t="s">
        <v>430</v>
      </c>
      <c r="E319" s="534">
        <v>967.68148499999995</v>
      </c>
    </row>
    <row r="320" spans="2:5" x14ac:dyDescent="0.2">
      <c r="B320" s="533">
        <v>342</v>
      </c>
      <c r="C320" s="541" t="s">
        <v>1751</v>
      </c>
      <c r="D320" s="656" t="s">
        <v>430</v>
      </c>
      <c r="E320" s="534">
        <v>634.34998599999994</v>
      </c>
    </row>
    <row r="321" spans="2:5" x14ac:dyDescent="0.2">
      <c r="B321" s="533">
        <v>343</v>
      </c>
      <c r="C321" s="541" t="s">
        <v>7389</v>
      </c>
      <c r="D321" s="656" t="s">
        <v>430</v>
      </c>
      <c r="E321" s="534">
        <v>720.59999600000003</v>
      </c>
    </row>
    <row r="322" spans="2:5" x14ac:dyDescent="0.2">
      <c r="B322" s="533">
        <v>344</v>
      </c>
      <c r="C322" s="541" t="s">
        <v>2231</v>
      </c>
      <c r="D322" s="656" t="s">
        <v>430</v>
      </c>
      <c r="E322" s="534">
        <v>757.375</v>
      </c>
    </row>
    <row r="323" spans="2:5" x14ac:dyDescent="0.2">
      <c r="B323" s="533">
        <v>345</v>
      </c>
      <c r="C323" s="541" t="s">
        <v>3955</v>
      </c>
      <c r="D323" s="656" t="s">
        <v>430</v>
      </c>
      <c r="E323" s="534">
        <v>742.47500600000001</v>
      </c>
    </row>
    <row r="324" spans="2:5" x14ac:dyDescent="0.2">
      <c r="B324" s="533">
        <v>346</v>
      </c>
      <c r="C324" s="541" t="s">
        <v>3890</v>
      </c>
      <c r="D324" s="656" t="s">
        <v>430</v>
      </c>
      <c r="E324" s="534">
        <v>738.59999600000003</v>
      </c>
    </row>
    <row r="325" spans="2:5" x14ac:dyDescent="0.2">
      <c r="B325" s="533">
        <v>347</v>
      </c>
      <c r="C325" s="541" t="s">
        <v>4148</v>
      </c>
      <c r="D325" s="656" t="s">
        <v>430</v>
      </c>
      <c r="E325" s="534">
        <v>754.40002400000003</v>
      </c>
    </row>
    <row r="326" spans="2:5" x14ac:dyDescent="0.2">
      <c r="B326" s="533">
        <v>348</v>
      </c>
      <c r="C326" s="541" t="s">
        <v>4618</v>
      </c>
      <c r="D326" s="656" t="s">
        <v>430</v>
      </c>
      <c r="E326" s="534">
        <v>790.79998799999998</v>
      </c>
    </row>
    <row r="327" spans="2:5" x14ac:dyDescent="0.2">
      <c r="B327" s="533">
        <v>349</v>
      </c>
      <c r="C327" s="541" t="s">
        <v>7586</v>
      </c>
      <c r="D327" s="656" t="s">
        <v>430</v>
      </c>
      <c r="E327" s="534">
        <v>726.41999499999997</v>
      </c>
    </row>
    <row r="328" spans="2:5" x14ac:dyDescent="0.2">
      <c r="B328" s="533">
        <v>350</v>
      </c>
      <c r="C328" s="541" t="s">
        <v>4322</v>
      </c>
      <c r="D328" s="656" t="s">
        <v>430</v>
      </c>
      <c r="E328" s="534">
        <v>767.14000199999998</v>
      </c>
    </row>
    <row r="329" spans="2:5" x14ac:dyDescent="0.2">
      <c r="B329" s="533">
        <v>351</v>
      </c>
      <c r="C329" s="541" t="s">
        <v>4443</v>
      </c>
      <c r="D329" s="656" t="s">
        <v>430</v>
      </c>
      <c r="E329" s="534">
        <v>777</v>
      </c>
    </row>
    <row r="330" spans="2:5" x14ac:dyDescent="0.2">
      <c r="B330" s="533">
        <v>352</v>
      </c>
      <c r="C330" s="541" t="s">
        <v>5690</v>
      </c>
      <c r="D330" s="656" t="s">
        <v>430</v>
      </c>
      <c r="E330" s="534">
        <v>938.81539199999997</v>
      </c>
    </row>
    <row r="331" spans="2:5" x14ac:dyDescent="0.2">
      <c r="B331" s="533">
        <v>353</v>
      </c>
      <c r="C331" s="541" t="s">
        <v>1033</v>
      </c>
      <c r="D331" s="656" t="s">
        <v>430</v>
      </c>
      <c r="E331" s="534">
        <v>727.16666699999996</v>
      </c>
    </row>
    <row r="332" spans="2:5" x14ac:dyDescent="0.2">
      <c r="B332" s="533">
        <v>354</v>
      </c>
      <c r="C332" s="541" t="s">
        <v>3339</v>
      </c>
      <c r="D332" s="656" t="s">
        <v>430</v>
      </c>
      <c r="E332" s="534">
        <v>708.375</v>
      </c>
    </row>
    <row r="333" spans="2:5" x14ac:dyDescent="0.2">
      <c r="B333" s="533">
        <v>355</v>
      </c>
      <c r="C333" s="541" t="s">
        <v>3160</v>
      </c>
      <c r="D333" s="656" t="s">
        <v>430</v>
      </c>
      <c r="E333" s="534">
        <v>699.75</v>
      </c>
    </row>
    <row r="334" spans="2:5" x14ac:dyDescent="0.2">
      <c r="B334" s="533">
        <v>356</v>
      </c>
      <c r="C334" s="541" t="s">
        <v>4228</v>
      </c>
      <c r="D334" s="656" t="s">
        <v>430</v>
      </c>
      <c r="E334" s="534">
        <v>760.21111399999995</v>
      </c>
    </row>
    <row r="335" spans="2:5" x14ac:dyDescent="0.2">
      <c r="B335" s="533">
        <v>357</v>
      </c>
      <c r="C335" s="541" t="s">
        <v>4776</v>
      </c>
      <c r="D335" s="656" t="s">
        <v>430</v>
      </c>
      <c r="E335" s="534">
        <v>802.35455300000001</v>
      </c>
    </row>
    <row r="336" spans="2:5" x14ac:dyDescent="0.2">
      <c r="B336" s="533">
        <v>358</v>
      </c>
      <c r="C336" s="541" t="s">
        <v>5375</v>
      </c>
      <c r="D336" s="656" t="s">
        <v>430</v>
      </c>
      <c r="E336" s="534">
        <v>875.73333700000001</v>
      </c>
    </row>
    <row r="337" spans="2:5" x14ac:dyDescent="0.2">
      <c r="B337" s="533">
        <v>359</v>
      </c>
      <c r="C337" s="541" t="s">
        <v>6977</v>
      </c>
      <c r="D337" s="656" t="s">
        <v>430</v>
      </c>
      <c r="E337" s="534">
        <v>939.67498799999998</v>
      </c>
    </row>
    <row r="338" spans="2:5" x14ac:dyDescent="0.2">
      <c r="B338" s="533">
        <v>360</v>
      </c>
      <c r="C338" s="541" t="s">
        <v>1623</v>
      </c>
      <c r="D338" s="656" t="s">
        <v>430</v>
      </c>
      <c r="E338" s="534">
        <v>628.06427900000006</v>
      </c>
    </row>
    <row r="339" spans="2:5" x14ac:dyDescent="0.2">
      <c r="B339" s="533">
        <v>361</v>
      </c>
      <c r="C339" s="541" t="s">
        <v>1380</v>
      </c>
      <c r="D339" s="656" t="s">
        <v>430</v>
      </c>
      <c r="E339" s="534">
        <v>614.67367999999999</v>
      </c>
    </row>
    <row r="340" spans="2:5" x14ac:dyDescent="0.2">
      <c r="B340" s="533">
        <v>362</v>
      </c>
      <c r="C340" s="541" t="s">
        <v>2276</v>
      </c>
      <c r="D340" s="656" t="s">
        <v>430</v>
      </c>
      <c r="E340" s="534">
        <v>656.69231200000002</v>
      </c>
    </row>
    <row r="341" spans="2:5" x14ac:dyDescent="0.2">
      <c r="B341" s="533">
        <v>363</v>
      </c>
      <c r="C341" s="541" t="s">
        <v>2923</v>
      </c>
      <c r="D341" s="656" t="s">
        <v>430</v>
      </c>
      <c r="E341" s="534">
        <v>687.20908999999995</v>
      </c>
    </row>
    <row r="342" spans="2:5" x14ac:dyDescent="0.2">
      <c r="B342" s="533">
        <v>364</v>
      </c>
      <c r="C342" s="541" t="s">
        <v>6717</v>
      </c>
      <c r="D342" s="656" t="s">
        <v>430</v>
      </c>
      <c r="E342" s="534">
        <v>706.625</v>
      </c>
    </row>
    <row r="343" spans="2:5" x14ac:dyDescent="0.2">
      <c r="B343" s="533">
        <v>365</v>
      </c>
      <c r="C343" s="541" t="s">
        <v>5614</v>
      </c>
      <c r="D343" s="656" t="s">
        <v>430</v>
      </c>
      <c r="E343" s="534">
        <v>917.42500099999995</v>
      </c>
    </row>
    <row r="344" spans="2:5" x14ac:dyDescent="0.2">
      <c r="B344" s="533">
        <v>366</v>
      </c>
      <c r="C344" s="541" t="s">
        <v>1747</v>
      </c>
      <c r="D344" s="656" t="s">
        <v>430</v>
      </c>
      <c r="E344" s="534">
        <v>634.3125</v>
      </c>
    </row>
    <row r="345" spans="2:5" x14ac:dyDescent="0.2">
      <c r="B345" s="533">
        <v>367</v>
      </c>
      <c r="C345" s="541" t="s">
        <v>1398</v>
      </c>
      <c r="D345" s="656" t="s">
        <v>430</v>
      </c>
      <c r="E345" s="534">
        <v>615.39090199999998</v>
      </c>
    </row>
    <row r="346" spans="2:5" x14ac:dyDescent="0.2">
      <c r="B346" s="533">
        <v>368</v>
      </c>
      <c r="C346" s="541" t="s">
        <v>430</v>
      </c>
      <c r="D346" s="656" t="s">
        <v>430</v>
      </c>
      <c r="E346" s="534">
        <v>657.866669</v>
      </c>
    </row>
    <row r="347" spans="2:5" x14ac:dyDescent="0.2">
      <c r="B347" s="533">
        <v>369</v>
      </c>
      <c r="C347" s="541" t="s">
        <v>3917</v>
      </c>
      <c r="D347" s="656" t="s">
        <v>430</v>
      </c>
      <c r="E347" s="534">
        <v>740.30000299999995</v>
      </c>
    </row>
    <row r="348" spans="2:5" x14ac:dyDescent="0.2">
      <c r="B348" s="533">
        <v>370</v>
      </c>
      <c r="C348" s="541" t="s">
        <v>4024</v>
      </c>
      <c r="D348" s="656" t="s">
        <v>430</v>
      </c>
      <c r="E348" s="534">
        <v>746.95714499999997</v>
      </c>
    </row>
    <row r="349" spans="2:5" x14ac:dyDescent="0.2">
      <c r="B349" s="533">
        <v>371</v>
      </c>
      <c r="C349" s="541" t="s">
        <v>4550</v>
      </c>
      <c r="D349" s="656" t="s">
        <v>430</v>
      </c>
      <c r="E349" s="534">
        <v>784.63999799999999</v>
      </c>
    </row>
    <row r="350" spans="2:5" x14ac:dyDescent="0.2">
      <c r="B350" s="533">
        <v>372</v>
      </c>
      <c r="C350" s="541" t="s">
        <v>4431</v>
      </c>
      <c r="D350" s="656" t="s">
        <v>430</v>
      </c>
      <c r="E350" s="534">
        <v>776.18889000000001</v>
      </c>
    </row>
    <row r="351" spans="2:5" x14ac:dyDescent="0.2">
      <c r="B351" s="533">
        <v>373</v>
      </c>
      <c r="C351" s="541" t="s">
        <v>5380</v>
      </c>
      <c r="D351" s="656" t="s">
        <v>430</v>
      </c>
      <c r="E351" s="534">
        <v>876.63000799999998</v>
      </c>
    </row>
    <row r="352" spans="2:5" x14ac:dyDescent="0.2">
      <c r="B352" s="533">
        <v>374</v>
      </c>
      <c r="C352" s="541" t="s">
        <v>5414</v>
      </c>
      <c r="D352" s="656" t="s">
        <v>430</v>
      </c>
      <c r="E352" s="534">
        <v>883.18332899999996</v>
      </c>
    </row>
    <row r="353" spans="2:5" x14ac:dyDescent="0.2">
      <c r="B353" s="533">
        <v>375</v>
      </c>
      <c r="C353" s="541" t="s">
        <v>2742</v>
      </c>
      <c r="D353" s="656" t="s">
        <v>430</v>
      </c>
      <c r="E353" s="534">
        <v>678.42000700000006</v>
      </c>
    </row>
    <row r="354" spans="2:5" x14ac:dyDescent="0.2">
      <c r="B354" s="533">
        <v>376</v>
      </c>
      <c r="C354" s="541" t="s">
        <v>3964</v>
      </c>
      <c r="D354" s="656" t="s">
        <v>430</v>
      </c>
      <c r="E354" s="534">
        <v>743.29998799999998</v>
      </c>
    </row>
    <row r="355" spans="2:5" x14ac:dyDescent="0.2">
      <c r="B355" s="533">
        <v>377</v>
      </c>
      <c r="C355" s="541" t="s">
        <v>6925</v>
      </c>
      <c r="D355" s="656" t="s">
        <v>430</v>
      </c>
      <c r="E355" s="534">
        <v>757.03334600000005</v>
      </c>
    </row>
    <row r="356" spans="2:5" x14ac:dyDescent="0.2">
      <c r="B356" s="533">
        <v>378</v>
      </c>
      <c r="C356" s="541" t="s">
        <v>6655</v>
      </c>
      <c r="D356" s="656" t="s">
        <v>430</v>
      </c>
      <c r="E356" s="534">
        <v>827.90002400000003</v>
      </c>
    </row>
    <row r="357" spans="2:5" x14ac:dyDescent="0.2">
      <c r="B357" s="533">
        <v>379</v>
      </c>
      <c r="C357" s="541" t="s">
        <v>7484</v>
      </c>
      <c r="D357" s="656" t="s">
        <v>430</v>
      </c>
      <c r="E357" s="534">
        <v>738.44000200000005</v>
      </c>
    </row>
    <row r="358" spans="2:5" x14ac:dyDescent="0.2">
      <c r="B358" s="533">
        <v>380</v>
      </c>
      <c r="C358" s="541" t="s">
        <v>4600</v>
      </c>
      <c r="D358" s="656" t="s">
        <v>430</v>
      </c>
      <c r="E358" s="534">
        <v>788.58572000000004</v>
      </c>
    </row>
    <row r="359" spans="2:5" x14ac:dyDescent="0.2">
      <c r="B359" s="533">
        <v>381</v>
      </c>
      <c r="C359" s="541" t="s">
        <v>5534</v>
      </c>
      <c r="D359" s="656" t="s">
        <v>430</v>
      </c>
      <c r="E359" s="534">
        <v>902.59411999999998</v>
      </c>
    </row>
    <row r="360" spans="2:5" x14ac:dyDescent="0.2">
      <c r="B360" s="533">
        <v>382</v>
      </c>
      <c r="C360" s="541" t="s">
        <v>6902</v>
      </c>
      <c r="D360" s="656" t="s">
        <v>430</v>
      </c>
      <c r="E360" s="534">
        <v>613.75184899999999</v>
      </c>
    </row>
    <row r="361" spans="2:5" x14ac:dyDescent="0.2">
      <c r="B361" s="533">
        <v>383</v>
      </c>
      <c r="C361" s="541" t="s">
        <v>1312</v>
      </c>
      <c r="D361" s="656" t="s">
        <v>430</v>
      </c>
      <c r="E361" s="534">
        <v>610.78749100000005</v>
      </c>
    </row>
    <row r="362" spans="2:5" x14ac:dyDescent="0.2">
      <c r="B362" s="533">
        <v>384</v>
      </c>
      <c r="C362" s="541" t="s">
        <v>5269</v>
      </c>
      <c r="D362" s="656" t="s">
        <v>430</v>
      </c>
      <c r="E362" s="534">
        <v>857.94001500000002</v>
      </c>
    </row>
    <row r="363" spans="2:5" x14ac:dyDescent="0.2">
      <c r="B363" s="533">
        <v>385</v>
      </c>
      <c r="C363" s="541" t="s">
        <v>5334</v>
      </c>
      <c r="D363" s="656" t="s">
        <v>430</v>
      </c>
      <c r="E363" s="534">
        <v>869.40002400000003</v>
      </c>
    </row>
    <row r="364" spans="2:5" x14ac:dyDescent="0.2">
      <c r="B364" s="533">
        <v>386</v>
      </c>
      <c r="C364" s="541" t="s">
        <v>1695</v>
      </c>
      <c r="D364" s="656" t="s">
        <v>430</v>
      </c>
      <c r="E364" s="534">
        <v>632.55713800000001</v>
      </c>
    </row>
    <row r="365" spans="2:5" x14ac:dyDescent="0.2">
      <c r="B365" s="533">
        <v>387</v>
      </c>
      <c r="C365" s="541" t="s">
        <v>5197</v>
      </c>
      <c r="D365" s="656" t="s">
        <v>430</v>
      </c>
      <c r="E365" s="534">
        <v>846.44545700000003</v>
      </c>
    </row>
    <row r="366" spans="2:5" x14ac:dyDescent="0.2">
      <c r="B366" s="533">
        <v>388</v>
      </c>
      <c r="C366" s="541" t="s">
        <v>5388</v>
      </c>
      <c r="D366" s="656" t="s">
        <v>430</v>
      </c>
      <c r="E366" s="534">
        <v>878.99512300000004</v>
      </c>
    </row>
    <row r="367" spans="2:5" x14ac:dyDescent="0.2">
      <c r="B367" s="533">
        <v>389</v>
      </c>
      <c r="C367" s="541" t="s">
        <v>2349</v>
      </c>
      <c r="D367" s="656" t="s">
        <v>430</v>
      </c>
      <c r="E367" s="534">
        <v>660.259998</v>
      </c>
    </row>
    <row r="368" spans="2:5" x14ac:dyDescent="0.2">
      <c r="B368" s="533">
        <v>390</v>
      </c>
      <c r="C368" s="541" t="s">
        <v>4821</v>
      </c>
      <c r="D368" s="656" t="s">
        <v>430</v>
      </c>
      <c r="E368" s="534">
        <v>806.12500399999999</v>
      </c>
    </row>
    <row r="369" spans="2:5" x14ac:dyDescent="0.2">
      <c r="B369" s="533">
        <v>391</v>
      </c>
      <c r="C369" s="541" t="s">
        <v>4304</v>
      </c>
      <c r="D369" s="656" t="s">
        <v>430</v>
      </c>
      <c r="E369" s="534">
        <v>765.61000999999999</v>
      </c>
    </row>
    <row r="370" spans="2:5" x14ac:dyDescent="0.2">
      <c r="B370" s="533">
        <v>392</v>
      </c>
      <c r="C370" s="541" t="s">
        <v>4296</v>
      </c>
      <c r="D370" s="656" t="s">
        <v>430</v>
      </c>
      <c r="E370" s="534">
        <v>765.10000300000002</v>
      </c>
    </row>
    <row r="371" spans="2:5" x14ac:dyDescent="0.2">
      <c r="B371" s="533">
        <v>393</v>
      </c>
      <c r="C371" s="541" t="s">
        <v>5133</v>
      </c>
      <c r="D371" s="656" t="s">
        <v>430</v>
      </c>
      <c r="E371" s="534">
        <v>837.87499500000001</v>
      </c>
    </row>
    <row r="372" spans="2:5" x14ac:dyDescent="0.2">
      <c r="B372" s="533">
        <v>401</v>
      </c>
      <c r="C372" s="541" t="s">
        <v>1466</v>
      </c>
      <c r="D372" s="656" t="s">
        <v>440</v>
      </c>
      <c r="E372" s="534">
        <v>618.98235699999998</v>
      </c>
    </row>
    <row r="373" spans="2:5" x14ac:dyDescent="0.2">
      <c r="B373" s="533">
        <v>402</v>
      </c>
      <c r="C373" s="541" t="s">
        <v>1453</v>
      </c>
      <c r="D373" s="656" t="s">
        <v>440</v>
      </c>
      <c r="E373" s="534">
        <v>618.31000400000005</v>
      </c>
    </row>
    <row r="374" spans="2:5" x14ac:dyDescent="0.2">
      <c r="B374" s="533">
        <v>403</v>
      </c>
      <c r="C374" s="541" t="s">
        <v>4166</v>
      </c>
      <c r="D374" s="656" t="s">
        <v>440</v>
      </c>
      <c r="E374" s="534">
        <v>755.65714800000001</v>
      </c>
    </row>
    <row r="375" spans="2:5" x14ac:dyDescent="0.2">
      <c r="B375" s="533">
        <v>404</v>
      </c>
      <c r="C375" s="541" t="s">
        <v>1419</v>
      </c>
      <c r="D375" s="656" t="s">
        <v>440</v>
      </c>
      <c r="E375" s="534">
        <v>693.86665900000003</v>
      </c>
    </row>
    <row r="376" spans="2:5" x14ac:dyDescent="0.2">
      <c r="B376" s="533">
        <v>405</v>
      </c>
      <c r="C376" s="541" t="s">
        <v>3806</v>
      </c>
      <c r="D376" s="656" t="s">
        <v>440</v>
      </c>
      <c r="E376" s="534">
        <v>733.64000199999998</v>
      </c>
    </row>
    <row r="377" spans="2:5" x14ac:dyDescent="0.2">
      <c r="B377" s="533">
        <v>406</v>
      </c>
      <c r="C377" s="541" t="s">
        <v>5314</v>
      </c>
      <c r="D377" s="656" t="s">
        <v>440</v>
      </c>
      <c r="E377" s="534">
        <v>866.55999799999995</v>
      </c>
    </row>
    <row r="378" spans="2:5" x14ac:dyDescent="0.2">
      <c r="B378" s="533">
        <v>407</v>
      </c>
      <c r="C378" s="541" t="s">
        <v>1980</v>
      </c>
      <c r="D378" s="656" t="s">
        <v>440</v>
      </c>
      <c r="E378" s="534">
        <v>643.04998799999998</v>
      </c>
    </row>
    <row r="379" spans="2:5" x14ac:dyDescent="0.2">
      <c r="B379" s="533">
        <v>408</v>
      </c>
      <c r="C379" s="541" t="s">
        <v>4875</v>
      </c>
      <c r="D379" s="656" t="s">
        <v>440</v>
      </c>
      <c r="E379" s="534">
        <v>809.96667500000001</v>
      </c>
    </row>
    <row r="380" spans="2:5" x14ac:dyDescent="0.2">
      <c r="B380" s="533">
        <v>409</v>
      </c>
      <c r="C380" s="541" t="s">
        <v>6911</v>
      </c>
      <c r="D380" s="656" t="s">
        <v>440</v>
      </c>
      <c r="E380" s="534">
        <v>666.72500600000001</v>
      </c>
    </row>
    <row r="381" spans="2:5" x14ac:dyDescent="0.2">
      <c r="B381" s="533">
        <v>410</v>
      </c>
      <c r="C381" s="541" t="s">
        <v>1812</v>
      </c>
      <c r="D381" s="656" t="s">
        <v>440</v>
      </c>
      <c r="E381" s="534">
        <v>636.76363900000001</v>
      </c>
    </row>
    <row r="382" spans="2:5" x14ac:dyDescent="0.2">
      <c r="B382" s="533">
        <v>411</v>
      </c>
      <c r="C382" s="541" t="s">
        <v>954</v>
      </c>
      <c r="D382" s="656" t="s">
        <v>440</v>
      </c>
      <c r="E382" s="534">
        <v>712.90000399999997</v>
      </c>
    </row>
    <row r="383" spans="2:5" x14ac:dyDescent="0.2">
      <c r="B383" s="533">
        <v>412</v>
      </c>
      <c r="C383" s="541" t="s">
        <v>7216</v>
      </c>
      <c r="D383" s="656" t="s">
        <v>440</v>
      </c>
      <c r="E383" s="534">
        <v>759.92000700000006</v>
      </c>
    </row>
    <row r="384" spans="2:5" x14ac:dyDescent="0.2">
      <c r="B384" s="533">
        <v>413</v>
      </c>
      <c r="C384" s="541" t="s">
        <v>7166</v>
      </c>
      <c r="D384" s="656" t="s">
        <v>440</v>
      </c>
      <c r="E384" s="534">
        <v>687.38889600000005</v>
      </c>
    </row>
    <row r="385" spans="2:5" x14ac:dyDescent="0.2">
      <c r="B385" s="533">
        <v>414</v>
      </c>
      <c r="C385" s="541" t="s">
        <v>3625</v>
      </c>
      <c r="D385" s="656" t="s">
        <v>440</v>
      </c>
      <c r="E385" s="534">
        <v>723.6875</v>
      </c>
    </row>
    <row r="386" spans="2:5" x14ac:dyDescent="0.2">
      <c r="B386" s="533">
        <v>415</v>
      </c>
      <c r="C386" s="541" t="s">
        <v>3509</v>
      </c>
      <c r="D386" s="656" t="s">
        <v>440</v>
      </c>
      <c r="E386" s="534">
        <v>717.222219</v>
      </c>
    </row>
    <row r="387" spans="2:5" x14ac:dyDescent="0.2">
      <c r="B387" s="533">
        <v>416</v>
      </c>
      <c r="C387" s="541" t="s">
        <v>2190</v>
      </c>
      <c r="D387" s="656" t="s">
        <v>440</v>
      </c>
      <c r="E387" s="534">
        <v>652.81428700000004</v>
      </c>
    </row>
    <row r="388" spans="2:5" x14ac:dyDescent="0.2">
      <c r="B388" s="533">
        <v>417</v>
      </c>
      <c r="C388" s="541" t="s">
        <v>1940</v>
      </c>
      <c r="D388" s="656" t="s">
        <v>440</v>
      </c>
      <c r="E388" s="534">
        <v>699.07141999999999</v>
      </c>
    </row>
    <row r="389" spans="2:5" x14ac:dyDescent="0.2">
      <c r="B389" s="533">
        <v>418</v>
      </c>
      <c r="C389" s="541" t="s">
        <v>3963</v>
      </c>
      <c r="D389" s="656" t="s">
        <v>440</v>
      </c>
      <c r="E389" s="534">
        <v>743.26666299999999</v>
      </c>
    </row>
    <row r="390" spans="2:5" x14ac:dyDescent="0.2">
      <c r="B390" s="533">
        <v>419</v>
      </c>
      <c r="C390" s="541" t="s">
        <v>3677</v>
      </c>
      <c r="D390" s="656" t="s">
        <v>440</v>
      </c>
      <c r="E390" s="534">
        <v>726.44000200000005</v>
      </c>
    </row>
    <row r="391" spans="2:5" x14ac:dyDescent="0.2">
      <c r="B391" s="533">
        <v>420</v>
      </c>
      <c r="C391" s="541" t="s">
        <v>1960</v>
      </c>
      <c r="D391" s="656" t="s">
        <v>440</v>
      </c>
      <c r="E391" s="534">
        <v>642.36251100000004</v>
      </c>
    </row>
    <row r="392" spans="2:5" x14ac:dyDescent="0.2">
      <c r="B392" s="533">
        <v>421</v>
      </c>
      <c r="C392" s="541" t="s">
        <v>2456</v>
      </c>
      <c r="D392" s="656" t="s">
        <v>440</v>
      </c>
      <c r="E392" s="534">
        <v>664.68000500000005</v>
      </c>
    </row>
    <row r="393" spans="2:5" x14ac:dyDescent="0.2">
      <c r="B393" s="533">
        <v>422</v>
      </c>
      <c r="C393" s="541" t="s">
        <v>7388</v>
      </c>
      <c r="D393" s="656" t="s">
        <v>440</v>
      </c>
      <c r="E393" s="534">
        <v>657.16249800000003</v>
      </c>
    </row>
    <row r="394" spans="2:5" x14ac:dyDescent="0.2">
      <c r="B394" s="533">
        <v>423</v>
      </c>
      <c r="C394" s="541" t="s">
        <v>2660</v>
      </c>
      <c r="D394" s="656" t="s">
        <v>440</v>
      </c>
      <c r="E394" s="534">
        <v>674.55000299999995</v>
      </c>
    </row>
    <row r="395" spans="2:5" x14ac:dyDescent="0.2">
      <c r="B395" s="533">
        <v>424</v>
      </c>
      <c r="C395" s="541" t="s">
        <v>2757</v>
      </c>
      <c r="D395" s="656" t="s">
        <v>440</v>
      </c>
      <c r="E395" s="534">
        <v>679.02000699999996</v>
      </c>
    </row>
    <row r="396" spans="2:5" x14ac:dyDescent="0.2">
      <c r="B396" s="533">
        <v>425</v>
      </c>
      <c r="C396" s="541" t="s">
        <v>4611</v>
      </c>
      <c r="D396" s="656" t="s">
        <v>440</v>
      </c>
      <c r="E396" s="534">
        <v>789.54999799999996</v>
      </c>
    </row>
    <row r="397" spans="2:5" x14ac:dyDescent="0.2">
      <c r="B397" s="533">
        <v>426</v>
      </c>
      <c r="C397" s="541" t="s">
        <v>5037</v>
      </c>
      <c r="D397" s="656" t="s">
        <v>440</v>
      </c>
      <c r="E397" s="534">
        <v>827.72307599999999</v>
      </c>
    </row>
    <row r="398" spans="2:5" x14ac:dyDescent="0.2">
      <c r="B398" s="533">
        <v>427</v>
      </c>
      <c r="C398" s="541" t="s">
        <v>3652</v>
      </c>
      <c r="D398" s="656" t="s">
        <v>440</v>
      </c>
      <c r="E398" s="534">
        <v>724.89523799999995</v>
      </c>
    </row>
    <row r="399" spans="2:5" x14ac:dyDescent="0.2">
      <c r="B399" s="533">
        <v>428</v>
      </c>
      <c r="C399" s="541" t="s">
        <v>4341</v>
      </c>
      <c r="D399" s="656" t="s">
        <v>440</v>
      </c>
      <c r="E399" s="534">
        <v>768.19998199999998</v>
      </c>
    </row>
    <row r="400" spans="2:5" x14ac:dyDescent="0.2">
      <c r="B400" s="533">
        <v>429</v>
      </c>
      <c r="C400" s="541" t="s">
        <v>4420</v>
      </c>
      <c r="D400" s="656" t="s">
        <v>440</v>
      </c>
      <c r="E400" s="534">
        <v>775.05001800000002</v>
      </c>
    </row>
    <row r="401" spans="2:5" x14ac:dyDescent="0.2">
      <c r="B401" s="533">
        <v>430</v>
      </c>
      <c r="C401" s="541" t="s">
        <v>4154</v>
      </c>
      <c r="D401" s="656" t="s">
        <v>440</v>
      </c>
      <c r="E401" s="534">
        <v>754.97143600000004</v>
      </c>
    </row>
    <row r="402" spans="2:5" x14ac:dyDescent="0.2">
      <c r="B402" s="533">
        <v>431</v>
      </c>
      <c r="C402" s="541" t="s">
        <v>7606</v>
      </c>
      <c r="D402" s="656" t="s">
        <v>440</v>
      </c>
      <c r="E402" s="534">
        <v>678.44443799999999</v>
      </c>
    </row>
    <row r="403" spans="2:5" x14ac:dyDescent="0.2">
      <c r="B403" s="533">
        <v>432</v>
      </c>
      <c r="C403" s="541" t="s">
        <v>1731</v>
      </c>
      <c r="D403" s="656" t="s">
        <v>440</v>
      </c>
      <c r="E403" s="534">
        <v>633.76668299999994</v>
      </c>
    </row>
    <row r="404" spans="2:5" x14ac:dyDescent="0.2">
      <c r="B404" s="533">
        <v>433</v>
      </c>
      <c r="C404" s="541" t="s">
        <v>2626</v>
      </c>
      <c r="D404" s="656" t="s">
        <v>440</v>
      </c>
      <c r="E404" s="534">
        <v>673.22500600000001</v>
      </c>
    </row>
    <row r="405" spans="2:5" x14ac:dyDescent="0.2">
      <c r="B405" s="533">
        <v>434</v>
      </c>
      <c r="C405" s="541" t="s">
        <v>3130</v>
      </c>
      <c r="D405" s="656" t="s">
        <v>440</v>
      </c>
      <c r="E405" s="534">
        <v>698.25</v>
      </c>
    </row>
    <row r="406" spans="2:5" x14ac:dyDescent="0.2">
      <c r="B406" s="533">
        <v>435</v>
      </c>
      <c r="C406" s="541" t="s">
        <v>840</v>
      </c>
      <c r="D406" s="656" t="s">
        <v>440</v>
      </c>
      <c r="E406" s="534">
        <v>673.04000199999996</v>
      </c>
    </row>
    <row r="407" spans="2:5" x14ac:dyDescent="0.2">
      <c r="B407" s="533">
        <v>436</v>
      </c>
      <c r="C407" s="541" t="s">
        <v>7168</v>
      </c>
      <c r="D407" s="656" t="s">
        <v>440</v>
      </c>
      <c r="E407" s="534">
        <v>696.15263300000004</v>
      </c>
    </row>
    <row r="408" spans="2:5" x14ac:dyDescent="0.2">
      <c r="B408" s="533">
        <v>437</v>
      </c>
      <c r="C408" s="541" t="s">
        <v>3341</v>
      </c>
      <c r="D408" s="656" t="s">
        <v>440</v>
      </c>
      <c r="E408" s="534">
        <v>708.52999299999999</v>
      </c>
    </row>
    <row r="409" spans="2:5" x14ac:dyDescent="0.2">
      <c r="B409" s="533">
        <v>439</v>
      </c>
      <c r="C409" s="541" t="s">
        <v>3435</v>
      </c>
      <c r="D409" s="656" t="s">
        <v>440</v>
      </c>
      <c r="E409" s="534">
        <v>713.009094</v>
      </c>
    </row>
    <row r="410" spans="2:5" x14ac:dyDescent="0.2">
      <c r="B410" s="533">
        <v>440</v>
      </c>
      <c r="C410" s="541" t="s">
        <v>3796</v>
      </c>
      <c r="D410" s="656" t="s">
        <v>440</v>
      </c>
      <c r="E410" s="534">
        <v>733.20000200000004</v>
      </c>
    </row>
    <row r="411" spans="2:5" x14ac:dyDescent="0.2">
      <c r="B411" s="533">
        <v>441</v>
      </c>
      <c r="C411" s="541" t="s">
        <v>3819</v>
      </c>
      <c r="D411" s="656" t="s">
        <v>440</v>
      </c>
      <c r="E411" s="534">
        <v>734.53998999999999</v>
      </c>
    </row>
    <row r="412" spans="2:5" x14ac:dyDescent="0.2">
      <c r="B412" s="533">
        <v>442</v>
      </c>
      <c r="C412" s="541" t="s">
        <v>4398</v>
      </c>
      <c r="D412" s="656" t="s">
        <v>440</v>
      </c>
      <c r="E412" s="534">
        <v>773.27499399999999</v>
      </c>
    </row>
    <row r="413" spans="2:5" x14ac:dyDescent="0.2">
      <c r="B413" s="533">
        <v>443</v>
      </c>
      <c r="C413" s="541" t="s">
        <v>1600</v>
      </c>
      <c r="D413" s="656" t="s">
        <v>440</v>
      </c>
      <c r="E413" s="534">
        <v>665.96667500000001</v>
      </c>
    </row>
    <row r="414" spans="2:5" x14ac:dyDescent="0.2">
      <c r="B414" s="533">
        <v>444</v>
      </c>
      <c r="C414" s="541" t="s">
        <v>1791</v>
      </c>
      <c r="D414" s="656" t="s">
        <v>440</v>
      </c>
      <c r="E414" s="534">
        <v>635.97778300000004</v>
      </c>
    </row>
    <row r="415" spans="2:5" x14ac:dyDescent="0.2">
      <c r="B415" s="533">
        <v>445</v>
      </c>
      <c r="C415" s="541" t="s">
        <v>2311</v>
      </c>
      <c r="D415" s="656" t="s">
        <v>440</v>
      </c>
      <c r="E415" s="534">
        <v>658.27778499999999</v>
      </c>
    </row>
    <row r="416" spans="2:5" x14ac:dyDescent="0.2">
      <c r="B416" s="533">
        <v>446</v>
      </c>
      <c r="C416" s="541" t="s">
        <v>7359</v>
      </c>
      <c r="D416" s="656" t="s">
        <v>440</v>
      </c>
      <c r="E416" s="534">
        <v>627.26000399999998</v>
      </c>
    </row>
    <row r="417" spans="2:5" x14ac:dyDescent="0.2">
      <c r="B417" s="533">
        <v>447</v>
      </c>
      <c r="C417" s="541" t="s">
        <v>7358</v>
      </c>
      <c r="D417" s="656" t="s">
        <v>440</v>
      </c>
      <c r="E417" s="534">
        <v>669.10000100000002</v>
      </c>
    </row>
    <row r="418" spans="2:5" x14ac:dyDescent="0.2">
      <c r="B418" s="533">
        <v>448</v>
      </c>
      <c r="C418" s="541" t="s">
        <v>3417</v>
      </c>
      <c r="D418" s="656" t="s">
        <v>440</v>
      </c>
      <c r="E418" s="534">
        <v>712.41333399999996</v>
      </c>
    </row>
    <row r="419" spans="2:5" x14ac:dyDescent="0.2">
      <c r="B419" s="533">
        <v>449</v>
      </c>
      <c r="C419" s="541" t="s">
        <v>2245</v>
      </c>
      <c r="D419" s="656" t="s">
        <v>440</v>
      </c>
      <c r="E419" s="534">
        <v>659.740002</v>
      </c>
    </row>
    <row r="420" spans="2:5" x14ac:dyDescent="0.2">
      <c r="B420" s="533">
        <v>450</v>
      </c>
      <c r="C420" s="541" t="s">
        <v>6883</v>
      </c>
      <c r="D420" s="656" t="s">
        <v>440</v>
      </c>
      <c r="E420" s="534">
        <v>671.46666800000003</v>
      </c>
    </row>
    <row r="421" spans="2:5" x14ac:dyDescent="0.2">
      <c r="B421" s="533">
        <v>451</v>
      </c>
      <c r="C421" s="541" t="s">
        <v>3789</v>
      </c>
      <c r="D421" s="656" t="s">
        <v>440</v>
      </c>
      <c r="E421" s="534">
        <v>732.57777899999996</v>
      </c>
    </row>
    <row r="422" spans="2:5" x14ac:dyDescent="0.2">
      <c r="B422" s="533">
        <v>452</v>
      </c>
      <c r="C422" s="541" t="s">
        <v>6606</v>
      </c>
      <c r="D422" s="656" t="s">
        <v>440</v>
      </c>
      <c r="E422" s="534">
        <v>641.52104699999995</v>
      </c>
    </row>
    <row r="423" spans="2:5" x14ac:dyDescent="0.2">
      <c r="B423" s="533">
        <v>453</v>
      </c>
      <c r="C423" s="541" t="s">
        <v>7395</v>
      </c>
      <c r="D423" s="656" t="s">
        <v>440</v>
      </c>
      <c r="E423" s="534">
        <v>702.03334600000005</v>
      </c>
    </row>
    <row r="424" spans="2:5" x14ac:dyDescent="0.2">
      <c r="B424" s="533">
        <v>454</v>
      </c>
      <c r="C424" s="541" t="s">
        <v>4802</v>
      </c>
      <c r="D424" s="656" t="s">
        <v>440</v>
      </c>
      <c r="E424" s="534">
        <v>804.19999199999995</v>
      </c>
    </row>
    <row r="425" spans="2:5" x14ac:dyDescent="0.2">
      <c r="B425" s="533">
        <v>455</v>
      </c>
      <c r="C425" s="541" t="s">
        <v>3024</v>
      </c>
      <c r="D425" s="656" t="s">
        <v>440</v>
      </c>
      <c r="E425" s="534">
        <v>692.5</v>
      </c>
    </row>
    <row r="426" spans="2:5" x14ac:dyDescent="0.2">
      <c r="B426" s="533">
        <v>456</v>
      </c>
      <c r="C426" s="541" t="s">
        <v>440</v>
      </c>
      <c r="D426" s="656" t="s">
        <v>440</v>
      </c>
      <c r="E426" s="534">
        <v>711.76666599999999</v>
      </c>
    </row>
    <row r="427" spans="2:5" x14ac:dyDescent="0.2">
      <c r="B427" s="533">
        <v>457</v>
      </c>
      <c r="C427" s="541" t="s">
        <v>6693</v>
      </c>
      <c r="D427" s="656" t="s">
        <v>440</v>
      </c>
      <c r="E427" s="534">
        <v>627.25000599999998</v>
      </c>
    </row>
    <row r="428" spans="2:5" x14ac:dyDescent="0.2">
      <c r="B428" s="533">
        <v>458</v>
      </c>
      <c r="C428" s="541" t="s">
        <v>2672</v>
      </c>
      <c r="D428" s="656" t="s">
        <v>440</v>
      </c>
      <c r="E428" s="534">
        <v>675.16666699999996</v>
      </c>
    </row>
    <row r="429" spans="2:5" x14ac:dyDescent="0.2">
      <c r="B429" s="533">
        <v>459</v>
      </c>
      <c r="C429" s="541" t="s">
        <v>2689</v>
      </c>
      <c r="D429" s="656" t="s">
        <v>440</v>
      </c>
      <c r="E429" s="534">
        <v>675.69999499999994</v>
      </c>
    </row>
    <row r="430" spans="2:5" x14ac:dyDescent="0.2">
      <c r="B430" s="533">
        <v>460</v>
      </c>
      <c r="C430" s="541" t="s">
        <v>1777</v>
      </c>
      <c r="D430" s="656" t="s">
        <v>440</v>
      </c>
      <c r="E430" s="534">
        <v>635.55000299999995</v>
      </c>
    </row>
    <row r="431" spans="2:5" x14ac:dyDescent="0.2">
      <c r="B431" s="533">
        <v>461</v>
      </c>
      <c r="C431" s="541" t="s">
        <v>1115</v>
      </c>
      <c r="D431" s="656" t="s">
        <v>440</v>
      </c>
      <c r="E431" s="534">
        <v>748.84999600000003</v>
      </c>
    </row>
    <row r="432" spans="2:5" x14ac:dyDescent="0.2">
      <c r="B432" s="533">
        <v>462</v>
      </c>
      <c r="C432" s="541" t="s">
        <v>4105</v>
      </c>
      <c r="D432" s="656" t="s">
        <v>440</v>
      </c>
      <c r="E432" s="534">
        <v>751.64545199999998</v>
      </c>
    </row>
    <row r="433" spans="2:5" x14ac:dyDescent="0.2">
      <c r="B433" s="533">
        <v>463</v>
      </c>
      <c r="C433" s="541" t="s">
        <v>2427</v>
      </c>
      <c r="D433" s="656" t="s">
        <v>440</v>
      </c>
      <c r="E433" s="534">
        <v>663.76000399999998</v>
      </c>
    </row>
    <row r="434" spans="2:5" x14ac:dyDescent="0.2">
      <c r="B434" s="533">
        <v>464</v>
      </c>
      <c r="C434" s="541" t="s">
        <v>4101</v>
      </c>
      <c r="D434" s="656" t="s">
        <v>440</v>
      </c>
      <c r="E434" s="534">
        <v>751.36363600000004</v>
      </c>
    </row>
    <row r="435" spans="2:5" x14ac:dyDescent="0.2">
      <c r="B435" s="533">
        <v>465</v>
      </c>
      <c r="C435" s="541" t="s">
        <v>2841</v>
      </c>
      <c r="D435" s="656" t="s">
        <v>440</v>
      </c>
      <c r="E435" s="534">
        <v>683.95714499999997</v>
      </c>
    </row>
    <row r="436" spans="2:5" x14ac:dyDescent="0.2">
      <c r="B436" s="533">
        <v>466</v>
      </c>
      <c r="C436" s="541" t="s">
        <v>2656</v>
      </c>
      <c r="D436" s="656" t="s">
        <v>440</v>
      </c>
      <c r="E436" s="534">
        <v>674.4</v>
      </c>
    </row>
    <row r="437" spans="2:5" x14ac:dyDescent="0.2">
      <c r="B437" s="533">
        <v>467</v>
      </c>
      <c r="C437" s="541" t="s">
        <v>5432</v>
      </c>
      <c r="D437" s="656" t="s">
        <v>440</v>
      </c>
      <c r="E437" s="534">
        <v>886.43332899999996</v>
      </c>
    </row>
    <row r="438" spans="2:5" x14ac:dyDescent="0.2">
      <c r="B438" s="533">
        <v>468</v>
      </c>
      <c r="C438" s="541" t="s">
        <v>4448</v>
      </c>
      <c r="D438" s="656" t="s">
        <v>440</v>
      </c>
      <c r="E438" s="534">
        <v>777.30000199999995</v>
      </c>
    </row>
    <row r="439" spans="2:5" x14ac:dyDescent="0.2">
      <c r="B439" s="533">
        <v>469</v>
      </c>
      <c r="C439" s="541" t="s">
        <v>2536</v>
      </c>
      <c r="D439" s="656" t="s">
        <v>440</v>
      </c>
      <c r="E439" s="534">
        <v>668.28332999999998</v>
      </c>
    </row>
    <row r="440" spans="2:5" x14ac:dyDescent="0.2">
      <c r="B440" s="533">
        <v>470</v>
      </c>
      <c r="C440" s="541" t="s">
        <v>3332</v>
      </c>
      <c r="D440" s="656" t="s">
        <v>440</v>
      </c>
      <c r="E440" s="534">
        <v>707.74443900000006</v>
      </c>
    </row>
    <row r="441" spans="2:5" x14ac:dyDescent="0.2">
      <c r="B441" s="533">
        <v>471</v>
      </c>
      <c r="C441" s="541" t="s">
        <v>2157</v>
      </c>
      <c r="D441" s="656" t="s">
        <v>440</v>
      </c>
      <c r="E441" s="534">
        <v>651.47997999999995</v>
      </c>
    </row>
    <row r="442" spans="2:5" x14ac:dyDescent="0.2">
      <c r="B442" s="533">
        <v>472</v>
      </c>
      <c r="C442" s="541" t="s">
        <v>2316</v>
      </c>
      <c r="D442" s="656" t="s">
        <v>440</v>
      </c>
      <c r="E442" s="534">
        <v>658.77778499999999</v>
      </c>
    </row>
    <row r="443" spans="2:5" x14ac:dyDescent="0.2">
      <c r="B443" s="533">
        <v>473</v>
      </c>
      <c r="C443" s="541" t="s">
        <v>2975</v>
      </c>
      <c r="D443" s="656" t="s">
        <v>440</v>
      </c>
      <c r="E443" s="534">
        <v>689.74284999999998</v>
      </c>
    </row>
    <row r="444" spans="2:5" x14ac:dyDescent="0.2">
      <c r="B444" s="533">
        <v>474</v>
      </c>
      <c r="C444" s="541" t="s">
        <v>4770</v>
      </c>
      <c r="D444" s="656" t="s">
        <v>440</v>
      </c>
      <c r="E444" s="534">
        <v>802.12963200000002</v>
      </c>
    </row>
    <row r="445" spans="2:5" x14ac:dyDescent="0.2">
      <c r="B445" s="533">
        <v>475</v>
      </c>
      <c r="C445" s="541" t="s">
        <v>3439</v>
      </c>
      <c r="D445" s="656" t="s">
        <v>440</v>
      </c>
      <c r="E445" s="534">
        <v>713.19999299999995</v>
      </c>
    </row>
    <row r="446" spans="2:5" x14ac:dyDescent="0.2">
      <c r="B446" s="533">
        <v>476</v>
      </c>
      <c r="C446" s="541" t="s">
        <v>4312</v>
      </c>
      <c r="D446" s="656" t="s">
        <v>440</v>
      </c>
      <c r="E446" s="534">
        <v>766.26248899999996</v>
      </c>
    </row>
    <row r="447" spans="2:5" x14ac:dyDescent="0.2">
      <c r="B447" s="533">
        <v>477</v>
      </c>
      <c r="C447" s="541" t="s">
        <v>4229</v>
      </c>
      <c r="D447" s="656" t="s">
        <v>440</v>
      </c>
      <c r="E447" s="534">
        <v>760.21334200000001</v>
      </c>
    </row>
    <row r="448" spans="2:5" x14ac:dyDescent="0.2">
      <c r="B448" s="533">
        <v>478</v>
      </c>
      <c r="C448" s="541" t="s">
        <v>4719</v>
      </c>
      <c r="D448" s="656" t="s">
        <v>440</v>
      </c>
      <c r="E448" s="534">
        <v>798.46666500000003</v>
      </c>
    </row>
    <row r="449" spans="2:5" x14ac:dyDescent="0.2">
      <c r="B449" s="533">
        <v>479</v>
      </c>
      <c r="C449" s="541" t="s">
        <v>2964</v>
      </c>
      <c r="D449" s="656" t="s">
        <v>440</v>
      </c>
      <c r="E449" s="534">
        <v>688.95001200000002</v>
      </c>
    </row>
    <row r="450" spans="2:5" x14ac:dyDescent="0.2">
      <c r="B450" s="533">
        <v>480</v>
      </c>
      <c r="C450" s="541" t="s">
        <v>4214</v>
      </c>
      <c r="D450" s="656" t="s">
        <v>440</v>
      </c>
      <c r="E450" s="534">
        <v>759.39998400000002</v>
      </c>
    </row>
    <row r="451" spans="2:5" x14ac:dyDescent="0.2">
      <c r="B451" s="533">
        <v>501</v>
      </c>
      <c r="C451" s="541" t="s">
        <v>6604</v>
      </c>
      <c r="D451" s="656" t="s">
        <v>441</v>
      </c>
      <c r="E451" s="534">
        <v>847.92400399999997</v>
      </c>
    </row>
    <row r="452" spans="2:5" x14ac:dyDescent="0.2">
      <c r="B452" s="533">
        <v>502</v>
      </c>
      <c r="C452" s="541" t="s">
        <v>3040</v>
      </c>
      <c r="D452" s="656" t="s">
        <v>441</v>
      </c>
      <c r="E452" s="534">
        <v>693.60908600000005</v>
      </c>
    </row>
    <row r="453" spans="2:5" x14ac:dyDescent="0.2">
      <c r="B453" s="533">
        <v>503</v>
      </c>
      <c r="C453" s="541" t="s">
        <v>4459</v>
      </c>
      <c r="D453" s="656" t="s">
        <v>441</v>
      </c>
      <c r="E453" s="534">
        <v>778.04583000000002</v>
      </c>
    </row>
    <row r="454" spans="2:5" x14ac:dyDescent="0.2">
      <c r="B454" s="533">
        <v>504</v>
      </c>
      <c r="C454" s="541" t="s">
        <v>3169</v>
      </c>
      <c r="D454" s="656" t="s">
        <v>441</v>
      </c>
      <c r="E454" s="534">
        <v>700.10714700000005</v>
      </c>
    </row>
    <row r="455" spans="2:5" x14ac:dyDescent="0.2">
      <c r="B455" s="533">
        <v>505</v>
      </c>
      <c r="C455" s="541" t="s">
        <v>4168</v>
      </c>
      <c r="D455" s="656" t="s">
        <v>441</v>
      </c>
      <c r="E455" s="534">
        <v>755.736356</v>
      </c>
    </row>
    <row r="456" spans="2:5" x14ac:dyDescent="0.2">
      <c r="B456" s="533">
        <v>506</v>
      </c>
      <c r="C456" s="541" t="s">
        <v>4809</v>
      </c>
      <c r="D456" s="656" t="s">
        <v>441</v>
      </c>
      <c r="E456" s="534">
        <v>804.95769299999995</v>
      </c>
    </row>
    <row r="457" spans="2:5" x14ac:dyDescent="0.2">
      <c r="B457" s="533">
        <v>507</v>
      </c>
      <c r="C457" s="541" t="s">
        <v>4009</v>
      </c>
      <c r="D457" s="656" t="s">
        <v>441</v>
      </c>
      <c r="E457" s="534">
        <v>746.07692399999996</v>
      </c>
    </row>
    <row r="458" spans="2:5" x14ac:dyDescent="0.2">
      <c r="B458" s="533">
        <v>508</v>
      </c>
      <c r="C458" s="541" t="s">
        <v>5554</v>
      </c>
      <c r="D458" s="656" t="s">
        <v>441</v>
      </c>
      <c r="E458" s="534">
        <v>906.52220999999997</v>
      </c>
    </row>
    <row r="459" spans="2:5" x14ac:dyDescent="0.2">
      <c r="B459" s="533">
        <v>509</v>
      </c>
      <c r="C459" s="541" t="s">
        <v>5557</v>
      </c>
      <c r="D459" s="656" t="s">
        <v>441</v>
      </c>
      <c r="E459" s="534">
        <v>906.79998799999998</v>
      </c>
    </row>
    <row r="460" spans="2:5" x14ac:dyDescent="0.2">
      <c r="B460" s="533">
        <v>510</v>
      </c>
      <c r="C460" s="541" t="s">
        <v>3815</v>
      </c>
      <c r="D460" s="656" t="s">
        <v>441</v>
      </c>
      <c r="E460" s="534">
        <v>734.06154200000003</v>
      </c>
    </row>
    <row r="461" spans="2:5" x14ac:dyDescent="0.2">
      <c r="B461" s="533">
        <v>511</v>
      </c>
      <c r="C461" s="541" t="s">
        <v>3167</v>
      </c>
      <c r="D461" s="656" t="s">
        <v>441</v>
      </c>
      <c r="E461" s="534">
        <v>700.08571099999995</v>
      </c>
    </row>
    <row r="462" spans="2:5" x14ac:dyDescent="0.2">
      <c r="B462" s="533">
        <v>512</v>
      </c>
      <c r="C462" s="541" t="s">
        <v>7594</v>
      </c>
      <c r="D462" s="656" t="s">
        <v>441</v>
      </c>
      <c r="E462" s="534">
        <v>682.98749499999997</v>
      </c>
    </row>
    <row r="463" spans="2:5" x14ac:dyDescent="0.2">
      <c r="B463" s="533">
        <v>513</v>
      </c>
      <c r="C463" s="541" t="s">
        <v>2101</v>
      </c>
      <c r="D463" s="656" t="s">
        <v>441</v>
      </c>
      <c r="E463" s="534">
        <v>648.99998800000003</v>
      </c>
    </row>
    <row r="464" spans="2:5" x14ac:dyDescent="0.2">
      <c r="B464" s="533">
        <v>514</v>
      </c>
      <c r="C464" s="541" t="s">
        <v>6825</v>
      </c>
      <c r="D464" s="656" t="s">
        <v>441</v>
      </c>
      <c r="E464" s="534">
        <v>660.05908999999997</v>
      </c>
    </row>
    <row r="465" spans="2:5" x14ac:dyDescent="0.2">
      <c r="B465" s="533">
        <v>515</v>
      </c>
      <c r="C465" s="541" t="s">
        <v>1510</v>
      </c>
      <c r="D465" s="656" t="s">
        <v>441</v>
      </c>
      <c r="E465" s="534">
        <v>621.58332299999995</v>
      </c>
    </row>
    <row r="466" spans="2:5" x14ac:dyDescent="0.2">
      <c r="B466" s="533">
        <v>516</v>
      </c>
      <c r="C466" s="541" t="s">
        <v>7568</v>
      </c>
      <c r="D466" s="656" t="s">
        <v>441</v>
      </c>
      <c r="E466" s="534">
        <v>627.21666500000003</v>
      </c>
    </row>
    <row r="467" spans="2:5" x14ac:dyDescent="0.2">
      <c r="B467" s="533">
        <v>517</v>
      </c>
      <c r="C467" s="541" t="s">
        <v>2847</v>
      </c>
      <c r="D467" s="656" t="s">
        <v>441</v>
      </c>
      <c r="E467" s="534">
        <v>684.14000199999998</v>
      </c>
    </row>
    <row r="468" spans="2:5" x14ac:dyDescent="0.2">
      <c r="B468" s="533">
        <v>518</v>
      </c>
      <c r="C468" s="541" t="s">
        <v>2411</v>
      </c>
      <c r="D468" s="656" t="s">
        <v>441</v>
      </c>
      <c r="E468" s="534">
        <v>663.19999199999995</v>
      </c>
    </row>
    <row r="469" spans="2:5" x14ac:dyDescent="0.2">
      <c r="B469" s="533">
        <v>519</v>
      </c>
      <c r="C469" s="541" t="s">
        <v>2566</v>
      </c>
      <c r="D469" s="656" t="s">
        <v>441</v>
      </c>
      <c r="E469" s="534">
        <v>669.36363100000005</v>
      </c>
    </row>
    <row r="470" spans="2:5" x14ac:dyDescent="0.2">
      <c r="B470" s="533">
        <v>520</v>
      </c>
      <c r="C470" s="541" t="s">
        <v>7013</v>
      </c>
      <c r="D470" s="656" t="s">
        <v>441</v>
      </c>
      <c r="E470" s="534">
        <v>659.88570700000002</v>
      </c>
    </row>
    <row r="471" spans="2:5" x14ac:dyDescent="0.2">
      <c r="B471" s="533">
        <v>521</v>
      </c>
      <c r="C471" s="541" t="s">
        <v>5646</v>
      </c>
      <c r="D471" s="656" t="s">
        <v>441</v>
      </c>
      <c r="E471" s="534">
        <v>925.52499399999999</v>
      </c>
    </row>
    <row r="472" spans="2:5" x14ac:dyDescent="0.2">
      <c r="B472" s="533">
        <v>522</v>
      </c>
      <c r="C472" s="541" t="s">
        <v>5561</v>
      </c>
      <c r="D472" s="656" t="s">
        <v>441</v>
      </c>
      <c r="E472" s="534">
        <v>907.08000100000004</v>
      </c>
    </row>
    <row r="473" spans="2:5" x14ac:dyDescent="0.2">
      <c r="B473" s="533">
        <v>523</v>
      </c>
      <c r="C473" s="541" t="s">
        <v>5253</v>
      </c>
      <c r="D473" s="656" t="s">
        <v>441</v>
      </c>
      <c r="E473" s="534">
        <v>855.38333499999999</v>
      </c>
    </row>
    <row r="474" spans="2:5" x14ac:dyDescent="0.2">
      <c r="B474" s="533">
        <v>524</v>
      </c>
      <c r="C474" s="541" t="s">
        <v>5723</v>
      </c>
      <c r="D474" s="656" t="s">
        <v>441</v>
      </c>
      <c r="E474" s="534">
        <v>948.39999399999999</v>
      </c>
    </row>
    <row r="475" spans="2:5" x14ac:dyDescent="0.2">
      <c r="B475" s="533">
        <v>525</v>
      </c>
      <c r="C475" s="541" t="s">
        <v>7405</v>
      </c>
      <c r="D475" s="656" t="s">
        <v>441</v>
      </c>
      <c r="E475" s="534">
        <v>903.42777799999999</v>
      </c>
    </row>
    <row r="476" spans="2:5" x14ac:dyDescent="0.2">
      <c r="B476" s="533">
        <v>526</v>
      </c>
      <c r="C476" s="541" t="s">
        <v>7404</v>
      </c>
      <c r="D476" s="656" t="s">
        <v>441</v>
      </c>
      <c r="E476" s="534">
        <v>947.59999100000005</v>
      </c>
    </row>
    <row r="477" spans="2:5" x14ac:dyDescent="0.2">
      <c r="B477" s="533">
        <v>527</v>
      </c>
      <c r="C477" s="541" t="s">
        <v>4390</v>
      </c>
      <c r="D477" s="656" t="s">
        <v>441</v>
      </c>
      <c r="E477" s="534">
        <v>772.088888</v>
      </c>
    </row>
    <row r="478" spans="2:5" x14ac:dyDescent="0.2">
      <c r="B478" s="533">
        <v>528</v>
      </c>
      <c r="C478" s="541" t="s">
        <v>3903</v>
      </c>
      <c r="D478" s="656" t="s">
        <v>441</v>
      </c>
      <c r="E478" s="534">
        <v>739.69285400000001</v>
      </c>
    </row>
    <row r="479" spans="2:5" x14ac:dyDescent="0.2">
      <c r="B479" s="533">
        <v>529</v>
      </c>
      <c r="C479" s="541" t="s">
        <v>1940</v>
      </c>
      <c r="D479" s="656" t="s">
        <v>441</v>
      </c>
      <c r="E479" s="534">
        <v>669.51428199999998</v>
      </c>
    </row>
    <row r="480" spans="2:5" x14ac:dyDescent="0.2">
      <c r="B480" s="533">
        <v>530</v>
      </c>
      <c r="C480" s="541" t="s">
        <v>6469</v>
      </c>
      <c r="D480" s="656" t="s">
        <v>441</v>
      </c>
      <c r="E480" s="534">
        <v>658.42000700000006</v>
      </c>
    </row>
    <row r="481" spans="2:5" x14ac:dyDescent="0.2">
      <c r="B481" s="533">
        <v>531</v>
      </c>
      <c r="C481" s="541" t="s">
        <v>6964</v>
      </c>
      <c r="D481" s="656" t="s">
        <v>441</v>
      </c>
      <c r="E481" s="534">
        <v>651.25000799999998</v>
      </c>
    </row>
    <row r="482" spans="2:5" x14ac:dyDescent="0.2">
      <c r="B482" s="533">
        <v>532</v>
      </c>
      <c r="C482" s="541" t="s">
        <v>1825</v>
      </c>
      <c r="D482" s="656" t="s">
        <v>441</v>
      </c>
      <c r="E482" s="534">
        <v>637.21000400000003</v>
      </c>
    </row>
    <row r="483" spans="2:5" x14ac:dyDescent="0.2">
      <c r="B483" s="533">
        <v>533</v>
      </c>
      <c r="C483" s="541" t="s">
        <v>5420</v>
      </c>
      <c r="D483" s="656" t="s">
        <v>441</v>
      </c>
      <c r="E483" s="534">
        <v>884.28571399999998</v>
      </c>
    </row>
    <row r="484" spans="2:5" x14ac:dyDescent="0.2">
      <c r="B484" s="533">
        <v>534</v>
      </c>
      <c r="C484" s="541" t="s">
        <v>6733</v>
      </c>
      <c r="D484" s="656" t="s">
        <v>441</v>
      </c>
      <c r="E484" s="534">
        <v>859.73999000000003</v>
      </c>
    </row>
    <row r="485" spans="2:5" x14ac:dyDescent="0.2">
      <c r="B485" s="533">
        <v>535</v>
      </c>
      <c r="C485" s="541" t="s">
        <v>5162</v>
      </c>
      <c r="D485" s="656" t="s">
        <v>441</v>
      </c>
      <c r="E485" s="534">
        <v>840.76666299999999</v>
      </c>
    </row>
    <row r="486" spans="2:5" x14ac:dyDescent="0.2">
      <c r="B486" s="533">
        <v>536</v>
      </c>
      <c r="C486" s="541" t="s">
        <v>5329</v>
      </c>
      <c r="D486" s="656" t="s">
        <v>441</v>
      </c>
      <c r="E486" s="534">
        <v>868.80000399999994</v>
      </c>
    </row>
    <row r="487" spans="2:5" x14ac:dyDescent="0.2">
      <c r="B487" s="533">
        <v>537</v>
      </c>
      <c r="C487" s="541" t="s">
        <v>4939</v>
      </c>
      <c r="D487" s="656" t="s">
        <v>441</v>
      </c>
      <c r="E487" s="534">
        <v>816.37999300000001</v>
      </c>
    </row>
    <row r="488" spans="2:5" x14ac:dyDescent="0.2">
      <c r="B488" s="533">
        <v>538</v>
      </c>
      <c r="C488" s="541" t="s">
        <v>4635</v>
      </c>
      <c r="D488" s="656" t="s">
        <v>441</v>
      </c>
      <c r="E488" s="534">
        <v>791.92220699999996</v>
      </c>
    </row>
    <row r="489" spans="2:5" x14ac:dyDescent="0.2">
      <c r="B489" s="533">
        <v>539</v>
      </c>
      <c r="C489" s="541" t="s">
        <v>2932</v>
      </c>
      <c r="D489" s="656" t="s">
        <v>441</v>
      </c>
      <c r="E489" s="534">
        <v>687.48751100000004</v>
      </c>
    </row>
    <row r="490" spans="2:5" x14ac:dyDescent="0.2">
      <c r="B490" s="533">
        <v>540</v>
      </c>
      <c r="C490" s="541" t="s">
        <v>1296</v>
      </c>
      <c r="D490" s="656" t="s">
        <v>441</v>
      </c>
      <c r="E490" s="534">
        <v>610.00000999999997</v>
      </c>
    </row>
    <row r="491" spans="2:5" x14ac:dyDescent="0.2">
      <c r="B491" s="533">
        <v>541</v>
      </c>
      <c r="C491" s="541" t="s">
        <v>1134</v>
      </c>
      <c r="D491" s="656" t="s">
        <v>441</v>
      </c>
      <c r="E491" s="534">
        <v>600.34997599999997</v>
      </c>
    </row>
    <row r="492" spans="2:5" x14ac:dyDescent="0.2">
      <c r="B492" s="533">
        <v>542</v>
      </c>
      <c r="C492" s="541" t="s">
        <v>2478</v>
      </c>
      <c r="D492" s="656" t="s">
        <v>441</v>
      </c>
      <c r="E492" s="534">
        <v>665.30000500000006</v>
      </c>
    </row>
    <row r="493" spans="2:5" x14ac:dyDescent="0.2">
      <c r="B493" s="533">
        <v>543</v>
      </c>
      <c r="C493" s="541" t="s">
        <v>1029</v>
      </c>
      <c r="D493" s="656" t="s">
        <v>441</v>
      </c>
      <c r="E493" s="534">
        <v>592.45001200000002</v>
      </c>
    </row>
    <row r="494" spans="2:5" x14ac:dyDescent="0.2">
      <c r="B494" s="533">
        <v>544</v>
      </c>
      <c r="C494" s="541" t="s">
        <v>6809</v>
      </c>
      <c r="D494" s="656" t="s">
        <v>441</v>
      </c>
      <c r="E494" s="534">
        <v>620.49999200000002</v>
      </c>
    </row>
    <row r="495" spans="2:5" x14ac:dyDescent="0.2">
      <c r="B495" s="533">
        <v>545</v>
      </c>
      <c r="C495" s="541" t="s">
        <v>1722</v>
      </c>
      <c r="D495" s="656" t="s">
        <v>441</v>
      </c>
      <c r="E495" s="534">
        <v>633.625</v>
      </c>
    </row>
    <row r="496" spans="2:5" x14ac:dyDescent="0.2">
      <c r="B496" s="533">
        <v>546</v>
      </c>
      <c r="C496" s="541" t="s">
        <v>6504</v>
      </c>
      <c r="D496" s="656" t="s">
        <v>441</v>
      </c>
      <c r="E496" s="534">
        <v>624.28000499999996</v>
      </c>
    </row>
    <row r="497" spans="2:5" x14ac:dyDescent="0.2">
      <c r="B497" s="533">
        <v>547</v>
      </c>
      <c r="C497" s="541" t="s">
        <v>7220</v>
      </c>
      <c r="D497" s="656" t="s">
        <v>441</v>
      </c>
      <c r="E497" s="534">
        <v>616.30001200000004</v>
      </c>
    </row>
    <row r="498" spans="2:5" x14ac:dyDescent="0.2">
      <c r="B498" s="533">
        <v>548</v>
      </c>
      <c r="C498" s="541" t="s">
        <v>6600</v>
      </c>
      <c r="D498" s="656" t="s">
        <v>441</v>
      </c>
      <c r="E498" s="534">
        <v>655.64999399999999</v>
      </c>
    </row>
    <row r="499" spans="2:5" x14ac:dyDescent="0.2">
      <c r="B499" s="533">
        <v>549</v>
      </c>
      <c r="C499" s="541" t="s">
        <v>1734</v>
      </c>
      <c r="D499" s="656" t="s">
        <v>441</v>
      </c>
      <c r="E499" s="534">
        <v>633.822225</v>
      </c>
    </row>
    <row r="500" spans="2:5" x14ac:dyDescent="0.2">
      <c r="B500" s="533">
        <v>550</v>
      </c>
      <c r="C500" s="541" t="s">
        <v>1627</v>
      </c>
      <c r="D500" s="656" t="s">
        <v>441</v>
      </c>
      <c r="E500" s="534">
        <v>628.21111399999995</v>
      </c>
    </row>
    <row r="501" spans="2:5" x14ac:dyDescent="0.2">
      <c r="B501" s="533">
        <v>551</v>
      </c>
      <c r="C501" s="541" t="s">
        <v>6732</v>
      </c>
      <c r="D501" s="656" t="s">
        <v>441</v>
      </c>
      <c r="E501" s="534">
        <v>912.97826399999997</v>
      </c>
    </row>
    <row r="502" spans="2:5" x14ac:dyDescent="0.2">
      <c r="B502" s="533">
        <v>552</v>
      </c>
      <c r="C502" s="541" t="s">
        <v>5567</v>
      </c>
      <c r="D502" s="656" t="s">
        <v>441</v>
      </c>
      <c r="E502" s="534">
        <v>907.79998799999998</v>
      </c>
    </row>
    <row r="503" spans="2:5" x14ac:dyDescent="0.2">
      <c r="B503" s="533">
        <v>553</v>
      </c>
      <c r="C503" s="541" t="s">
        <v>1304</v>
      </c>
      <c r="D503" s="656" t="s">
        <v>441</v>
      </c>
      <c r="E503" s="534">
        <v>855</v>
      </c>
    </row>
    <row r="504" spans="2:5" x14ac:dyDescent="0.2">
      <c r="B504" s="533">
        <v>554</v>
      </c>
      <c r="C504" s="541" t="s">
        <v>4477</v>
      </c>
      <c r="D504" s="656" t="s">
        <v>441</v>
      </c>
      <c r="E504" s="534">
        <v>778.97999300000004</v>
      </c>
    </row>
    <row r="505" spans="2:5" x14ac:dyDescent="0.2">
      <c r="B505" s="533">
        <v>555</v>
      </c>
      <c r="C505" s="541" t="s">
        <v>5039</v>
      </c>
      <c r="D505" s="656" t="s">
        <v>441</v>
      </c>
      <c r="E505" s="534">
        <v>828.18000500000005</v>
      </c>
    </row>
    <row r="506" spans="2:5" x14ac:dyDescent="0.2">
      <c r="B506" s="533">
        <v>556</v>
      </c>
      <c r="C506" s="541" t="s">
        <v>4526</v>
      </c>
      <c r="D506" s="656" t="s">
        <v>441</v>
      </c>
      <c r="E506" s="534">
        <v>782.52857300000005</v>
      </c>
    </row>
    <row r="507" spans="2:5" x14ac:dyDescent="0.2">
      <c r="B507" s="533">
        <v>557</v>
      </c>
      <c r="C507" s="541" t="s">
        <v>1431</v>
      </c>
      <c r="D507" s="656" t="s">
        <v>441</v>
      </c>
      <c r="E507" s="534">
        <v>689.73332700000003</v>
      </c>
    </row>
    <row r="508" spans="2:5" x14ac:dyDescent="0.2">
      <c r="B508" s="533">
        <v>558</v>
      </c>
      <c r="C508" s="541" t="s">
        <v>4280</v>
      </c>
      <c r="D508" s="656" t="s">
        <v>441</v>
      </c>
      <c r="E508" s="534">
        <v>763.70908999999995</v>
      </c>
    </row>
    <row r="509" spans="2:5" x14ac:dyDescent="0.2">
      <c r="B509" s="533">
        <v>559</v>
      </c>
      <c r="C509" s="541" t="s">
        <v>2351</v>
      </c>
      <c r="D509" s="656" t="s">
        <v>441</v>
      </c>
      <c r="E509" s="534">
        <v>660.29998799999998</v>
      </c>
    </row>
    <row r="510" spans="2:5" x14ac:dyDescent="0.2">
      <c r="B510" s="533">
        <v>560</v>
      </c>
      <c r="C510" s="541" t="s">
        <v>1033</v>
      </c>
      <c r="D510" s="656" t="s">
        <v>441</v>
      </c>
      <c r="E510" s="534">
        <v>677.03999599999997</v>
      </c>
    </row>
    <row r="511" spans="2:5" x14ac:dyDescent="0.2">
      <c r="B511" s="533">
        <v>561</v>
      </c>
      <c r="C511" s="541" t="s">
        <v>2880</v>
      </c>
      <c r="D511" s="656" t="s">
        <v>441</v>
      </c>
      <c r="E511" s="534">
        <v>685.51429099999996</v>
      </c>
    </row>
    <row r="512" spans="2:5" x14ac:dyDescent="0.2">
      <c r="B512" s="533">
        <v>562</v>
      </c>
      <c r="C512" s="541" t="s">
        <v>2295</v>
      </c>
      <c r="D512" s="656" t="s">
        <v>441</v>
      </c>
      <c r="E512" s="534">
        <v>657.61818600000004</v>
      </c>
    </row>
    <row r="513" spans="2:5" x14ac:dyDescent="0.2">
      <c r="B513" s="533">
        <v>563</v>
      </c>
      <c r="C513" s="541" t="s">
        <v>954</v>
      </c>
      <c r="D513" s="656" t="s">
        <v>441</v>
      </c>
      <c r="E513" s="534">
        <v>661.60000600000001</v>
      </c>
    </row>
    <row r="514" spans="2:5" x14ac:dyDescent="0.2">
      <c r="B514" s="533">
        <v>564</v>
      </c>
      <c r="C514" s="541" t="s">
        <v>2860</v>
      </c>
      <c r="D514" s="656" t="s">
        <v>441</v>
      </c>
      <c r="E514" s="534">
        <v>684.77726900000005</v>
      </c>
    </row>
    <row r="515" spans="2:5" x14ac:dyDescent="0.2">
      <c r="B515" s="533">
        <v>565</v>
      </c>
      <c r="C515" s="541" t="s">
        <v>2077</v>
      </c>
      <c r="D515" s="656" t="s">
        <v>441</v>
      </c>
      <c r="E515" s="534">
        <v>647.55001200000004</v>
      </c>
    </row>
    <row r="516" spans="2:5" x14ac:dyDescent="0.2">
      <c r="B516" s="533">
        <v>566</v>
      </c>
      <c r="C516" s="541" t="s">
        <v>1299</v>
      </c>
      <c r="D516" s="656" t="s">
        <v>441</v>
      </c>
      <c r="E516" s="534">
        <v>610.29998799999998</v>
      </c>
    </row>
    <row r="517" spans="2:5" x14ac:dyDescent="0.2">
      <c r="B517" s="533">
        <v>567</v>
      </c>
      <c r="C517" s="541" t="s">
        <v>1864</v>
      </c>
      <c r="D517" s="656" t="s">
        <v>441</v>
      </c>
      <c r="E517" s="534">
        <v>638.771432</v>
      </c>
    </row>
    <row r="518" spans="2:5" x14ac:dyDescent="0.2">
      <c r="B518" s="533">
        <v>568</v>
      </c>
      <c r="C518" s="541" t="s">
        <v>1515</v>
      </c>
      <c r="D518" s="656" t="s">
        <v>441</v>
      </c>
      <c r="E518" s="534">
        <v>621.67271800000003</v>
      </c>
    </row>
    <row r="519" spans="2:5" x14ac:dyDescent="0.2">
      <c r="B519" s="533">
        <v>569</v>
      </c>
      <c r="C519" s="541" t="s">
        <v>7191</v>
      </c>
      <c r="D519" s="656" t="s">
        <v>441</v>
      </c>
      <c r="E519" s="534">
        <v>634.86665900000003</v>
      </c>
    </row>
    <row r="520" spans="2:5" x14ac:dyDescent="0.2">
      <c r="B520" s="533">
        <v>570</v>
      </c>
      <c r="C520" s="541" t="s">
        <v>1155</v>
      </c>
      <c r="D520" s="656" t="s">
        <v>441</v>
      </c>
      <c r="E520" s="534">
        <v>602.03077099999996</v>
      </c>
    </row>
    <row r="521" spans="2:5" x14ac:dyDescent="0.2">
      <c r="B521" s="533">
        <v>571</v>
      </c>
      <c r="C521" s="541" t="s">
        <v>2245</v>
      </c>
      <c r="D521" s="656" t="s">
        <v>441</v>
      </c>
      <c r="E521" s="534">
        <v>655.46364000000005</v>
      </c>
    </row>
    <row r="522" spans="2:5" x14ac:dyDescent="0.2">
      <c r="B522" s="533">
        <v>572</v>
      </c>
      <c r="C522" s="541" t="s">
        <v>6981</v>
      </c>
      <c r="D522" s="656" t="s">
        <v>441</v>
      </c>
      <c r="E522" s="534">
        <v>670.75000999999997</v>
      </c>
    </row>
    <row r="523" spans="2:5" x14ac:dyDescent="0.2">
      <c r="B523" s="533">
        <v>573</v>
      </c>
      <c r="C523" s="541" t="s">
        <v>1860</v>
      </c>
      <c r="D523" s="656" t="s">
        <v>441</v>
      </c>
      <c r="E523" s="534">
        <v>638.67692199999999</v>
      </c>
    </row>
    <row r="524" spans="2:5" x14ac:dyDescent="0.2">
      <c r="B524" s="533">
        <v>574</v>
      </c>
      <c r="C524" s="541" t="s">
        <v>6762</v>
      </c>
      <c r="D524" s="656" t="s">
        <v>441</v>
      </c>
      <c r="E524" s="534">
        <v>810.67058799999995</v>
      </c>
    </row>
    <row r="525" spans="2:5" x14ac:dyDescent="0.2">
      <c r="B525" s="533">
        <v>575</v>
      </c>
      <c r="C525" s="541" t="s">
        <v>5059</v>
      </c>
      <c r="D525" s="656" t="s">
        <v>441</v>
      </c>
      <c r="E525" s="534">
        <v>830.370588</v>
      </c>
    </row>
    <row r="526" spans="2:5" x14ac:dyDescent="0.2">
      <c r="B526" s="533">
        <v>576</v>
      </c>
      <c r="C526" s="541" t="s">
        <v>3406</v>
      </c>
      <c r="D526" s="656" t="s">
        <v>441</v>
      </c>
      <c r="E526" s="534">
        <v>712.10000600000001</v>
      </c>
    </row>
    <row r="527" spans="2:5" x14ac:dyDescent="0.2">
      <c r="B527" s="533">
        <v>577</v>
      </c>
      <c r="C527" s="541" t="s">
        <v>415</v>
      </c>
      <c r="D527" s="656" t="s">
        <v>441</v>
      </c>
      <c r="E527" s="534">
        <v>711.63750500000003</v>
      </c>
    </row>
    <row r="528" spans="2:5" x14ac:dyDescent="0.2">
      <c r="B528" s="533">
        <v>578</v>
      </c>
      <c r="C528" s="541" t="s">
        <v>3269</v>
      </c>
      <c r="D528" s="656" t="s">
        <v>441</v>
      </c>
      <c r="E528" s="534">
        <v>704.53750600000001</v>
      </c>
    </row>
    <row r="529" spans="2:5" x14ac:dyDescent="0.2">
      <c r="B529" s="533">
        <v>579</v>
      </c>
      <c r="C529" s="541" t="s">
        <v>2560</v>
      </c>
      <c r="D529" s="656" t="s">
        <v>441</v>
      </c>
      <c r="E529" s="534">
        <v>669.05001800000002</v>
      </c>
    </row>
    <row r="530" spans="2:5" x14ac:dyDescent="0.2">
      <c r="B530" s="533">
        <v>580</v>
      </c>
      <c r="C530" s="541" t="s">
        <v>4140</v>
      </c>
      <c r="D530" s="656" t="s">
        <v>441</v>
      </c>
      <c r="E530" s="534">
        <v>753.98333700000001</v>
      </c>
    </row>
    <row r="531" spans="2:5" x14ac:dyDescent="0.2">
      <c r="B531" s="533">
        <v>581</v>
      </c>
      <c r="C531" s="541" t="s">
        <v>4607</v>
      </c>
      <c r="D531" s="656" t="s">
        <v>441</v>
      </c>
      <c r="E531" s="534">
        <v>789.21999500000004</v>
      </c>
    </row>
    <row r="532" spans="2:5" x14ac:dyDescent="0.2">
      <c r="B532" s="533">
        <v>582</v>
      </c>
      <c r="C532" s="541" t="s">
        <v>3196</v>
      </c>
      <c r="D532" s="656" t="s">
        <v>441</v>
      </c>
      <c r="E532" s="534">
        <v>701.35000600000001</v>
      </c>
    </row>
    <row r="533" spans="2:5" x14ac:dyDescent="0.2">
      <c r="B533" s="533">
        <v>583</v>
      </c>
      <c r="C533" s="541" t="s">
        <v>2760</v>
      </c>
      <c r="D533" s="656" t="s">
        <v>441</v>
      </c>
      <c r="E533" s="534">
        <v>679.14999399999999</v>
      </c>
    </row>
    <row r="534" spans="2:5" x14ac:dyDescent="0.2">
      <c r="B534" s="533">
        <v>584</v>
      </c>
      <c r="C534" s="541" t="s">
        <v>2524</v>
      </c>
      <c r="D534" s="656" t="s">
        <v>441</v>
      </c>
      <c r="E534" s="534">
        <v>667.936374</v>
      </c>
    </row>
    <row r="535" spans="2:5" x14ac:dyDescent="0.2">
      <c r="B535" s="533">
        <v>585</v>
      </c>
      <c r="C535" s="541" t="s">
        <v>2127</v>
      </c>
      <c r="D535" s="656" t="s">
        <v>441</v>
      </c>
      <c r="E535" s="534">
        <v>650.25555799999995</v>
      </c>
    </row>
    <row r="536" spans="2:5" x14ac:dyDescent="0.2">
      <c r="B536" s="533">
        <v>586</v>
      </c>
      <c r="C536" s="541" t="s">
        <v>5222</v>
      </c>
      <c r="D536" s="656" t="s">
        <v>441</v>
      </c>
      <c r="E536" s="534">
        <v>850.67931699999997</v>
      </c>
    </row>
    <row r="537" spans="2:5" x14ac:dyDescent="0.2">
      <c r="B537" s="533">
        <v>587</v>
      </c>
      <c r="C537" s="541" t="s">
        <v>4974</v>
      </c>
      <c r="D537" s="656" t="s">
        <v>441</v>
      </c>
      <c r="E537" s="534">
        <v>820.59999600000003</v>
      </c>
    </row>
    <row r="538" spans="2:5" x14ac:dyDescent="0.2">
      <c r="B538" s="533">
        <v>588</v>
      </c>
      <c r="C538" s="541" t="s">
        <v>691</v>
      </c>
      <c r="D538" s="656" t="s">
        <v>441</v>
      </c>
      <c r="E538" s="534">
        <v>779.19999700000005</v>
      </c>
    </row>
    <row r="539" spans="2:5" x14ac:dyDescent="0.2">
      <c r="B539" s="533">
        <v>589</v>
      </c>
      <c r="C539" s="541" t="s">
        <v>4395</v>
      </c>
      <c r="D539" s="656" t="s">
        <v>441</v>
      </c>
      <c r="E539" s="534">
        <v>773.01665200000002</v>
      </c>
    </row>
    <row r="540" spans="2:5" x14ac:dyDescent="0.2">
      <c r="B540" s="533">
        <v>590</v>
      </c>
      <c r="C540" s="541" t="s">
        <v>4077</v>
      </c>
      <c r="D540" s="656" t="s">
        <v>441</v>
      </c>
      <c r="E540" s="534">
        <v>750.40000399999997</v>
      </c>
    </row>
    <row r="541" spans="2:5" x14ac:dyDescent="0.2">
      <c r="B541" s="533">
        <v>591</v>
      </c>
      <c r="C541" s="541" t="s">
        <v>4126</v>
      </c>
      <c r="D541" s="656" t="s">
        <v>441</v>
      </c>
      <c r="E541" s="534">
        <v>752.96665399999995</v>
      </c>
    </row>
    <row r="542" spans="2:5" x14ac:dyDescent="0.2">
      <c r="B542" s="533">
        <v>592</v>
      </c>
      <c r="C542" s="541" t="s">
        <v>2819</v>
      </c>
      <c r="D542" s="656" t="s">
        <v>441</v>
      </c>
      <c r="E542" s="534">
        <v>682.5</v>
      </c>
    </row>
    <row r="543" spans="2:5" x14ac:dyDescent="0.2">
      <c r="B543" s="533">
        <v>593</v>
      </c>
      <c r="C543" s="541" t="s">
        <v>2193</v>
      </c>
      <c r="D543" s="656" t="s">
        <v>441</v>
      </c>
      <c r="E543" s="534">
        <v>652.98888499999998</v>
      </c>
    </row>
    <row r="544" spans="2:5" x14ac:dyDescent="0.2">
      <c r="B544" s="533">
        <v>594</v>
      </c>
      <c r="C544" s="541" t="s">
        <v>1710</v>
      </c>
      <c r="D544" s="656" t="s">
        <v>441</v>
      </c>
      <c r="E544" s="534">
        <v>633.01599599999997</v>
      </c>
    </row>
    <row r="545" spans="2:5" x14ac:dyDescent="0.2">
      <c r="B545" s="533">
        <v>595</v>
      </c>
      <c r="C545" s="541" t="s">
        <v>1624</v>
      </c>
      <c r="D545" s="656" t="s">
        <v>441</v>
      </c>
      <c r="E545" s="534">
        <v>628.08000500000003</v>
      </c>
    </row>
    <row r="546" spans="2:5" x14ac:dyDescent="0.2">
      <c r="B546" s="533">
        <v>596</v>
      </c>
      <c r="C546" s="541" t="s">
        <v>924</v>
      </c>
      <c r="D546" s="656" t="s">
        <v>441</v>
      </c>
      <c r="E546" s="534">
        <v>633.64500099999998</v>
      </c>
    </row>
    <row r="547" spans="2:5" x14ac:dyDescent="0.2">
      <c r="B547" s="533">
        <v>597</v>
      </c>
      <c r="C547" s="541" t="s">
        <v>3980</v>
      </c>
      <c r="D547" s="656" t="s">
        <v>441</v>
      </c>
      <c r="E547" s="534">
        <v>744.28462100000002</v>
      </c>
    </row>
    <row r="548" spans="2:5" x14ac:dyDescent="0.2">
      <c r="B548" s="533">
        <v>598</v>
      </c>
      <c r="C548" s="541" t="s">
        <v>4037</v>
      </c>
      <c r="D548" s="656" t="s">
        <v>441</v>
      </c>
      <c r="E548" s="534">
        <v>747.85999800000002</v>
      </c>
    </row>
    <row r="549" spans="2:5" x14ac:dyDescent="0.2">
      <c r="B549" s="533">
        <v>599</v>
      </c>
      <c r="C549" s="541" t="s">
        <v>3255</v>
      </c>
      <c r="D549" s="656" t="s">
        <v>441</v>
      </c>
      <c r="E549" s="534">
        <v>703.70000200000004</v>
      </c>
    </row>
    <row r="550" spans="2:5" x14ac:dyDescent="0.2">
      <c r="B550" s="533">
        <v>600</v>
      </c>
      <c r="C550" s="541" t="s">
        <v>1819</v>
      </c>
      <c r="D550" s="656" t="s">
        <v>441</v>
      </c>
      <c r="E550" s="534">
        <v>637.01250500000003</v>
      </c>
    </row>
    <row r="551" spans="2:5" x14ac:dyDescent="0.2">
      <c r="B551" s="533">
        <v>601</v>
      </c>
      <c r="C551" s="541" t="s">
        <v>3458</v>
      </c>
      <c r="D551" s="656" t="s">
        <v>441</v>
      </c>
      <c r="E551" s="534">
        <v>714.17142999999999</v>
      </c>
    </row>
    <row r="552" spans="2:5" x14ac:dyDescent="0.2">
      <c r="B552" s="533">
        <v>602</v>
      </c>
      <c r="C552" s="541" t="s">
        <v>3962</v>
      </c>
      <c r="D552" s="656" t="s">
        <v>441</v>
      </c>
      <c r="E552" s="534">
        <v>743.03998999999999</v>
      </c>
    </row>
    <row r="553" spans="2:5" x14ac:dyDescent="0.2">
      <c r="B553" s="533">
        <v>603</v>
      </c>
      <c r="C553" s="541" t="s">
        <v>2282</v>
      </c>
      <c r="D553" s="656" t="s">
        <v>441</v>
      </c>
      <c r="E553" s="534">
        <v>657</v>
      </c>
    </row>
    <row r="554" spans="2:5" x14ac:dyDescent="0.2">
      <c r="B554" s="533">
        <v>604</v>
      </c>
      <c r="C554" s="541" t="s">
        <v>7386</v>
      </c>
      <c r="D554" s="656" t="s">
        <v>441</v>
      </c>
      <c r="E554" s="534">
        <v>733.32000700000003</v>
      </c>
    </row>
    <row r="555" spans="2:5" x14ac:dyDescent="0.2">
      <c r="B555" s="533">
        <v>605</v>
      </c>
      <c r="C555" s="541" t="s">
        <v>3148</v>
      </c>
      <c r="D555" s="656" t="s">
        <v>441</v>
      </c>
      <c r="E555" s="534">
        <v>699.29998799999998</v>
      </c>
    </row>
    <row r="556" spans="2:5" x14ac:dyDescent="0.2">
      <c r="B556" s="533">
        <v>606</v>
      </c>
      <c r="C556" s="541" t="s">
        <v>3056</v>
      </c>
      <c r="D556" s="656" t="s">
        <v>441</v>
      </c>
      <c r="E556" s="534">
        <v>694.24998500000004</v>
      </c>
    </row>
    <row r="557" spans="2:5" x14ac:dyDescent="0.2">
      <c r="B557" s="533">
        <v>607</v>
      </c>
      <c r="C557" s="541" t="s">
        <v>1439</v>
      </c>
      <c r="D557" s="656" t="s">
        <v>441</v>
      </c>
      <c r="E557" s="534">
        <v>617.47999900000002</v>
      </c>
    </row>
    <row r="558" spans="2:5" x14ac:dyDescent="0.2">
      <c r="B558" s="533">
        <v>608</v>
      </c>
      <c r="C558" s="541" t="s">
        <v>2611</v>
      </c>
      <c r="D558" s="656" t="s">
        <v>441</v>
      </c>
      <c r="E558" s="534">
        <v>672.09997599999997</v>
      </c>
    </row>
    <row r="559" spans="2:5" x14ac:dyDescent="0.2">
      <c r="B559" s="533">
        <v>609</v>
      </c>
      <c r="C559" s="541" t="s">
        <v>1983</v>
      </c>
      <c r="D559" s="656" t="s">
        <v>441</v>
      </c>
      <c r="E559" s="534">
        <v>643.16664600000001</v>
      </c>
    </row>
    <row r="560" spans="2:5" x14ac:dyDescent="0.2">
      <c r="B560" s="533">
        <v>610</v>
      </c>
      <c r="C560" s="541" t="s">
        <v>1843</v>
      </c>
      <c r="D560" s="656" t="s">
        <v>441</v>
      </c>
      <c r="E560" s="534">
        <v>637.82000700000003</v>
      </c>
    </row>
    <row r="561" spans="2:5" x14ac:dyDescent="0.2">
      <c r="B561" s="533">
        <v>611</v>
      </c>
      <c r="C561" s="541" t="s">
        <v>2062</v>
      </c>
      <c r="D561" s="656" t="s">
        <v>441</v>
      </c>
      <c r="E561" s="534">
        <v>646.610004</v>
      </c>
    </row>
    <row r="562" spans="2:5" x14ac:dyDescent="0.2">
      <c r="B562" s="533">
        <v>612</v>
      </c>
      <c r="C562" s="541" t="s">
        <v>1543</v>
      </c>
      <c r="D562" s="656" t="s">
        <v>441</v>
      </c>
      <c r="E562" s="534">
        <v>645.6</v>
      </c>
    </row>
    <row r="563" spans="2:5" x14ac:dyDescent="0.2">
      <c r="B563" s="533">
        <v>613</v>
      </c>
      <c r="C563" s="541" t="s">
        <v>1175</v>
      </c>
      <c r="D563" s="656" t="s">
        <v>441</v>
      </c>
      <c r="E563" s="534">
        <v>603.14545799999996</v>
      </c>
    </row>
    <row r="564" spans="2:5" x14ac:dyDescent="0.2">
      <c r="B564" s="533">
        <v>614</v>
      </c>
      <c r="C564" s="541" t="s">
        <v>1685</v>
      </c>
      <c r="D564" s="656" t="s">
        <v>441</v>
      </c>
      <c r="E564" s="534">
        <v>632.11665900000003</v>
      </c>
    </row>
    <row r="565" spans="2:5" x14ac:dyDescent="0.2">
      <c r="B565" s="533">
        <v>651</v>
      </c>
      <c r="C565" s="541" t="s">
        <v>2222</v>
      </c>
      <c r="D565" s="656" t="s">
        <v>441</v>
      </c>
      <c r="E565" s="534">
        <v>654.42999899999995</v>
      </c>
    </row>
    <row r="566" spans="2:5" x14ac:dyDescent="0.2">
      <c r="B566" s="533">
        <v>652</v>
      </c>
      <c r="C566" s="541" t="s">
        <v>1511</v>
      </c>
      <c r="D566" s="656" t="s">
        <v>441</v>
      </c>
      <c r="E566" s="534">
        <v>621.61428000000001</v>
      </c>
    </row>
    <row r="567" spans="2:5" x14ac:dyDescent="0.2">
      <c r="B567" s="533">
        <v>653</v>
      </c>
      <c r="C567" s="541" t="s">
        <v>1205</v>
      </c>
      <c r="D567" s="656" t="s">
        <v>441</v>
      </c>
      <c r="E567" s="534">
        <v>604.69500100000005</v>
      </c>
    </row>
    <row r="568" spans="2:5" x14ac:dyDescent="0.2">
      <c r="B568" s="533">
        <v>654</v>
      </c>
      <c r="C568" s="541" t="s">
        <v>1308</v>
      </c>
      <c r="D568" s="656" t="s">
        <v>441</v>
      </c>
      <c r="E568" s="534">
        <v>610.55554900000004</v>
      </c>
    </row>
    <row r="569" spans="2:5" x14ac:dyDescent="0.2">
      <c r="B569" s="533">
        <v>655</v>
      </c>
      <c r="C569" s="541" t="s">
        <v>7505</v>
      </c>
      <c r="D569" s="656" t="s">
        <v>441</v>
      </c>
      <c r="E569" s="534">
        <v>643.40769599999999</v>
      </c>
    </row>
    <row r="570" spans="2:5" x14ac:dyDescent="0.2">
      <c r="B570" s="533">
        <v>656</v>
      </c>
      <c r="C570" s="541" t="s">
        <v>2372</v>
      </c>
      <c r="D570" s="656" t="s">
        <v>441</v>
      </c>
      <c r="E570" s="534">
        <v>660.88636599999995</v>
      </c>
    </row>
    <row r="571" spans="2:5" x14ac:dyDescent="0.2">
      <c r="B571" s="533">
        <v>657</v>
      </c>
      <c r="C571" s="541" t="s">
        <v>1965</v>
      </c>
      <c r="D571" s="656" t="s">
        <v>433</v>
      </c>
      <c r="E571" s="534">
        <v>642.57143399999995</v>
      </c>
    </row>
    <row r="572" spans="2:5" x14ac:dyDescent="0.2">
      <c r="B572" s="533">
        <v>658</v>
      </c>
      <c r="C572" s="541" t="s">
        <v>1741</v>
      </c>
      <c r="D572" s="656" t="s">
        <v>433</v>
      </c>
      <c r="E572" s="534">
        <v>634.11000999999999</v>
      </c>
    </row>
    <row r="573" spans="2:5" x14ac:dyDescent="0.2">
      <c r="B573" s="533">
        <v>659</v>
      </c>
      <c r="C573" s="541" t="s">
        <v>1384</v>
      </c>
      <c r="D573" s="656" t="s">
        <v>433</v>
      </c>
      <c r="E573" s="534">
        <v>614.84286099999997</v>
      </c>
    </row>
    <row r="574" spans="2:5" x14ac:dyDescent="0.2">
      <c r="B574" s="533">
        <v>660</v>
      </c>
      <c r="C574" s="541" t="s">
        <v>954</v>
      </c>
      <c r="D574" s="656" t="s">
        <v>433</v>
      </c>
      <c r="E574" s="534">
        <v>611.80000500000006</v>
      </c>
    </row>
    <row r="575" spans="2:5" x14ac:dyDescent="0.2">
      <c r="B575" s="533">
        <v>661</v>
      </c>
      <c r="C575" s="541" t="s">
        <v>1038</v>
      </c>
      <c r="D575" s="656" t="s">
        <v>433</v>
      </c>
      <c r="E575" s="534">
        <v>593.71109999999999</v>
      </c>
    </row>
    <row r="576" spans="2:5" x14ac:dyDescent="0.2">
      <c r="B576" s="533">
        <v>662</v>
      </c>
      <c r="C576" s="541" t="s">
        <v>804</v>
      </c>
      <c r="D576" s="656" t="s">
        <v>433</v>
      </c>
      <c r="E576" s="534">
        <v>569.69999900000005</v>
      </c>
    </row>
    <row r="577" spans="2:5" x14ac:dyDescent="0.2">
      <c r="B577" s="533">
        <v>663</v>
      </c>
      <c r="C577" s="541" t="s">
        <v>1926</v>
      </c>
      <c r="D577" s="656" t="s">
        <v>433</v>
      </c>
      <c r="E577" s="534">
        <v>641.32352900000001</v>
      </c>
    </row>
    <row r="578" spans="2:5" x14ac:dyDescent="0.2">
      <c r="B578" s="533">
        <v>664</v>
      </c>
      <c r="C578" s="541" t="s">
        <v>1837</v>
      </c>
      <c r="D578" s="656" t="s">
        <v>433</v>
      </c>
      <c r="E578" s="534">
        <v>637.70768899999996</v>
      </c>
    </row>
    <row r="579" spans="2:5" x14ac:dyDescent="0.2">
      <c r="B579" s="533">
        <v>665</v>
      </c>
      <c r="C579" s="541" t="s">
        <v>994</v>
      </c>
      <c r="D579" s="656" t="s">
        <v>433</v>
      </c>
      <c r="E579" s="534">
        <v>589.35002099999997</v>
      </c>
    </row>
    <row r="580" spans="2:5" x14ac:dyDescent="0.2">
      <c r="B580" s="533">
        <v>666</v>
      </c>
      <c r="C580" s="541" t="s">
        <v>7506</v>
      </c>
      <c r="D580" s="656" t="s">
        <v>433</v>
      </c>
      <c r="E580" s="534">
        <v>607.48999600000002</v>
      </c>
    </row>
    <row r="581" spans="2:5" x14ac:dyDescent="0.2">
      <c r="B581" s="533">
        <v>667</v>
      </c>
      <c r="C581" s="541" t="s">
        <v>6941</v>
      </c>
      <c r="D581" s="656" t="s">
        <v>433</v>
      </c>
      <c r="E581" s="534">
        <v>636.79333099999997</v>
      </c>
    </row>
    <row r="582" spans="2:5" x14ac:dyDescent="0.2">
      <c r="B582" s="533">
        <v>668</v>
      </c>
      <c r="C582" s="541" t="s">
        <v>1295</v>
      </c>
      <c r="D582" s="656" t="s">
        <v>433</v>
      </c>
      <c r="E582" s="534">
        <v>609.98499500000003</v>
      </c>
    </row>
    <row r="583" spans="2:5" x14ac:dyDescent="0.2">
      <c r="B583" s="533">
        <v>669</v>
      </c>
      <c r="C583" s="541" t="s">
        <v>1394</v>
      </c>
      <c r="D583" s="656" t="s">
        <v>433</v>
      </c>
      <c r="E583" s="534">
        <v>615.16667700000005</v>
      </c>
    </row>
    <row r="584" spans="2:5" x14ac:dyDescent="0.2">
      <c r="B584" s="533">
        <v>670</v>
      </c>
      <c r="C584" s="541" t="s">
        <v>1075</v>
      </c>
      <c r="D584" s="656" t="s">
        <v>433</v>
      </c>
      <c r="E584" s="534">
        <v>596.29999799999996</v>
      </c>
    </row>
    <row r="585" spans="2:5" x14ac:dyDescent="0.2">
      <c r="B585" s="533">
        <v>671</v>
      </c>
      <c r="C585" s="541" t="s">
        <v>797</v>
      </c>
      <c r="D585" s="656" t="s">
        <v>433</v>
      </c>
      <c r="E585" s="534">
        <v>567.672729</v>
      </c>
    </row>
    <row r="586" spans="2:5" x14ac:dyDescent="0.2">
      <c r="B586" s="533">
        <v>672</v>
      </c>
      <c r="C586" s="541" t="s">
        <v>967</v>
      </c>
      <c r="D586" s="656" t="s">
        <v>433</v>
      </c>
      <c r="E586" s="534">
        <v>586.60000200000002</v>
      </c>
    </row>
    <row r="587" spans="2:5" x14ac:dyDescent="0.2">
      <c r="B587" s="533">
        <v>673</v>
      </c>
      <c r="C587" s="541" t="s">
        <v>737</v>
      </c>
      <c r="D587" s="656" t="s">
        <v>433</v>
      </c>
      <c r="E587" s="534">
        <v>555.62858400000005</v>
      </c>
    </row>
    <row r="588" spans="2:5" ht="15" x14ac:dyDescent="0.2">
      <c r="B588" s="531">
        <v>674</v>
      </c>
      <c r="C588" s="541" t="s">
        <v>704</v>
      </c>
      <c r="D588" s="656" t="s">
        <v>433</v>
      </c>
      <c r="E588" s="532">
        <v>542.70001200000002</v>
      </c>
    </row>
    <row r="589" spans="2:5" x14ac:dyDescent="0.2">
      <c r="B589" s="533">
        <v>675</v>
      </c>
      <c r="C589" s="541" t="s">
        <v>1097</v>
      </c>
      <c r="D589" s="656" t="s">
        <v>433</v>
      </c>
      <c r="E589" s="534">
        <v>598.29998799999998</v>
      </c>
    </row>
    <row r="590" spans="2:5" x14ac:dyDescent="0.2">
      <c r="B590" s="533">
        <v>676</v>
      </c>
      <c r="C590" s="541" t="s">
        <v>898</v>
      </c>
      <c r="D590" s="656" t="s">
        <v>433</v>
      </c>
      <c r="E590" s="534">
        <v>580.25</v>
      </c>
    </row>
    <row r="591" spans="2:5" x14ac:dyDescent="0.2">
      <c r="B591" s="533">
        <v>677</v>
      </c>
      <c r="C591" s="541" t="s">
        <v>6521</v>
      </c>
      <c r="D591" s="656" t="s">
        <v>433</v>
      </c>
      <c r="E591" s="534">
        <v>583.51667299999997</v>
      </c>
    </row>
    <row r="592" spans="2:5" x14ac:dyDescent="0.2">
      <c r="B592" s="533">
        <v>678</v>
      </c>
      <c r="C592" s="541" t="s">
        <v>776</v>
      </c>
      <c r="D592" s="656" t="s">
        <v>433</v>
      </c>
      <c r="E592" s="534">
        <v>564.79999299999997</v>
      </c>
    </row>
    <row r="593" spans="2:5" x14ac:dyDescent="0.2">
      <c r="B593" s="533">
        <v>679</v>
      </c>
      <c r="C593" s="541" t="s">
        <v>747</v>
      </c>
      <c r="D593" s="656" t="s">
        <v>433</v>
      </c>
      <c r="E593" s="534">
        <v>559.15555099999995</v>
      </c>
    </row>
    <row r="594" spans="2:5" x14ac:dyDescent="0.2">
      <c r="B594" s="533">
        <v>680</v>
      </c>
      <c r="C594" s="541" t="s">
        <v>7331</v>
      </c>
      <c r="D594" s="656" t="s">
        <v>433</v>
      </c>
      <c r="E594" s="534">
        <v>575.92000700000006</v>
      </c>
    </row>
    <row r="595" spans="2:5" x14ac:dyDescent="0.2">
      <c r="B595" s="533">
        <v>681</v>
      </c>
      <c r="C595" s="541" t="s">
        <v>746</v>
      </c>
      <c r="D595" s="656" t="s">
        <v>433</v>
      </c>
      <c r="E595" s="534">
        <v>559.12142100000005</v>
      </c>
    </row>
    <row r="596" spans="2:5" x14ac:dyDescent="0.2">
      <c r="B596" s="533">
        <v>682</v>
      </c>
      <c r="C596" s="541" t="s">
        <v>2022</v>
      </c>
      <c r="D596" s="656" t="s">
        <v>433</v>
      </c>
      <c r="E596" s="534">
        <v>644.30000099999995</v>
      </c>
    </row>
    <row r="597" spans="2:5" x14ac:dyDescent="0.2">
      <c r="B597" s="533">
        <v>683</v>
      </c>
      <c r="C597" s="541" t="s">
        <v>6835</v>
      </c>
      <c r="D597" s="656" t="s">
        <v>433</v>
      </c>
      <c r="E597" s="534">
        <v>631.27333599999997</v>
      </c>
    </row>
    <row r="598" spans="2:5" x14ac:dyDescent="0.2">
      <c r="B598" s="533">
        <v>684</v>
      </c>
      <c r="C598" s="541" t="s">
        <v>7145</v>
      </c>
      <c r="D598" s="656" t="s">
        <v>433</v>
      </c>
      <c r="E598" s="534">
        <v>597.58334400000001</v>
      </c>
    </row>
    <row r="599" spans="2:5" x14ac:dyDescent="0.2">
      <c r="B599" s="533">
        <v>685</v>
      </c>
      <c r="C599" s="541" t="s">
        <v>7255</v>
      </c>
      <c r="D599" s="656" t="s">
        <v>433</v>
      </c>
      <c r="E599" s="534">
        <v>600.16249800000003</v>
      </c>
    </row>
    <row r="600" spans="2:5" x14ac:dyDescent="0.2">
      <c r="B600" s="533">
        <v>686</v>
      </c>
      <c r="C600" s="541" t="s">
        <v>7254</v>
      </c>
      <c r="D600" s="656" t="s">
        <v>433</v>
      </c>
      <c r="E600" s="534">
        <v>606.26251200000002</v>
      </c>
    </row>
    <row r="601" spans="2:5" x14ac:dyDescent="0.2">
      <c r="B601" s="533">
        <v>687</v>
      </c>
      <c r="C601" s="541" t="s">
        <v>960</v>
      </c>
      <c r="D601" s="656" t="s">
        <v>433</v>
      </c>
      <c r="E601" s="534">
        <v>585.78749800000003</v>
      </c>
    </row>
    <row r="602" spans="2:5" x14ac:dyDescent="0.2">
      <c r="B602" s="533">
        <v>688</v>
      </c>
      <c r="C602" s="541" t="s">
        <v>783</v>
      </c>
      <c r="D602" s="656" t="s">
        <v>433</v>
      </c>
      <c r="E602" s="534">
        <v>566.48461399999997</v>
      </c>
    </row>
    <row r="603" spans="2:5" x14ac:dyDescent="0.2">
      <c r="B603" s="533">
        <v>689</v>
      </c>
      <c r="C603" s="541" t="s">
        <v>7109</v>
      </c>
      <c r="D603" s="656" t="s">
        <v>433</v>
      </c>
      <c r="E603" s="534">
        <v>568.80769699999996</v>
      </c>
    </row>
    <row r="604" spans="2:5" x14ac:dyDescent="0.2">
      <c r="B604" s="533">
        <v>690</v>
      </c>
      <c r="C604" s="541" t="s">
        <v>7620</v>
      </c>
      <c r="D604" s="656" t="s">
        <v>433</v>
      </c>
      <c r="E604" s="534">
        <v>603.00001499999996</v>
      </c>
    </row>
    <row r="605" spans="2:5" x14ac:dyDescent="0.2">
      <c r="B605" s="533">
        <v>691</v>
      </c>
      <c r="C605" s="541" t="s">
        <v>1154</v>
      </c>
      <c r="D605" s="656" t="s">
        <v>433</v>
      </c>
      <c r="E605" s="534">
        <v>621.70000000000005</v>
      </c>
    </row>
    <row r="606" spans="2:5" x14ac:dyDescent="0.2">
      <c r="B606" s="533">
        <v>692</v>
      </c>
      <c r="C606" s="541" t="s">
        <v>1550</v>
      </c>
      <c r="D606" s="656" t="s">
        <v>433</v>
      </c>
      <c r="E606" s="534">
        <v>624.23571300000003</v>
      </c>
    </row>
    <row r="607" spans="2:5" x14ac:dyDescent="0.2">
      <c r="B607" s="533">
        <v>693</v>
      </c>
      <c r="C607" s="541" t="s">
        <v>7367</v>
      </c>
      <c r="D607" s="656" t="s">
        <v>433</v>
      </c>
      <c r="E607" s="534">
        <v>605.48888499999998</v>
      </c>
    </row>
    <row r="608" spans="2:5" x14ac:dyDescent="0.2">
      <c r="B608" s="533">
        <v>694</v>
      </c>
      <c r="C608" s="541" t="s">
        <v>1216</v>
      </c>
      <c r="D608" s="656" t="s">
        <v>433</v>
      </c>
      <c r="E608" s="534">
        <v>605.20625299999995</v>
      </c>
    </row>
    <row r="609" spans="2:5" x14ac:dyDescent="0.2">
      <c r="B609" s="533">
        <v>695</v>
      </c>
      <c r="C609" s="541" t="s">
        <v>1160</v>
      </c>
      <c r="D609" s="656" t="s">
        <v>433</v>
      </c>
      <c r="E609" s="534">
        <v>602.20000000000005</v>
      </c>
    </row>
    <row r="610" spans="2:5" x14ac:dyDescent="0.2">
      <c r="B610" s="533">
        <v>696</v>
      </c>
      <c r="C610" s="541" t="s">
        <v>7539</v>
      </c>
      <c r="D610" s="656" t="s">
        <v>433</v>
      </c>
      <c r="E610" s="534">
        <v>602.46667500000001</v>
      </c>
    </row>
    <row r="611" spans="2:5" x14ac:dyDescent="0.2">
      <c r="B611" s="533">
        <v>697</v>
      </c>
      <c r="C611" s="541" t="s">
        <v>433</v>
      </c>
      <c r="D611" s="656" t="s">
        <v>433</v>
      </c>
      <c r="E611" s="534">
        <v>569.44864900000005</v>
      </c>
    </row>
    <row r="612" spans="2:5" x14ac:dyDescent="0.2">
      <c r="B612" s="533">
        <v>698</v>
      </c>
      <c r="C612" s="541" t="s">
        <v>786</v>
      </c>
      <c r="D612" s="656" t="s">
        <v>433</v>
      </c>
      <c r="E612" s="534">
        <v>566.58334400000001</v>
      </c>
    </row>
    <row r="613" spans="2:5" x14ac:dyDescent="0.2">
      <c r="B613" s="533">
        <v>699</v>
      </c>
      <c r="C613" s="541" t="s">
        <v>790</v>
      </c>
      <c r="D613" s="656" t="s">
        <v>433</v>
      </c>
      <c r="E613" s="534">
        <v>566.94285400000001</v>
      </c>
    </row>
    <row r="614" spans="2:5" x14ac:dyDescent="0.2">
      <c r="B614" s="533">
        <v>700</v>
      </c>
      <c r="C614" s="541" t="s">
        <v>1799</v>
      </c>
      <c r="D614" s="656" t="s">
        <v>433</v>
      </c>
      <c r="E614" s="534">
        <v>636.44286199999999</v>
      </c>
    </row>
    <row r="615" spans="2:5" x14ac:dyDescent="0.2">
      <c r="B615" s="533">
        <v>701</v>
      </c>
      <c r="C615" s="541" t="s">
        <v>1784</v>
      </c>
      <c r="D615" s="656" t="s">
        <v>433</v>
      </c>
      <c r="E615" s="534">
        <v>635.81764799999996</v>
      </c>
    </row>
    <row r="616" spans="2:5" x14ac:dyDescent="0.2">
      <c r="B616" s="533">
        <v>702</v>
      </c>
      <c r="C616" s="541" t="s">
        <v>823</v>
      </c>
      <c r="D616" s="656" t="s">
        <v>433</v>
      </c>
      <c r="E616" s="534">
        <v>573</v>
      </c>
    </row>
    <row r="617" spans="2:5" x14ac:dyDescent="0.2">
      <c r="B617" s="533">
        <v>703</v>
      </c>
      <c r="C617" s="541" t="s">
        <v>7368</v>
      </c>
      <c r="D617" s="656" t="s">
        <v>433</v>
      </c>
      <c r="E617" s="534">
        <v>570.70908399999996</v>
      </c>
    </row>
    <row r="618" spans="2:5" x14ac:dyDescent="0.2">
      <c r="B618" s="533">
        <v>704</v>
      </c>
      <c r="C618" s="541" t="s">
        <v>778</v>
      </c>
      <c r="D618" s="656" t="s">
        <v>433</v>
      </c>
      <c r="E618" s="534">
        <v>564.866669</v>
      </c>
    </row>
    <row r="619" spans="2:5" x14ac:dyDescent="0.2">
      <c r="B619" s="533">
        <v>705</v>
      </c>
      <c r="C619" s="541" t="s">
        <v>6982</v>
      </c>
      <c r="D619" s="656" t="s">
        <v>433</v>
      </c>
      <c r="E619" s="534">
        <v>603.97142699999995</v>
      </c>
    </row>
    <row r="620" spans="2:5" x14ac:dyDescent="0.2">
      <c r="B620" s="533">
        <v>706</v>
      </c>
      <c r="C620" s="541" t="s">
        <v>1407</v>
      </c>
      <c r="D620" s="656" t="s">
        <v>433</v>
      </c>
      <c r="E620" s="534">
        <v>616.226315</v>
      </c>
    </row>
    <row r="621" spans="2:5" x14ac:dyDescent="0.2">
      <c r="B621" s="533">
        <v>707</v>
      </c>
      <c r="C621" s="541" t="s">
        <v>758</v>
      </c>
      <c r="D621" s="656" t="s">
        <v>433</v>
      </c>
      <c r="E621" s="534">
        <v>561.99600099999998</v>
      </c>
    </row>
    <row r="622" spans="2:5" x14ac:dyDescent="0.2">
      <c r="B622" s="533">
        <v>708</v>
      </c>
      <c r="C622" s="541" t="s">
        <v>785</v>
      </c>
      <c r="D622" s="656" t="s">
        <v>433</v>
      </c>
      <c r="E622" s="534">
        <v>566.5</v>
      </c>
    </row>
    <row r="623" spans="2:5" x14ac:dyDescent="0.2">
      <c r="B623" s="533">
        <v>709</v>
      </c>
      <c r="C623" s="541" t="s">
        <v>768</v>
      </c>
      <c r="D623" s="656" t="s">
        <v>433</v>
      </c>
      <c r="E623" s="534">
        <v>563.33999600000004</v>
      </c>
    </row>
    <row r="624" spans="2:5" x14ac:dyDescent="0.2">
      <c r="B624" s="533">
        <v>710</v>
      </c>
      <c r="C624" s="541" t="s">
        <v>854</v>
      </c>
      <c r="D624" s="656" t="s">
        <v>433</v>
      </c>
      <c r="E624" s="534">
        <v>587.77999899999998</v>
      </c>
    </row>
    <row r="625" spans="2:5" x14ac:dyDescent="0.2">
      <c r="B625" s="533">
        <v>711</v>
      </c>
      <c r="C625" s="541" t="s">
        <v>1525</v>
      </c>
      <c r="D625" s="656" t="s">
        <v>433</v>
      </c>
      <c r="E625" s="534">
        <v>622.52307599999995</v>
      </c>
    </row>
    <row r="626" spans="2:5" x14ac:dyDescent="0.2">
      <c r="B626" s="533">
        <v>712</v>
      </c>
      <c r="C626" s="541" t="s">
        <v>1348</v>
      </c>
      <c r="D626" s="656" t="s">
        <v>433</v>
      </c>
      <c r="E626" s="534">
        <v>612.89999899999998</v>
      </c>
    </row>
    <row r="627" spans="2:5" x14ac:dyDescent="0.2">
      <c r="B627" s="533">
        <v>713</v>
      </c>
      <c r="C627" s="541" t="s">
        <v>1399</v>
      </c>
      <c r="D627" s="656" t="s">
        <v>433</v>
      </c>
      <c r="E627" s="534">
        <v>615.46667500000001</v>
      </c>
    </row>
    <row r="628" spans="2:5" x14ac:dyDescent="0.2">
      <c r="B628" s="533">
        <v>714</v>
      </c>
      <c r="C628" s="541" t="s">
        <v>1268</v>
      </c>
      <c r="D628" s="656" t="s">
        <v>433</v>
      </c>
      <c r="E628" s="534">
        <v>608.28749800000003</v>
      </c>
    </row>
    <row r="629" spans="2:5" x14ac:dyDescent="0.2">
      <c r="B629" s="533">
        <v>715</v>
      </c>
      <c r="C629" s="541" t="s">
        <v>1447</v>
      </c>
      <c r="D629" s="656" t="s">
        <v>433</v>
      </c>
      <c r="E629" s="534">
        <v>618.10000600000001</v>
      </c>
    </row>
    <row r="630" spans="2:5" x14ac:dyDescent="0.2">
      <c r="B630" s="533">
        <v>716</v>
      </c>
      <c r="C630" s="541" t="s">
        <v>931</v>
      </c>
      <c r="D630" s="656" t="s">
        <v>433</v>
      </c>
      <c r="E630" s="534">
        <v>583.52221699999996</v>
      </c>
    </row>
    <row r="631" spans="2:5" x14ac:dyDescent="0.2">
      <c r="B631" s="533">
        <v>717</v>
      </c>
      <c r="C631" s="541" t="s">
        <v>6570</v>
      </c>
      <c r="D631" s="656" t="s">
        <v>433</v>
      </c>
      <c r="E631" s="534">
        <v>630.06001000000003</v>
      </c>
    </row>
    <row r="632" spans="2:5" x14ac:dyDescent="0.2">
      <c r="B632" s="533">
        <v>718</v>
      </c>
      <c r="C632" s="541" t="s">
        <v>1033</v>
      </c>
      <c r="D632" s="656" t="s">
        <v>433</v>
      </c>
      <c r="E632" s="534">
        <v>607.52499399999999</v>
      </c>
    </row>
    <row r="633" spans="2:5" x14ac:dyDescent="0.2">
      <c r="B633" s="533">
        <v>719</v>
      </c>
      <c r="C633" s="541" t="s">
        <v>1336</v>
      </c>
      <c r="D633" s="656" t="s">
        <v>433</v>
      </c>
      <c r="E633" s="534">
        <v>612.11249499999997</v>
      </c>
    </row>
    <row r="634" spans="2:5" x14ac:dyDescent="0.2">
      <c r="B634" s="533">
        <v>720</v>
      </c>
      <c r="C634" s="541" t="s">
        <v>1262</v>
      </c>
      <c r="D634" s="656" t="s">
        <v>433</v>
      </c>
      <c r="E634" s="534">
        <v>607.67142200000001</v>
      </c>
    </row>
    <row r="635" spans="2:5" x14ac:dyDescent="0.2">
      <c r="B635" s="533">
        <v>721</v>
      </c>
      <c r="C635" s="541" t="s">
        <v>946</v>
      </c>
      <c r="D635" s="656" t="s">
        <v>433</v>
      </c>
      <c r="E635" s="534">
        <v>584.69999199999995</v>
      </c>
    </row>
    <row r="636" spans="2:5" x14ac:dyDescent="0.2">
      <c r="B636" s="533">
        <v>722</v>
      </c>
      <c r="C636" s="541" t="s">
        <v>820</v>
      </c>
      <c r="D636" s="656" t="s">
        <v>433</v>
      </c>
      <c r="E636" s="534">
        <v>572.46666500000003</v>
      </c>
    </row>
    <row r="637" spans="2:5" ht="15" x14ac:dyDescent="0.2">
      <c r="B637" s="531">
        <v>723</v>
      </c>
      <c r="C637" s="541" t="s">
        <v>717</v>
      </c>
      <c r="D637" s="656" t="s">
        <v>433</v>
      </c>
      <c r="E637" s="532">
        <v>547.366669</v>
      </c>
    </row>
    <row r="638" spans="2:5" x14ac:dyDescent="0.2">
      <c r="B638" s="533">
        <v>724</v>
      </c>
      <c r="C638" s="541" t="s">
        <v>918</v>
      </c>
      <c r="D638" s="656" t="s">
        <v>433</v>
      </c>
      <c r="E638" s="534">
        <v>582.57501200000002</v>
      </c>
    </row>
    <row r="639" spans="2:5" x14ac:dyDescent="0.2">
      <c r="B639" s="533">
        <v>725</v>
      </c>
      <c r="C639" s="541" t="s">
        <v>1045</v>
      </c>
      <c r="D639" s="656" t="s">
        <v>433</v>
      </c>
      <c r="E639" s="534">
        <v>594.15713900000003</v>
      </c>
    </row>
    <row r="640" spans="2:5" x14ac:dyDescent="0.2">
      <c r="B640" s="533">
        <v>726</v>
      </c>
      <c r="C640" s="541" t="s">
        <v>968</v>
      </c>
      <c r="D640" s="656" t="s">
        <v>433</v>
      </c>
      <c r="E640" s="534">
        <v>586.60000600000001</v>
      </c>
    </row>
    <row r="641" spans="2:5" ht="15" x14ac:dyDescent="0.2">
      <c r="B641" s="531">
        <v>727</v>
      </c>
      <c r="C641" s="541" t="s">
        <v>708</v>
      </c>
      <c r="D641" s="656" t="s">
        <v>433</v>
      </c>
      <c r="E641" s="532">
        <v>544.13750800000003</v>
      </c>
    </row>
    <row r="642" spans="2:5" ht="15" x14ac:dyDescent="0.2">
      <c r="B642" s="531">
        <v>728</v>
      </c>
      <c r="C642" s="541" t="s">
        <v>711</v>
      </c>
      <c r="D642" s="656" t="s">
        <v>433</v>
      </c>
      <c r="E642" s="532">
        <v>545.51428699999997</v>
      </c>
    </row>
    <row r="643" spans="2:5" x14ac:dyDescent="0.2">
      <c r="B643" s="533">
        <v>729</v>
      </c>
      <c r="C643" s="541" t="s">
        <v>874</v>
      </c>
      <c r="D643" s="656" t="s">
        <v>433</v>
      </c>
      <c r="E643" s="534">
        <v>577.96922900000004</v>
      </c>
    </row>
    <row r="644" spans="2:5" x14ac:dyDescent="0.2">
      <c r="B644" s="533">
        <v>730</v>
      </c>
      <c r="C644" s="541" t="s">
        <v>1276</v>
      </c>
      <c r="D644" s="656" t="s">
        <v>433</v>
      </c>
      <c r="E644" s="534">
        <v>608.71666500000003</v>
      </c>
    </row>
    <row r="645" spans="2:5" x14ac:dyDescent="0.2">
      <c r="B645" s="533">
        <v>731</v>
      </c>
      <c r="C645" s="541" t="s">
        <v>1258</v>
      </c>
      <c r="D645" s="656" t="s">
        <v>433</v>
      </c>
      <c r="E645" s="534">
        <v>607.47499100000005</v>
      </c>
    </row>
    <row r="646" spans="2:5" x14ac:dyDescent="0.2">
      <c r="B646" s="533">
        <v>732</v>
      </c>
      <c r="C646" s="541" t="s">
        <v>1104</v>
      </c>
      <c r="D646" s="656" t="s">
        <v>433</v>
      </c>
      <c r="E646" s="534">
        <v>598.50908900000002</v>
      </c>
    </row>
    <row r="647" spans="2:5" x14ac:dyDescent="0.2">
      <c r="B647" s="533">
        <v>733</v>
      </c>
      <c r="C647" s="541" t="s">
        <v>1007</v>
      </c>
      <c r="D647" s="656" t="s">
        <v>433</v>
      </c>
      <c r="E647" s="534">
        <v>607.01111500000002</v>
      </c>
    </row>
    <row r="648" spans="2:5" x14ac:dyDescent="0.2">
      <c r="B648" s="533">
        <v>734</v>
      </c>
      <c r="C648" s="541" t="s">
        <v>1010</v>
      </c>
      <c r="D648" s="656" t="s">
        <v>433</v>
      </c>
      <c r="E648" s="534">
        <v>591.16668700000002</v>
      </c>
    </row>
    <row r="649" spans="2:5" x14ac:dyDescent="0.2">
      <c r="B649" s="533">
        <v>735</v>
      </c>
      <c r="C649" s="541" t="s">
        <v>6709</v>
      </c>
      <c r="D649" s="656" t="s">
        <v>433</v>
      </c>
      <c r="E649" s="534">
        <v>583.40000199999997</v>
      </c>
    </row>
    <row r="650" spans="2:5" x14ac:dyDescent="0.2">
      <c r="B650" s="533">
        <v>736</v>
      </c>
      <c r="C650" s="541" t="s">
        <v>847</v>
      </c>
      <c r="D650" s="656" t="s">
        <v>433</v>
      </c>
      <c r="E650" s="534">
        <v>575.27500899999995</v>
      </c>
    </row>
    <row r="651" spans="2:5" ht="15" x14ac:dyDescent="0.2">
      <c r="B651" s="531">
        <v>737</v>
      </c>
      <c r="C651" s="541" t="s">
        <v>6813</v>
      </c>
      <c r="D651" s="656" t="s">
        <v>433</v>
      </c>
      <c r="E651" s="532">
        <v>539.57142899999997</v>
      </c>
    </row>
    <row r="652" spans="2:5" x14ac:dyDescent="0.2">
      <c r="B652" s="533">
        <v>738</v>
      </c>
      <c r="C652" s="541" t="s">
        <v>767</v>
      </c>
      <c r="D652" s="656" t="s">
        <v>433</v>
      </c>
      <c r="E652" s="534">
        <v>563.19999199999995</v>
      </c>
    </row>
    <row r="653" spans="2:5" x14ac:dyDescent="0.2">
      <c r="B653" s="533">
        <v>739</v>
      </c>
      <c r="C653" s="541" t="s">
        <v>818</v>
      </c>
      <c r="D653" s="656" t="s">
        <v>433</v>
      </c>
      <c r="E653" s="534">
        <v>572.34999100000005</v>
      </c>
    </row>
    <row r="654" spans="2:5" x14ac:dyDescent="0.2">
      <c r="B654" s="533">
        <v>740</v>
      </c>
      <c r="C654" s="541" t="s">
        <v>895</v>
      </c>
      <c r="D654" s="656" t="s">
        <v>433</v>
      </c>
      <c r="E654" s="534">
        <v>579.78999599999997</v>
      </c>
    </row>
    <row r="655" spans="2:5" x14ac:dyDescent="0.2">
      <c r="B655" s="533">
        <v>741</v>
      </c>
      <c r="C655" s="541" t="s">
        <v>796</v>
      </c>
      <c r="D655" s="656" t="s">
        <v>433</v>
      </c>
      <c r="E655" s="534">
        <v>567.64284799999996</v>
      </c>
    </row>
    <row r="656" spans="2:5" x14ac:dyDescent="0.2">
      <c r="B656" s="533">
        <v>742</v>
      </c>
      <c r="C656" s="541" t="s">
        <v>7527</v>
      </c>
      <c r="D656" s="656" t="s">
        <v>433</v>
      </c>
      <c r="E656" s="534">
        <v>553.80001800000002</v>
      </c>
    </row>
    <row r="657" spans="2:5" x14ac:dyDescent="0.2">
      <c r="B657" s="533">
        <v>743</v>
      </c>
      <c r="C657" s="541" t="s">
        <v>740</v>
      </c>
      <c r="D657" s="656" t="s">
        <v>433</v>
      </c>
      <c r="E657" s="534">
        <v>557.03998999999999</v>
      </c>
    </row>
    <row r="658" spans="2:5" ht="15" x14ac:dyDescent="0.2">
      <c r="B658" s="531">
        <v>744</v>
      </c>
      <c r="C658" s="541" t="s">
        <v>687</v>
      </c>
      <c r="D658" s="656" t="s">
        <v>433</v>
      </c>
      <c r="E658" s="532">
        <v>534.91666899999996</v>
      </c>
    </row>
    <row r="659" spans="2:5" x14ac:dyDescent="0.2">
      <c r="B659" s="533">
        <v>745</v>
      </c>
      <c r="C659" s="541" t="s">
        <v>743</v>
      </c>
      <c r="D659" s="656" t="s">
        <v>433</v>
      </c>
      <c r="E659" s="534">
        <v>557.77999299999999</v>
      </c>
    </row>
    <row r="660" spans="2:5" x14ac:dyDescent="0.2">
      <c r="B660" s="533">
        <v>746</v>
      </c>
      <c r="C660" s="541" t="s">
        <v>6777</v>
      </c>
      <c r="D660" s="656" t="s">
        <v>433</v>
      </c>
      <c r="E660" s="534">
        <v>600.633331</v>
      </c>
    </row>
    <row r="661" spans="2:5" x14ac:dyDescent="0.2">
      <c r="B661" s="533">
        <v>747</v>
      </c>
      <c r="C661" s="541" t="s">
        <v>6949</v>
      </c>
      <c r="D661" s="656" t="s">
        <v>433</v>
      </c>
      <c r="E661" s="534">
        <v>601.70000000000005</v>
      </c>
    </row>
    <row r="662" spans="2:5" x14ac:dyDescent="0.2">
      <c r="B662" s="533">
        <v>748</v>
      </c>
      <c r="C662" s="541" t="s">
        <v>1011</v>
      </c>
      <c r="D662" s="656" t="s">
        <v>433</v>
      </c>
      <c r="E662" s="534">
        <v>591.23999000000003</v>
      </c>
    </row>
    <row r="663" spans="2:5" x14ac:dyDescent="0.2">
      <c r="B663" s="533">
        <v>749</v>
      </c>
      <c r="C663" s="541" t="s">
        <v>963</v>
      </c>
      <c r="D663" s="656" t="s">
        <v>433</v>
      </c>
      <c r="E663" s="534">
        <v>585.96665399999995</v>
      </c>
    </row>
    <row r="664" spans="2:5" x14ac:dyDescent="0.2">
      <c r="B664" s="533">
        <v>750</v>
      </c>
      <c r="C664" s="541" t="s">
        <v>6468</v>
      </c>
      <c r="D664" s="656" t="s">
        <v>433</v>
      </c>
      <c r="E664" s="534">
        <v>550.75715000000002</v>
      </c>
    </row>
    <row r="665" spans="2:5" ht="15" x14ac:dyDescent="0.2">
      <c r="B665" s="531">
        <v>751</v>
      </c>
      <c r="C665" s="541" t="s">
        <v>701</v>
      </c>
      <c r="D665" s="656" t="s">
        <v>433</v>
      </c>
      <c r="E665" s="532">
        <v>541.91999499999997</v>
      </c>
    </row>
    <row r="666" spans="2:5" x14ac:dyDescent="0.2">
      <c r="B666" s="533">
        <v>752</v>
      </c>
      <c r="C666" s="541" t="s">
        <v>729</v>
      </c>
      <c r="D666" s="656" t="s">
        <v>433</v>
      </c>
      <c r="E666" s="534">
        <v>552.41334600000005</v>
      </c>
    </row>
    <row r="667" spans="2:5" x14ac:dyDescent="0.2">
      <c r="B667" s="533">
        <v>753</v>
      </c>
      <c r="C667" s="541" t="s">
        <v>6609</v>
      </c>
      <c r="D667" s="656" t="s">
        <v>433</v>
      </c>
      <c r="E667" s="534">
        <v>625.69999700000005</v>
      </c>
    </row>
    <row r="668" spans="2:5" x14ac:dyDescent="0.2">
      <c r="B668" s="533">
        <v>754</v>
      </c>
      <c r="C668" s="541" t="s">
        <v>6719</v>
      </c>
      <c r="D668" s="656" t="s">
        <v>433</v>
      </c>
      <c r="E668" s="534">
        <v>602.24998500000004</v>
      </c>
    </row>
    <row r="669" spans="2:5" x14ac:dyDescent="0.2">
      <c r="B669" s="533">
        <v>755</v>
      </c>
      <c r="C669" s="541" t="s">
        <v>1021</v>
      </c>
      <c r="D669" s="656" t="s">
        <v>433</v>
      </c>
      <c r="E669" s="534">
        <v>591.97778300000004</v>
      </c>
    </row>
    <row r="670" spans="2:5" x14ac:dyDescent="0.2">
      <c r="B670" s="533">
        <v>756</v>
      </c>
      <c r="C670" s="541" t="s">
        <v>811</v>
      </c>
      <c r="D670" s="656" t="s">
        <v>433</v>
      </c>
      <c r="E670" s="534">
        <v>570.90000699999996</v>
      </c>
    </row>
    <row r="671" spans="2:5" ht="15" x14ac:dyDescent="0.2">
      <c r="B671" s="531">
        <v>757</v>
      </c>
      <c r="C671" s="541" t="s">
        <v>720</v>
      </c>
      <c r="D671" s="656" t="s">
        <v>433</v>
      </c>
      <c r="E671" s="532">
        <v>548.29999799999996</v>
      </c>
    </row>
    <row r="672" spans="2:5" x14ac:dyDescent="0.2">
      <c r="B672" s="533">
        <v>758</v>
      </c>
      <c r="C672" s="541" t="s">
        <v>1430</v>
      </c>
      <c r="D672" s="656" t="s">
        <v>433</v>
      </c>
      <c r="E672" s="534">
        <v>617.18000500000005</v>
      </c>
    </row>
    <row r="673" spans="2:5" x14ac:dyDescent="0.2">
      <c r="B673" s="533">
        <v>759</v>
      </c>
      <c r="C673" s="541" t="s">
        <v>7410</v>
      </c>
      <c r="D673" s="656" t="s">
        <v>433</v>
      </c>
      <c r="E673" s="534">
        <v>600.55000299999995</v>
      </c>
    </row>
    <row r="674" spans="2:5" x14ac:dyDescent="0.2">
      <c r="B674" s="533">
        <v>760</v>
      </c>
      <c r="C674" s="541" t="s">
        <v>810</v>
      </c>
      <c r="D674" s="656" t="s">
        <v>433</v>
      </c>
      <c r="E674" s="534">
        <v>570.75999100000001</v>
      </c>
    </row>
    <row r="675" spans="2:5" x14ac:dyDescent="0.2">
      <c r="B675" s="533">
        <v>761</v>
      </c>
      <c r="C675" s="541" t="s">
        <v>731</v>
      </c>
      <c r="D675" s="656" t="s">
        <v>433</v>
      </c>
      <c r="E675" s="534">
        <v>552.69999700000005</v>
      </c>
    </row>
    <row r="676" spans="2:5" x14ac:dyDescent="0.2">
      <c r="B676" s="533">
        <v>762</v>
      </c>
      <c r="C676" s="541" t="s">
        <v>725</v>
      </c>
      <c r="D676" s="656" t="s">
        <v>433</v>
      </c>
      <c r="E676" s="534">
        <v>551.44998199999998</v>
      </c>
    </row>
    <row r="677" spans="2:5" x14ac:dyDescent="0.2">
      <c r="B677" s="533">
        <v>763</v>
      </c>
      <c r="C677" s="541" t="s">
        <v>2136</v>
      </c>
      <c r="D677" s="656" t="s">
        <v>433</v>
      </c>
      <c r="E677" s="534">
        <v>650.57777199999998</v>
      </c>
    </row>
    <row r="678" spans="2:5" x14ac:dyDescent="0.2">
      <c r="B678" s="533">
        <v>764</v>
      </c>
      <c r="C678" s="541" t="s">
        <v>1543</v>
      </c>
      <c r="D678" s="656" t="s">
        <v>433</v>
      </c>
      <c r="E678" s="534">
        <v>623.85000600000001</v>
      </c>
    </row>
    <row r="679" spans="2:5" x14ac:dyDescent="0.2">
      <c r="B679" s="533">
        <v>765</v>
      </c>
      <c r="C679" s="541" t="s">
        <v>1532</v>
      </c>
      <c r="D679" s="656" t="s">
        <v>433</v>
      </c>
      <c r="E679" s="534">
        <v>623.09999300000004</v>
      </c>
    </row>
    <row r="680" spans="2:5" x14ac:dyDescent="0.2">
      <c r="B680" s="533">
        <v>766</v>
      </c>
      <c r="C680" s="541" t="s">
        <v>763</v>
      </c>
      <c r="D680" s="656" t="s">
        <v>433</v>
      </c>
      <c r="E680" s="534">
        <v>562.64444300000002</v>
      </c>
    </row>
    <row r="681" spans="2:5" x14ac:dyDescent="0.2">
      <c r="B681" s="533">
        <v>767</v>
      </c>
      <c r="C681" s="541" t="s">
        <v>802</v>
      </c>
      <c r="D681" s="656" t="s">
        <v>433</v>
      </c>
      <c r="E681" s="534">
        <v>569.04000199999996</v>
      </c>
    </row>
    <row r="682" spans="2:5" x14ac:dyDescent="0.2">
      <c r="B682" s="533">
        <v>768</v>
      </c>
      <c r="C682" s="541" t="s">
        <v>1177</v>
      </c>
      <c r="D682" s="656" t="s">
        <v>433</v>
      </c>
      <c r="E682" s="534">
        <v>603.21249799999998</v>
      </c>
    </row>
    <row r="683" spans="2:5" x14ac:dyDescent="0.2">
      <c r="B683" s="533">
        <v>769</v>
      </c>
      <c r="C683" s="541" t="s">
        <v>956</v>
      </c>
      <c r="D683" s="656" t="s">
        <v>433</v>
      </c>
      <c r="E683" s="534">
        <v>585.42000099999996</v>
      </c>
    </row>
    <row r="684" spans="2:5" x14ac:dyDescent="0.2">
      <c r="B684" s="533">
        <v>770</v>
      </c>
      <c r="C684" s="541" t="s">
        <v>920</v>
      </c>
      <c r="D684" s="656" t="s">
        <v>433</v>
      </c>
      <c r="E684" s="534">
        <v>582.67500299999995</v>
      </c>
    </row>
    <row r="685" spans="2:5" x14ac:dyDescent="0.2">
      <c r="B685" s="533">
        <v>771</v>
      </c>
      <c r="C685" s="541" t="s">
        <v>7490</v>
      </c>
      <c r="D685" s="656" t="s">
        <v>433</v>
      </c>
      <c r="E685" s="534">
        <v>654.39999399999999</v>
      </c>
    </row>
    <row r="686" spans="2:5" x14ac:dyDescent="0.2">
      <c r="B686" s="533">
        <v>772</v>
      </c>
      <c r="C686" s="541" t="s">
        <v>1162</v>
      </c>
      <c r="D686" s="656" t="s">
        <v>433</v>
      </c>
      <c r="E686" s="534">
        <v>602.26668299999994</v>
      </c>
    </row>
    <row r="687" spans="2:5" x14ac:dyDescent="0.2">
      <c r="B687" s="533">
        <v>773</v>
      </c>
      <c r="C687" s="541" t="s">
        <v>1023</v>
      </c>
      <c r="D687" s="656" t="s">
        <v>433</v>
      </c>
      <c r="E687" s="534">
        <v>592.09999100000005</v>
      </c>
    </row>
    <row r="688" spans="2:5" x14ac:dyDescent="0.2">
      <c r="B688" s="533">
        <v>774</v>
      </c>
      <c r="C688" s="541" t="s">
        <v>6512</v>
      </c>
      <c r="D688" s="656" t="s">
        <v>433</v>
      </c>
      <c r="E688" s="534">
        <v>619.45554900000002</v>
      </c>
    </row>
    <row r="689" spans="2:5" x14ac:dyDescent="0.2">
      <c r="B689" s="533">
        <v>775</v>
      </c>
      <c r="C689" s="541" t="s">
        <v>991</v>
      </c>
      <c r="D689" s="656" t="s">
        <v>433</v>
      </c>
      <c r="E689" s="534">
        <v>589.18181800000002</v>
      </c>
    </row>
    <row r="690" spans="2:5" x14ac:dyDescent="0.2">
      <c r="B690" s="533">
        <v>776</v>
      </c>
      <c r="C690" s="541" t="s">
        <v>798</v>
      </c>
      <c r="D690" s="656" t="s">
        <v>433</v>
      </c>
      <c r="E690" s="534">
        <v>612.83335399999999</v>
      </c>
    </row>
    <row r="691" spans="2:5" x14ac:dyDescent="0.2">
      <c r="B691" s="533">
        <v>777</v>
      </c>
      <c r="C691" s="541" t="s">
        <v>1346</v>
      </c>
      <c r="D691" s="656" t="s">
        <v>433</v>
      </c>
      <c r="E691" s="534">
        <v>612.79998799999998</v>
      </c>
    </row>
    <row r="692" spans="2:5" x14ac:dyDescent="0.2">
      <c r="B692" s="533">
        <v>778</v>
      </c>
      <c r="C692" s="541" t="s">
        <v>2043</v>
      </c>
      <c r="D692" s="656" t="s">
        <v>433</v>
      </c>
      <c r="E692" s="534">
        <v>645.55001800000002</v>
      </c>
    </row>
    <row r="693" spans="2:5" x14ac:dyDescent="0.2">
      <c r="B693" s="533">
        <v>801</v>
      </c>
      <c r="C693" s="541" t="s">
        <v>988</v>
      </c>
      <c r="D693" s="656" t="s">
        <v>431</v>
      </c>
      <c r="E693" s="534">
        <v>588.97778300000004</v>
      </c>
    </row>
    <row r="694" spans="2:5" x14ac:dyDescent="0.2">
      <c r="B694" s="533">
        <v>802</v>
      </c>
      <c r="C694" s="541" t="s">
        <v>1124</v>
      </c>
      <c r="D694" s="656" t="s">
        <v>438</v>
      </c>
      <c r="E694" s="534">
        <v>599.63333499999999</v>
      </c>
    </row>
    <row r="695" spans="2:5" x14ac:dyDescent="0.2">
      <c r="B695" s="533">
        <v>803</v>
      </c>
      <c r="C695" s="541" t="s">
        <v>1470</v>
      </c>
      <c r="D695" s="656" t="s">
        <v>431</v>
      </c>
      <c r="E695" s="534">
        <v>619.1</v>
      </c>
    </row>
    <row r="696" spans="2:5" x14ac:dyDescent="0.2">
      <c r="B696" s="533">
        <v>804</v>
      </c>
      <c r="C696" s="541" t="s">
        <v>995</v>
      </c>
      <c r="D696" s="656" t="s">
        <v>431</v>
      </c>
      <c r="E696" s="534">
        <v>589.39998400000002</v>
      </c>
    </row>
    <row r="697" spans="2:5" x14ac:dyDescent="0.2">
      <c r="B697" s="533">
        <v>805</v>
      </c>
      <c r="C697" s="541" t="s">
        <v>1385</v>
      </c>
      <c r="D697" s="656" t="s">
        <v>431</v>
      </c>
      <c r="E697" s="534">
        <v>614.85999800000002</v>
      </c>
    </row>
    <row r="698" spans="2:5" x14ac:dyDescent="0.2">
      <c r="B698" s="533">
        <v>806</v>
      </c>
      <c r="C698" s="541" t="s">
        <v>1201</v>
      </c>
      <c r="D698" s="656" t="s">
        <v>438</v>
      </c>
      <c r="E698" s="534">
        <v>604.41999499999997</v>
      </c>
    </row>
    <row r="699" spans="2:5" x14ac:dyDescent="0.2">
      <c r="B699" s="533">
        <v>807</v>
      </c>
      <c r="C699" s="541" t="s">
        <v>1280</v>
      </c>
      <c r="D699" s="656" t="s">
        <v>438</v>
      </c>
      <c r="E699" s="534">
        <v>609.02500899999995</v>
      </c>
    </row>
    <row r="700" spans="2:5" x14ac:dyDescent="0.2">
      <c r="B700" s="533">
        <v>808</v>
      </c>
      <c r="C700" s="541" t="s">
        <v>1055</v>
      </c>
      <c r="D700" s="656" t="s">
        <v>431</v>
      </c>
      <c r="E700" s="534">
        <v>594.81428700000004</v>
      </c>
    </row>
    <row r="701" spans="2:5" x14ac:dyDescent="0.2">
      <c r="B701" s="533">
        <v>809</v>
      </c>
      <c r="C701" s="541" t="s">
        <v>1007</v>
      </c>
      <c r="D701" s="656" t="s">
        <v>431</v>
      </c>
      <c r="E701" s="534">
        <v>590.759998</v>
      </c>
    </row>
    <row r="702" spans="2:5" x14ac:dyDescent="0.2">
      <c r="B702" s="533">
        <v>810</v>
      </c>
      <c r="C702" s="541" t="s">
        <v>1533</v>
      </c>
      <c r="D702" s="656" t="s">
        <v>438</v>
      </c>
      <c r="E702" s="534">
        <v>623.20001200000002</v>
      </c>
    </row>
    <row r="703" spans="2:5" x14ac:dyDescent="0.2">
      <c r="B703" s="533">
        <v>811</v>
      </c>
      <c r="C703" s="541" t="s">
        <v>2463</v>
      </c>
      <c r="D703" s="656" t="s">
        <v>438</v>
      </c>
      <c r="E703" s="534">
        <v>664.82999900000004</v>
      </c>
    </row>
    <row r="704" spans="2:5" x14ac:dyDescent="0.2">
      <c r="B704" s="533">
        <v>812</v>
      </c>
      <c r="C704" s="541" t="s">
        <v>7478</v>
      </c>
      <c r="D704" s="656" t="s">
        <v>438</v>
      </c>
      <c r="E704" s="534">
        <v>614.85000600000001</v>
      </c>
    </row>
    <row r="705" spans="2:5" x14ac:dyDescent="0.2">
      <c r="B705" s="533">
        <v>813</v>
      </c>
      <c r="C705" s="541" t="s">
        <v>1486</v>
      </c>
      <c r="D705" s="656" t="s">
        <v>438</v>
      </c>
      <c r="E705" s="534">
        <v>619.97776999999996</v>
      </c>
    </row>
    <row r="706" spans="2:5" x14ac:dyDescent="0.2">
      <c r="B706" s="533">
        <v>814</v>
      </c>
      <c r="C706" s="541" t="s">
        <v>1478</v>
      </c>
      <c r="D706" s="656" t="s">
        <v>431</v>
      </c>
      <c r="E706" s="534">
        <v>619.47500600000001</v>
      </c>
    </row>
    <row r="707" spans="2:5" x14ac:dyDescent="0.2">
      <c r="B707" s="533">
        <v>815</v>
      </c>
      <c r="C707" s="541" t="s">
        <v>6480</v>
      </c>
      <c r="D707" s="656" t="s">
        <v>431</v>
      </c>
      <c r="E707" s="534">
        <v>613.72726699999998</v>
      </c>
    </row>
    <row r="708" spans="2:5" x14ac:dyDescent="0.2">
      <c r="B708" s="533">
        <v>816</v>
      </c>
      <c r="C708" s="541" t="s">
        <v>968</v>
      </c>
      <c r="D708" s="656" t="s">
        <v>431</v>
      </c>
      <c r="E708" s="534">
        <v>615.5</v>
      </c>
    </row>
    <row r="709" spans="2:5" x14ac:dyDescent="0.2">
      <c r="B709" s="533">
        <v>817</v>
      </c>
      <c r="C709" s="541" t="s">
        <v>1003</v>
      </c>
      <c r="D709" s="656" t="s">
        <v>431</v>
      </c>
      <c r="E709" s="534">
        <v>590.35000600000001</v>
      </c>
    </row>
    <row r="710" spans="2:5" x14ac:dyDescent="0.2">
      <c r="B710" s="533">
        <v>818</v>
      </c>
      <c r="C710" s="541" t="s">
        <v>1421</v>
      </c>
      <c r="D710" s="656" t="s">
        <v>438</v>
      </c>
      <c r="E710" s="534">
        <v>616.88461500000005</v>
      </c>
    </row>
    <row r="711" spans="2:5" x14ac:dyDescent="0.2">
      <c r="B711" s="533">
        <v>819</v>
      </c>
      <c r="C711" s="541" t="s">
        <v>1049</v>
      </c>
      <c r="D711" s="656" t="s">
        <v>438</v>
      </c>
      <c r="E711" s="534">
        <v>594.55999799999995</v>
      </c>
    </row>
    <row r="712" spans="2:5" x14ac:dyDescent="0.2">
      <c r="B712" s="533">
        <v>820</v>
      </c>
      <c r="C712" s="541" t="s">
        <v>1078</v>
      </c>
      <c r="D712" s="656" t="s">
        <v>438</v>
      </c>
      <c r="E712" s="534">
        <v>596.63334099999997</v>
      </c>
    </row>
    <row r="713" spans="2:5" x14ac:dyDescent="0.2">
      <c r="B713" s="533">
        <v>821</v>
      </c>
      <c r="C713" s="541" t="s">
        <v>1716</v>
      </c>
      <c r="D713" s="656" t="s">
        <v>438</v>
      </c>
      <c r="E713" s="534">
        <v>633.39999399999999</v>
      </c>
    </row>
    <row r="714" spans="2:5" x14ac:dyDescent="0.2">
      <c r="B714" s="533">
        <v>822</v>
      </c>
      <c r="C714" s="541" t="s">
        <v>2362</v>
      </c>
      <c r="D714" s="656" t="s">
        <v>438</v>
      </c>
      <c r="E714" s="534">
        <v>660.65998500000001</v>
      </c>
    </row>
    <row r="715" spans="2:5" x14ac:dyDescent="0.2">
      <c r="B715" s="533">
        <v>823</v>
      </c>
      <c r="C715" s="541" t="s">
        <v>1103</v>
      </c>
      <c r="D715" s="656" t="s">
        <v>438</v>
      </c>
      <c r="E715" s="534">
        <v>598.5</v>
      </c>
    </row>
    <row r="716" spans="2:5" x14ac:dyDescent="0.2">
      <c r="B716" s="533">
        <v>824</v>
      </c>
      <c r="C716" s="541" t="s">
        <v>1590</v>
      </c>
      <c r="D716" s="656" t="s">
        <v>438</v>
      </c>
      <c r="E716" s="534">
        <v>626.40002400000003</v>
      </c>
    </row>
    <row r="717" spans="2:5" x14ac:dyDescent="0.2">
      <c r="B717" s="533">
        <v>825</v>
      </c>
      <c r="C717" s="541" t="s">
        <v>1767</v>
      </c>
      <c r="D717" s="656" t="s">
        <v>438</v>
      </c>
      <c r="E717" s="534">
        <v>635.22500600000001</v>
      </c>
    </row>
    <row r="718" spans="2:5" x14ac:dyDescent="0.2">
      <c r="B718" s="533">
        <v>826</v>
      </c>
      <c r="C718" s="541" t="s">
        <v>1293</v>
      </c>
      <c r="D718" s="656" t="s">
        <v>438</v>
      </c>
      <c r="E718" s="534">
        <v>609.93332899999996</v>
      </c>
    </row>
    <row r="719" spans="2:5" x14ac:dyDescent="0.2">
      <c r="B719" s="533">
        <v>827</v>
      </c>
      <c r="C719" s="541" t="s">
        <v>1363</v>
      </c>
      <c r="D719" s="656" t="s">
        <v>438</v>
      </c>
      <c r="E719" s="534">
        <v>613.75</v>
      </c>
    </row>
    <row r="720" spans="2:5" x14ac:dyDescent="0.2">
      <c r="B720" s="533">
        <v>828</v>
      </c>
      <c r="C720" s="541" t="s">
        <v>1492</v>
      </c>
      <c r="D720" s="656" t="s">
        <v>438</v>
      </c>
      <c r="E720" s="534">
        <v>629.89999399999999</v>
      </c>
    </row>
    <row r="721" spans="2:5" x14ac:dyDescent="0.2">
      <c r="B721" s="533">
        <v>829</v>
      </c>
      <c r="C721" s="541" t="s">
        <v>948</v>
      </c>
      <c r="D721" s="656" t="s">
        <v>438</v>
      </c>
      <c r="E721" s="534">
        <v>584.75000999999997</v>
      </c>
    </row>
    <row r="722" spans="2:5" x14ac:dyDescent="0.2">
      <c r="B722" s="533">
        <v>830</v>
      </c>
      <c r="C722" s="541" t="s">
        <v>1185</v>
      </c>
      <c r="D722" s="656" t="s">
        <v>431</v>
      </c>
      <c r="E722" s="534">
        <v>603.52857300000005</v>
      </c>
    </row>
    <row r="723" spans="2:5" x14ac:dyDescent="0.2">
      <c r="B723" s="533">
        <v>831</v>
      </c>
      <c r="C723" s="541" t="s">
        <v>7301</v>
      </c>
      <c r="D723" s="656" t="s">
        <v>431</v>
      </c>
      <c r="E723" s="534">
        <v>641.58333300000004</v>
      </c>
    </row>
    <row r="724" spans="2:5" x14ac:dyDescent="0.2">
      <c r="B724" s="533">
        <v>832</v>
      </c>
      <c r="C724" s="541" t="s">
        <v>2084</v>
      </c>
      <c r="D724" s="656" t="s">
        <v>431</v>
      </c>
      <c r="E724" s="534">
        <v>647.92500299999995</v>
      </c>
    </row>
    <row r="725" spans="2:5" x14ac:dyDescent="0.2">
      <c r="B725" s="533">
        <v>833</v>
      </c>
      <c r="C725" s="541" t="s">
        <v>1703</v>
      </c>
      <c r="D725" s="656" t="s">
        <v>431</v>
      </c>
      <c r="E725" s="534">
        <v>632.74999200000002</v>
      </c>
    </row>
    <row r="726" spans="2:5" x14ac:dyDescent="0.2">
      <c r="B726" s="533">
        <v>834</v>
      </c>
      <c r="C726" s="541" t="s">
        <v>1750</v>
      </c>
      <c r="D726" s="656" t="s">
        <v>431</v>
      </c>
      <c r="E726" s="534">
        <v>634.34285199999999</v>
      </c>
    </row>
    <row r="727" spans="2:5" x14ac:dyDescent="0.2">
      <c r="B727" s="533">
        <v>835</v>
      </c>
      <c r="C727" s="541" t="s">
        <v>1625</v>
      </c>
      <c r="D727" s="656" t="s">
        <v>438</v>
      </c>
      <c r="E727" s="534">
        <v>628.08749399999999</v>
      </c>
    </row>
    <row r="728" spans="2:5" x14ac:dyDescent="0.2">
      <c r="B728" s="533">
        <v>836</v>
      </c>
      <c r="C728" s="541" t="s">
        <v>1594</v>
      </c>
      <c r="D728" s="656" t="s">
        <v>438</v>
      </c>
      <c r="E728" s="534">
        <v>626.616669</v>
      </c>
    </row>
    <row r="729" spans="2:5" x14ac:dyDescent="0.2">
      <c r="B729" s="533">
        <v>837</v>
      </c>
      <c r="C729" s="541" t="s">
        <v>1117</v>
      </c>
      <c r="D729" s="656" t="s">
        <v>438</v>
      </c>
      <c r="E729" s="534">
        <v>599.44000200000005</v>
      </c>
    </row>
    <row r="730" spans="2:5" x14ac:dyDescent="0.2">
      <c r="B730" s="533">
        <v>838</v>
      </c>
      <c r="C730" s="541" t="s">
        <v>6812</v>
      </c>
      <c r="D730" s="656" t="s">
        <v>438</v>
      </c>
      <c r="E730" s="534">
        <v>636.55555600000002</v>
      </c>
    </row>
    <row r="731" spans="2:5" x14ac:dyDescent="0.2">
      <c r="B731" s="533">
        <v>839</v>
      </c>
      <c r="C731" s="541" t="s">
        <v>2146</v>
      </c>
      <c r="D731" s="656" t="s">
        <v>438</v>
      </c>
      <c r="E731" s="534">
        <v>651</v>
      </c>
    </row>
    <row r="732" spans="2:5" x14ac:dyDescent="0.2">
      <c r="B732" s="533">
        <v>840</v>
      </c>
      <c r="C732" s="541" t="s">
        <v>1256</v>
      </c>
      <c r="D732" s="656" t="s">
        <v>438</v>
      </c>
      <c r="E732" s="534">
        <v>607.30001800000002</v>
      </c>
    </row>
    <row r="733" spans="2:5" x14ac:dyDescent="0.2">
      <c r="B733" s="533">
        <v>841</v>
      </c>
      <c r="C733" s="541" t="s">
        <v>1043</v>
      </c>
      <c r="D733" s="656" t="s">
        <v>438</v>
      </c>
      <c r="E733" s="534">
        <v>594.125</v>
      </c>
    </row>
    <row r="734" spans="2:5" x14ac:dyDescent="0.2">
      <c r="B734" s="533">
        <v>842</v>
      </c>
      <c r="C734" s="541" t="s">
        <v>1236</v>
      </c>
      <c r="D734" s="656" t="s">
        <v>438</v>
      </c>
      <c r="E734" s="534">
        <v>606.375</v>
      </c>
    </row>
    <row r="735" spans="2:5" x14ac:dyDescent="0.2">
      <c r="B735" s="533">
        <v>843</v>
      </c>
      <c r="C735" s="541" t="s">
        <v>1046</v>
      </c>
      <c r="D735" s="656" t="s">
        <v>431</v>
      </c>
      <c r="E735" s="534">
        <v>594.25</v>
      </c>
    </row>
    <row r="736" spans="2:5" x14ac:dyDescent="0.2">
      <c r="B736" s="533">
        <v>844</v>
      </c>
      <c r="C736" s="541" t="s">
        <v>1424</v>
      </c>
      <c r="D736" s="656" t="s">
        <v>431</v>
      </c>
      <c r="E736" s="534">
        <v>629.28572299999996</v>
      </c>
    </row>
    <row r="737" spans="2:5" x14ac:dyDescent="0.2">
      <c r="B737" s="533">
        <v>845</v>
      </c>
      <c r="C737" s="541" t="s">
        <v>2067</v>
      </c>
      <c r="D737" s="656" t="s">
        <v>431</v>
      </c>
      <c r="E737" s="534">
        <v>647.00000399999999</v>
      </c>
    </row>
    <row r="738" spans="2:5" x14ac:dyDescent="0.2">
      <c r="B738" s="533">
        <v>846</v>
      </c>
      <c r="C738" s="541" t="s">
        <v>2260</v>
      </c>
      <c r="D738" s="656" t="s">
        <v>431</v>
      </c>
      <c r="E738" s="534">
        <v>656.100008</v>
      </c>
    </row>
    <row r="739" spans="2:5" x14ac:dyDescent="0.2">
      <c r="B739" s="533">
        <v>847</v>
      </c>
      <c r="C739" s="541" t="s">
        <v>1946</v>
      </c>
      <c r="D739" s="656" t="s">
        <v>431</v>
      </c>
      <c r="E739" s="534">
        <v>641.96875</v>
      </c>
    </row>
    <row r="740" spans="2:5" x14ac:dyDescent="0.2">
      <c r="B740" s="533">
        <v>848</v>
      </c>
      <c r="C740" s="541" t="s">
        <v>1956</v>
      </c>
      <c r="D740" s="656" t="s">
        <v>438</v>
      </c>
      <c r="E740" s="534">
        <v>642.19412399999999</v>
      </c>
    </row>
    <row r="741" spans="2:5" x14ac:dyDescent="0.2">
      <c r="B741" s="533">
        <v>849</v>
      </c>
      <c r="C741" s="541" t="s">
        <v>1746</v>
      </c>
      <c r="D741" s="656" t="s">
        <v>438</v>
      </c>
      <c r="E741" s="534">
        <v>634.29999999999995</v>
      </c>
    </row>
    <row r="742" spans="2:5" x14ac:dyDescent="0.2">
      <c r="B742" s="533">
        <v>850</v>
      </c>
      <c r="C742" s="541" t="s">
        <v>7400</v>
      </c>
      <c r="D742" s="656" t="s">
        <v>438</v>
      </c>
      <c r="E742" s="534">
        <v>614.85999800000002</v>
      </c>
    </row>
    <row r="743" spans="2:5" x14ac:dyDescent="0.2">
      <c r="B743" s="533">
        <v>851</v>
      </c>
      <c r="C743" s="541" t="s">
        <v>1271</v>
      </c>
      <c r="D743" s="656" t="s">
        <v>438</v>
      </c>
      <c r="E743" s="534">
        <v>608.41427199999998</v>
      </c>
    </row>
    <row r="744" spans="2:5" x14ac:dyDescent="0.2">
      <c r="B744" s="533">
        <v>852</v>
      </c>
      <c r="C744" s="541" t="s">
        <v>2037</v>
      </c>
      <c r="D744" s="656" t="s">
        <v>438</v>
      </c>
      <c r="E744" s="534">
        <v>645.20001200000002</v>
      </c>
    </row>
    <row r="745" spans="2:5" x14ac:dyDescent="0.2">
      <c r="B745" s="533">
        <v>853</v>
      </c>
      <c r="C745" s="541" t="s">
        <v>6814</v>
      </c>
      <c r="D745" s="656" t="s">
        <v>438</v>
      </c>
      <c r="E745" s="534">
        <v>684.37499500000001</v>
      </c>
    </row>
    <row r="746" spans="2:5" x14ac:dyDescent="0.2">
      <c r="B746" s="533">
        <v>854</v>
      </c>
      <c r="C746" s="541" t="s">
        <v>902</v>
      </c>
      <c r="D746" s="656" t="s">
        <v>431</v>
      </c>
      <c r="E746" s="534">
        <v>580.64445000000001</v>
      </c>
    </row>
    <row r="747" spans="2:5" x14ac:dyDescent="0.2">
      <c r="B747" s="533">
        <v>855</v>
      </c>
      <c r="C747" s="541" t="s">
        <v>1020</v>
      </c>
      <c r="D747" s="656" t="s">
        <v>431</v>
      </c>
      <c r="E747" s="534">
        <v>591.96666800000003</v>
      </c>
    </row>
    <row r="748" spans="2:5" x14ac:dyDescent="0.2">
      <c r="B748" s="533">
        <v>856</v>
      </c>
      <c r="C748" s="541" t="s">
        <v>921</v>
      </c>
      <c r="D748" s="656" t="s">
        <v>431</v>
      </c>
      <c r="E748" s="534">
        <v>582.67500299999995</v>
      </c>
    </row>
    <row r="749" spans="2:5" x14ac:dyDescent="0.2">
      <c r="B749" s="533">
        <v>857</v>
      </c>
      <c r="C749" s="541" t="s">
        <v>1039</v>
      </c>
      <c r="D749" s="656" t="s">
        <v>431</v>
      </c>
      <c r="E749" s="534">
        <v>593.728568</v>
      </c>
    </row>
    <row r="750" spans="2:5" x14ac:dyDescent="0.2">
      <c r="B750" s="533">
        <v>858</v>
      </c>
      <c r="C750" s="541" t="s">
        <v>1403</v>
      </c>
      <c r="D750" s="656" t="s">
        <v>431</v>
      </c>
      <c r="E750" s="534">
        <v>616.02499399999999</v>
      </c>
    </row>
    <row r="751" spans="2:5" x14ac:dyDescent="0.2">
      <c r="B751" s="533">
        <v>859</v>
      </c>
      <c r="C751" s="541" t="s">
        <v>1195</v>
      </c>
      <c r="D751" s="656" t="s">
        <v>431</v>
      </c>
      <c r="E751" s="534">
        <v>604.02857300000005</v>
      </c>
    </row>
    <row r="752" spans="2:5" x14ac:dyDescent="0.2">
      <c r="B752" s="533">
        <v>860</v>
      </c>
      <c r="C752" s="541" t="s">
        <v>6687</v>
      </c>
      <c r="D752" s="656" t="s">
        <v>431</v>
      </c>
      <c r="E752" s="534">
        <v>625.30000299999995</v>
      </c>
    </row>
    <row r="753" spans="2:5" x14ac:dyDescent="0.2">
      <c r="B753" s="533">
        <v>861</v>
      </c>
      <c r="C753" s="541" t="s">
        <v>7126</v>
      </c>
      <c r="D753" s="656" t="s">
        <v>431</v>
      </c>
      <c r="E753" s="534">
        <v>658.57499700000005</v>
      </c>
    </row>
    <row r="754" spans="2:5" x14ac:dyDescent="0.2">
      <c r="B754" s="533">
        <v>862</v>
      </c>
      <c r="C754" s="541" t="s">
        <v>7065</v>
      </c>
      <c r="D754" s="656" t="s">
        <v>438</v>
      </c>
      <c r="E754" s="534">
        <v>648.9</v>
      </c>
    </row>
    <row r="755" spans="2:5" x14ac:dyDescent="0.2">
      <c r="B755" s="533">
        <v>863</v>
      </c>
      <c r="C755" s="541" t="s">
        <v>1387</v>
      </c>
      <c r="D755" s="656" t="s">
        <v>438</v>
      </c>
      <c r="E755" s="534">
        <v>614.92857100000003</v>
      </c>
    </row>
    <row r="756" spans="2:5" x14ac:dyDescent="0.2">
      <c r="B756" s="533">
        <v>864</v>
      </c>
      <c r="C756" s="541" t="s">
        <v>1305</v>
      </c>
      <c r="D756" s="656" t="s">
        <v>438</v>
      </c>
      <c r="E756" s="534">
        <v>610.4</v>
      </c>
    </row>
    <row r="757" spans="2:5" x14ac:dyDescent="0.2">
      <c r="B757" s="533">
        <v>865</v>
      </c>
      <c r="C757" s="541" t="s">
        <v>1850</v>
      </c>
      <c r="D757" s="656" t="s">
        <v>438</v>
      </c>
      <c r="E757" s="534">
        <v>638.27500899999995</v>
      </c>
    </row>
    <row r="758" spans="2:5" x14ac:dyDescent="0.2">
      <c r="B758" s="533">
        <v>866</v>
      </c>
      <c r="C758" s="541" t="s">
        <v>6834</v>
      </c>
      <c r="D758" s="656" t="s">
        <v>431</v>
      </c>
      <c r="E758" s="534">
        <v>586.57777899999996</v>
      </c>
    </row>
    <row r="759" spans="2:5" x14ac:dyDescent="0.2">
      <c r="B759" s="533">
        <v>867</v>
      </c>
      <c r="C759" s="541" t="s">
        <v>1215</v>
      </c>
      <c r="D759" s="656" t="s">
        <v>431</v>
      </c>
      <c r="E759" s="534">
        <v>605.20001200000002</v>
      </c>
    </row>
    <row r="760" spans="2:5" x14ac:dyDescent="0.2">
      <c r="B760" s="533">
        <v>868</v>
      </c>
      <c r="C760" s="541" t="s">
        <v>7408</v>
      </c>
      <c r="D760" s="656" t="s">
        <v>431</v>
      </c>
      <c r="E760" s="534">
        <v>606</v>
      </c>
    </row>
    <row r="761" spans="2:5" x14ac:dyDescent="0.2">
      <c r="B761" s="533">
        <v>869</v>
      </c>
      <c r="C761" s="541" t="s">
        <v>1291</v>
      </c>
      <c r="D761" s="656" t="s">
        <v>431</v>
      </c>
      <c r="E761" s="534">
        <v>609.714294</v>
      </c>
    </row>
    <row r="762" spans="2:5" x14ac:dyDescent="0.2">
      <c r="B762" s="533">
        <v>870</v>
      </c>
      <c r="C762" s="541" t="s">
        <v>7111</v>
      </c>
      <c r="D762" s="656" t="s">
        <v>431</v>
      </c>
      <c r="E762" s="534">
        <v>600.95999800000004</v>
      </c>
    </row>
    <row r="763" spans="2:5" x14ac:dyDescent="0.2">
      <c r="B763" s="533">
        <v>871</v>
      </c>
      <c r="C763" s="541" t="s">
        <v>848</v>
      </c>
      <c r="D763" s="656" t="s">
        <v>431</v>
      </c>
      <c r="E763" s="534">
        <v>575.29998799999998</v>
      </c>
    </row>
    <row r="764" spans="2:5" x14ac:dyDescent="0.2">
      <c r="B764" s="533">
        <v>872</v>
      </c>
      <c r="C764" s="541" t="s">
        <v>819</v>
      </c>
      <c r="D764" s="656" t="s">
        <v>431</v>
      </c>
      <c r="E764" s="534">
        <v>572.35000600000001</v>
      </c>
    </row>
    <row r="765" spans="2:5" x14ac:dyDescent="0.2">
      <c r="B765" s="533">
        <v>873</v>
      </c>
      <c r="C765" s="541" t="s">
        <v>788</v>
      </c>
      <c r="D765" s="656" t="s">
        <v>431</v>
      </c>
      <c r="E765" s="534">
        <v>566.62000699999999</v>
      </c>
    </row>
    <row r="766" spans="2:5" x14ac:dyDescent="0.2">
      <c r="B766" s="533">
        <v>874</v>
      </c>
      <c r="C766" s="541" t="s">
        <v>836</v>
      </c>
      <c r="D766" s="656" t="s">
        <v>431</v>
      </c>
      <c r="E766" s="534">
        <v>574.14999399999999</v>
      </c>
    </row>
    <row r="767" spans="2:5" x14ac:dyDescent="0.2">
      <c r="B767" s="533">
        <v>875</v>
      </c>
      <c r="C767" s="541" t="s">
        <v>954</v>
      </c>
      <c r="D767" s="656" t="s">
        <v>431</v>
      </c>
      <c r="E767" s="534">
        <v>618.59998900000005</v>
      </c>
    </row>
    <row r="768" spans="2:5" x14ac:dyDescent="0.2">
      <c r="B768" s="533">
        <v>876</v>
      </c>
      <c r="C768" s="541" t="s">
        <v>1574</v>
      </c>
      <c r="D768" s="656" t="s">
        <v>431</v>
      </c>
      <c r="E768" s="534">
        <v>625.47499800000003</v>
      </c>
    </row>
    <row r="769" spans="2:5" x14ac:dyDescent="0.2">
      <c r="B769" s="533">
        <v>877</v>
      </c>
      <c r="C769" s="541" t="s">
        <v>1894</v>
      </c>
      <c r="D769" s="656" t="s">
        <v>431</v>
      </c>
      <c r="E769" s="534">
        <v>640.07777899999996</v>
      </c>
    </row>
    <row r="770" spans="2:5" x14ac:dyDescent="0.2">
      <c r="B770" s="533">
        <v>878</v>
      </c>
      <c r="C770" s="541" t="s">
        <v>1424</v>
      </c>
      <c r="D770" s="656" t="s">
        <v>438</v>
      </c>
      <c r="E770" s="534">
        <v>616.98749499999997</v>
      </c>
    </row>
    <row r="771" spans="2:5" x14ac:dyDescent="0.2">
      <c r="B771" s="533">
        <v>879</v>
      </c>
      <c r="C771" s="541" t="s">
        <v>1682</v>
      </c>
      <c r="D771" s="656" t="s">
        <v>438</v>
      </c>
      <c r="E771" s="534">
        <v>632.02500899999995</v>
      </c>
    </row>
    <row r="772" spans="2:5" x14ac:dyDescent="0.2">
      <c r="B772" s="533">
        <v>880</v>
      </c>
      <c r="C772" s="541" t="s">
        <v>7365</v>
      </c>
      <c r="D772" s="656" t="s">
        <v>438</v>
      </c>
      <c r="E772" s="534">
        <v>596.79998799999998</v>
      </c>
    </row>
    <row r="773" spans="2:5" x14ac:dyDescent="0.2">
      <c r="B773" s="533">
        <v>881</v>
      </c>
      <c r="C773" s="541" t="s">
        <v>1142</v>
      </c>
      <c r="D773" s="656" t="s">
        <v>438</v>
      </c>
      <c r="E773" s="534">
        <v>601.15999799999997</v>
      </c>
    </row>
    <row r="774" spans="2:5" x14ac:dyDescent="0.2">
      <c r="B774" s="533">
        <v>882</v>
      </c>
      <c r="C774" s="541" t="s">
        <v>6487</v>
      </c>
      <c r="D774" s="656" t="s">
        <v>438</v>
      </c>
      <c r="E774" s="534">
        <v>668.78332999999998</v>
      </c>
    </row>
    <row r="775" spans="2:5" x14ac:dyDescent="0.2">
      <c r="B775" s="533">
        <v>883</v>
      </c>
      <c r="C775" s="541" t="s">
        <v>1940</v>
      </c>
      <c r="D775" s="656" t="s">
        <v>438</v>
      </c>
      <c r="E775" s="534">
        <v>722.45999800000004</v>
      </c>
    </row>
    <row r="776" spans="2:5" x14ac:dyDescent="0.2">
      <c r="B776" s="533">
        <v>884</v>
      </c>
      <c r="C776" s="541" t="s">
        <v>1541</v>
      </c>
      <c r="D776" s="656" t="s">
        <v>441</v>
      </c>
      <c r="E776" s="534">
        <v>623.84997599999997</v>
      </c>
    </row>
    <row r="777" spans="2:5" x14ac:dyDescent="0.2">
      <c r="B777" s="533">
        <v>885</v>
      </c>
      <c r="C777" s="541" t="s">
        <v>7608</v>
      </c>
      <c r="D777" s="656" t="s">
        <v>431</v>
      </c>
      <c r="E777" s="534">
        <v>613.54546000000005</v>
      </c>
    </row>
    <row r="778" spans="2:5" x14ac:dyDescent="0.2">
      <c r="B778" s="533">
        <v>886</v>
      </c>
      <c r="C778" s="541" t="s">
        <v>1364</v>
      </c>
      <c r="D778" s="656" t="s">
        <v>431</v>
      </c>
      <c r="E778" s="534">
        <v>613.82498199999998</v>
      </c>
    </row>
    <row r="779" spans="2:5" x14ac:dyDescent="0.2">
      <c r="B779" s="533">
        <v>887</v>
      </c>
      <c r="C779" s="541" t="s">
        <v>1467</v>
      </c>
      <c r="D779" s="656" t="s">
        <v>431</v>
      </c>
      <c r="E779" s="534">
        <v>619</v>
      </c>
    </row>
    <row r="780" spans="2:5" x14ac:dyDescent="0.2">
      <c r="B780" s="533">
        <v>888</v>
      </c>
      <c r="C780" s="541" t="s">
        <v>1176</v>
      </c>
      <c r="D780" s="656" t="s">
        <v>431</v>
      </c>
      <c r="E780" s="534">
        <v>603.19999199999995</v>
      </c>
    </row>
    <row r="781" spans="2:5" x14ac:dyDescent="0.2">
      <c r="B781" s="533">
        <v>889</v>
      </c>
      <c r="C781" s="541" t="s">
        <v>7466</v>
      </c>
      <c r="D781" s="656" t="s">
        <v>431</v>
      </c>
      <c r="E781" s="534">
        <v>600.17500299999995</v>
      </c>
    </row>
    <row r="782" spans="2:5" x14ac:dyDescent="0.2">
      <c r="B782" s="533">
        <v>890</v>
      </c>
      <c r="C782" s="541" t="s">
        <v>749</v>
      </c>
      <c r="D782" s="656" t="s">
        <v>431</v>
      </c>
      <c r="E782" s="534">
        <v>560.27333599999997</v>
      </c>
    </row>
    <row r="783" spans="2:5" x14ac:dyDescent="0.2">
      <c r="B783" s="533">
        <v>891</v>
      </c>
      <c r="C783" s="541" t="s">
        <v>431</v>
      </c>
      <c r="D783" s="656" t="s">
        <v>431</v>
      </c>
      <c r="E783" s="534">
        <v>553.524136</v>
      </c>
    </row>
    <row r="784" spans="2:5" ht="15" x14ac:dyDescent="0.2">
      <c r="B784" s="531">
        <v>892</v>
      </c>
      <c r="C784" s="541" t="s">
        <v>712</v>
      </c>
      <c r="D784" s="656" t="s">
        <v>431</v>
      </c>
      <c r="E784" s="532">
        <v>545.614284</v>
      </c>
    </row>
    <row r="785" spans="2:5" x14ac:dyDescent="0.2">
      <c r="B785" s="533">
        <v>893</v>
      </c>
      <c r="C785" s="541" t="s">
        <v>1145</v>
      </c>
      <c r="D785" s="656" t="s">
        <v>431</v>
      </c>
      <c r="E785" s="534">
        <v>601.259998</v>
      </c>
    </row>
    <row r="786" spans="2:5" x14ac:dyDescent="0.2">
      <c r="B786" s="533">
        <v>894</v>
      </c>
      <c r="C786" s="541" t="s">
        <v>997</v>
      </c>
      <c r="D786" s="656" t="s">
        <v>431</v>
      </c>
      <c r="E786" s="534">
        <v>589.75715000000002</v>
      </c>
    </row>
    <row r="787" spans="2:5" x14ac:dyDescent="0.2">
      <c r="B787" s="533">
        <v>895</v>
      </c>
      <c r="C787" s="541" t="s">
        <v>2111</v>
      </c>
      <c r="D787" s="656" t="s">
        <v>431</v>
      </c>
      <c r="E787" s="534">
        <v>651.588888</v>
      </c>
    </row>
    <row r="788" spans="2:5" x14ac:dyDescent="0.2">
      <c r="B788" s="533">
        <v>896</v>
      </c>
      <c r="C788" s="541" t="s">
        <v>798</v>
      </c>
      <c r="D788" s="656" t="s">
        <v>438</v>
      </c>
      <c r="E788" s="534">
        <v>646.01667299999997</v>
      </c>
    </row>
    <row r="789" spans="2:5" x14ac:dyDescent="0.2">
      <c r="B789" s="533">
        <v>897</v>
      </c>
      <c r="C789" s="541" t="s">
        <v>1918</v>
      </c>
      <c r="D789" s="656" t="s">
        <v>438</v>
      </c>
      <c r="E789" s="534">
        <v>641.20000300000004</v>
      </c>
    </row>
    <row r="790" spans="2:5" x14ac:dyDescent="0.2">
      <c r="B790" s="533">
        <v>898</v>
      </c>
      <c r="C790" s="541" t="s">
        <v>1050</v>
      </c>
      <c r="D790" s="656" t="s">
        <v>438</v>
      </c>
      <c r="E790" s="534">
        <v>594.6</v>
      </c>
    </row>
    <row r="791" spans="2:5" x14ac:dyDescent="0.2">
      <c r="B791" s="533">
        <v>899</v>
      </c>
      <c r="C791" s="541" t="s">
        <v>1298</v>
      </c>
      <c r="D791" s="656" t="s">
        <v>438</v>
      </c>
      <c r="E791" s="534">
        <v>610.15002400000003</v>
      </c>
    </row>
    <row r="792" spans="2:5" x14ac:dyDescent="0.2">
      <c r="B792" s="533">
        <v>900</v>
      </c>
      <c r="C792" s="541" t="s">
        <v>1261</v>
      </c>
      <c r="D792" s="656" t="s">
        <v>438</v>
      </c>
      <c r="E792" s="534">
        <v>607.65000899999995</v>
      </c>
    </row>
    <row r="793" spans="2:5" x14ac:dyDescent="0.2">
      <c r="B793" s="533">
        <v>901</v>
      </c>
      <c r="C793" s="541" t="s">
        <v>1140</v>
      </c>
      <c r="D793" s="656" t="s">
        <v>438</v>
      </c>
      <c r="E793" s="534">
        <v>600.99998800000003</v>
      </c>
    </row>
    <row r="794" spans="2:5" x14ac:dyDescent="0.2">
      <c r="B794" s="533">
        <v>902</v>
      </c>
      <c r="C794" s="541" t="s">
        <v>2406</v>
      </c>
      <c r="D794" s="656" t="s">
        <v>438</v>
      </c>
      <c r="E794" s="534">
        <v>663</v>
      </c>
    </row>
    <row r="795" spans="2:5" x14ac:dyDescent="0.2">
      <c r="B795" s="533">
        <v>903</v>
      </c>
      <c r="C795" s="541" t="s">
        <v>2045</v>
      </c>
      <c r="D795" s="656" t="s">
        <v>438</v>
      </c>
      <c r="E795" s="534">
        <v>659.10000600000001</v>
      </c>
    </row>
    <row r="796" spans="2:5" x14ac:dyDescent="0.2">
      <c r="B796" s="533">
        <v>904</v>
      </c>
      <c r="C796" s="541" t="s">
        <v>2790</v>
      </c>
      <c r="D796" s="656" t="s">
        <v>438</v>
      </c>
      <c r="E796" s="534">
        <v>681</v>
      </c>
    </row>
    <row r="797" spans="2:5" x14ac:dyDescent="0.2">
      <c r="B797" s="533">
        <v>905</v>
      </c>
      <c r="C797" s="541" t="s">
        <v>2539</v>
      </c>
      <c r="D797" s="656" t="s">
        <v>438</v>
      </c>
      <c r="E797" s="534">
        <v>668.36667899999998</v>
      </c>
    </row>
    <row r="798" spans="2:5" x14ac:dyDescent="0.2">
      <c r="B798" s="533">
        <v>906</v>
      </c>
      <c r="C798" s="541" t="s">
        <v>7085</v>
      </c>
      <c r="D798" s="656" t="s">
        <v>438</v>
      </c>
      <c r="E798" s="534">
        <v>709.07499700000005</v>
      </c>
    </row>
    <row r="799" spans="2:5" x14ac:dyDescent="0.2">
      <c r="B799" s="533">
        <v>907</v>
      </c>
      <c r="C799" s="541" t="s">
        <v>1655</v>
      </c>
      <c r="D799" s="656" t="s">
        <v>438</v>
      </c>
      <c r="E799" s="534">
        <v>696.56001000000003</v>
      </c>
    </row>
    <row r="800" spans="2:5" x14ac:dyDescent="0.2">
      <c r="B800" s="533">
        <v>908</v>
      </c>
      <c r="C800" s="541" t="s">
        <v>1099</v>
      </c>
      <c r="D800" s="656" t="s">
        <v>441</v>
      </c>
      <c r="E800" s="534">
        <v>598.411112</v>
      </c>
    </row>
    <row r="801" spans="2:5" x14ac:dyDescent="0.2">
      <c r="B801" s="533">
        <v>909</v>
      </c>
      <c r="C801" s="541" t="s">
        <v>1251</v>
      </c>
      <c r="D801" s="656" t="s">
        <v>441</v>
      </c>
      <c r="E801" s="534">
        <v>607.14445000000001</v>
      </c>
    </row>
    <row r="802" spans="2:5" x14ac:dyDescent="0.2">
      <c r="B802" s="533">
        <v>910</v>
      </c>
      <c r="C802" s="541" t="s">
        <v>7554</v>
      </c>
      <c r="D802" s="656" t="s">
        <v>431</v>
      </c>
      <c r="E802" s="534">
        <v>615.83332299999995</v>
      </c>
    </row>
    <row r="803" spans="2:5" x14ac:dyDescent="0.2">
      <c r="B803" s="533">
        <v>911</v>
      </c>
      <c r="C803" s="541" t="s">
        <v>1054</v>
      </c>
      <c r="D803" s="656" t="s">
        <v>431</v>
      </c>
      <c r="E803" s="534">
        <v>594.70001200000002</v>
      </c>
    </row>
    <row r="804" spans="2:5" ht="15" x14ac:dyDescent="0.2">
      <c r="B804" s="531">
        <v>912</v>
      </c>
      <c r="C804" s="541" t="s">
        <v>691</v>
      </c>
      <c r="D804" s="656" t="s">
        <v>431</v>
      </c>
      <c r="E804" s="532">
        <v>535.75000999999997</v>
      </c>
    </row>
    <row r="805" spans="2:5" x14ac:dyDescent="0.2">
      <c r="B805" s="533">
        <v>913</v>
      </c>
      <c r="C805" s="541" t="s">
        <v>753</v>
      </c>
      <c r="D805" s="656" t="s">
        <v>431</v>
      </c>
      <c r="E805" s="534">
        <v>561.04000199999996</v>
      </c>
    </row>
    <row r="806" spans="2:5" x14ac:dyDescent="0.2">
      <c r="B806" s="533">
        <v>914</v>
      </c>
      <c r="C806" s="541" t="s">
        <v>1189</v>
      </c>
      <c r="D806" s="656" t="s">
        <v>431</v>
      </c>
      <c r="E806" s="534">
        <v>621.48332700000003</v>
      </c>
    </row>
    <row r="807" spans="2:5" x14ac:dyDescent="0.2">
      <c r="B807" s="533">
        <v>915</v>
      </c>
      <c r="C807" s="541" t="s">
        <v>6767</v>
      </c>
      <c r="D807" s="656" t="s">
        <v>438</v>
      </c>
      <c r="E807" s="534">
        <v>595.06667100000004</v>
      </c>
    </row>
    <row r="808" spans="2:5" x14ac:dyDescent="0.2">
      <c r="B808" s="533">
        <v>916</v>
      </c>
      <c r="C808" s="541" t="s">
        <v>6833</v>
      </c>
      <c r="D808" s="656" t="s">
        <v>438</v>
      </c>
      <c r="E808" s="534">
        <v>636.97500600000001</v>
      </c>
    </row>
    <row r="809" spans="2:5" x14ac:dyDescent="0.2">
      <c r="B809" s="533">
        <v>917</v>
      </c>
      <c r="C809" s="541" t="s">
        <v>7610</v>
      </c>
      <c r="D809" s="656" t="s">
        <v>438</v>
      </c>
      <c r="E809" s="534">
        <v>612.17500299999995</v>
      </c>
    </row>
    <row r="810" spans="2:5" x14ac:dyDescent="0.2">
      <c r="B810" s="533">
        <v>918</v>
      </c>
      <c r="C810" s="541" t="s">
        <v>6513</v>
      </c>
      <c r="D810" s="656" t="s">
        <v>438</v>
      </c>
      <c r="E810" s="534">
        <v>595.79332299999999</v>
      </c>
    </row>
    <row r="811" spans="2:5" x14ac:dyDescent="0.2">
      <c r="B811" s="533">
        <v>919</v>
      </c>
      <c r="C811" s="541" t="s">
        <v>1884</v>
      </c>
      <c r="D811" s="656" t="s">
        <v>438</v>
      </c>
      <c r="E811" s="534">
        <v>639.614284</v>
      </c>
    </row>
    <row r="812" spans="2:5" x14ac:dyDescent="0.2">
      <c r="B812" s="533">
        <v>920</v>
      </c>
      <c r="C812" s="541" t="s">
        <v>1900</v>
      </c>
      <c r="D812" s="656" t="s">
        <v>438</v>
      </c>
      <c r="E812" s="534">
        <v>640.20001200000002</v>
      </c>
    </row>
    <row r="813" spans="2:5" x14ac:dyDescent="0.2">
      <c r="B813" s="533">
        <v>921</v>
      </c>
      <c r="C813" s="541" t="s">
        <v>6556</v>
      </c>
      <c r="D813" s="656" t="s">
        <v>438</v>
      </c>
      <c r="E813" s="534">
        <v>631.06001000000003</v>
      </c>
    </row>
    <row r="814" spans="2:5" x14ac:dyDescent="0.2">
      <c r="B814" s="533">
        <v>922</v>
      </c>
      <c r="C814" s="541" t="s">
        <v>1824</v>
      </c>
      <c r="D814" s="656" t="s">
        <v>438</v>
      </c>
      <c r="E814" s="534">
        <v>637.14999399999999</v>
      </c>
    </row>
    <row r="815" spans="2:5" x14ac:dyDescent="0.2">
      <c r="B815" s="533">
        <v>923</v>
      </c>
      <c r="C815" s="541" t="s">
        <v>6647</v>
      </c>
      <c r="D815" s="656" t="s">
        <v>438</v>
      </c>
      <c r="E815" s="534">
        <v>659.69998199999998</v>
      </c>
    </row>
    <row r="816" spans="2:5" x14ac:dyDescent="0.2">
      <c r="B816" s="533">
        <v>924</v>
      </c>
      <c r="C816" s="541" t="s">
        <v>1525</v>
      </c>
      <c r="D816" s="656" t="s">
        <v>438</v>
      </c>
      <c r="E816" s="534">
        <v>635.32857000000001</v>
      </c>
    </row>
    <row r="817" spans="2:5" x14ac:dyDescent="0.2">
      <c r="B817" s="533">
        <v>925</v>
      </c>
      <c r="C817" s="541" t="s">
        <v>2448</v>
      </c>
      <c r="D817" s="656" t="s">
        <v>438</v>
      </c>
      <c r="E817" s="534">
        <v>664.37142500000004</v>
      </c>
    </row>
    <row r="818" spans="2:5" x14ac:dyDescent="0.2">
      <c r="B818" s="533">
        <v>926</v>
      </c>
      <c r="C818" s="541" t="s">
        <v>6593</v>
      </c>
      <c r="D818" s="656" t="s">
        <v>441</v>
      </c>
      <c r="E818" s="534">
        <v>615.24615900000003</v>
      </c>
    </row>
    <row r="819" spans="2:5" x14ac:dyDescent="0.2">
      <c r="B819" s="533">
        <v>927</v>
      </c>
      <c r="C819" s="541" t="s">
        <v>1275</v>
      </c>
      <c r="D819" s="656" t="s">
        <v>431</v>
      </c>
      <c r="E819" s="534">
        <v>608.64999399999999</v>
      </c>
    </row>
    <row r="820" spans="2:5" x14ac:dyDescent="0.2">
      <c r="B820" s="533">
        <v>928</v>
      </c>
      <c r="C820" s="541" t="s">
        <v>876</v>
      </c>
      <c r="D820" s="656" t="s">
        <v>431</v>
      </c>
      <c r="E820" s="534">
        <v>578.14999399999999</v>
      </c>
    </row>
    <row r="821" spans="2:5" x14ac:dyDescent="0.2">
      <c r="B821" s="533">
        <v>929</v>
      </c>
      <c r="C821" s="541" t="s">
        <v>888</v>
      </c>
      <c r="D821" s="656" t="s">
        <v>431</v>
      </c>
      <c r="E821" s="534">
        <v>579.41999499999997</v>
      </c>
    </row>
    <row r="822" spans="2:5" x14ac:dyDescent="0.2">
      <c r="B822" s="533">
        <v>930</v>
      </c>
      <c r="C822" s="541" t="s">
        <v>807</v>
      </c>
      <c r="D822" s="656" t="s">
        <v>431</v>
      </c>
      <c r="E822" s="534">
        <v>570.40002400000003</v>
      </c>
    </row>
    <row r="823" spans="2:5" x14ac:dyDescent="0.2">
      <c r="B823" s="533">
        <v>931</v>
      </c>
      <c r="C823" s="541" t="s">
        <v>742</v>
      </c>
      <c r="D823" s="656" t="s">
        <v>431</v>
      </c>
      <c r="E823" s="534">
        <v>557.71665399999995</v>
      </c>
    </row>
    <row r="824" spans="2:5" ht="15" x14ac:dyDescent="0.2">
      <c r="B824" s="531">
        <v>932</v>
      </c>
      <c r="C824" s="541" t="s">
        <v>696</v>
      </c>
      <c r="D824" s="656" t="s">
        <v>431</v>
      </c>
      <c r="E824" s="532">
        <v>540.08499500000005</v>
      </c>
    </row>
    <row r="825" spans="2:5" ht="15" x14ac:dyDescent="0.2">
      <c r="B825" s="531">
        <v>933</v>
      </c>
      <c r="C825" s="541" t="s">
        <v>677</v>
      </c>
      <c r="D825" s="656" t="s">
        <v>431</v>
      </c>
      <c r="E825" s="532">
        <v>527.68181300000003</v>
      </c>
    </row>
    <row r="826" spans="2:5" x14ac:dyDescent="0.2">
      <c r="B826" s="533">
        <v>934</v>
      </c>
      <c r="C826" s="541" t="s">
        <v>724</v>
      </c>
      <c r="D826" s="656" t="s">
        <v>431</v>
      </c>
      <c r="E826" s="534">
        <v>550.58823199999995</v>
      </c>
    </row>
    <row r="827" spans="2:5" x14ac:dyDescent="0.2">
      <c r="B827" s="533">
        <v>935</v>
      </c>
      <c r="C827" s="541" t="s">
        <v>726</v>
      </c>
      <c r="D827" s="656" t="s">
        <v>431</v>
      </c>
      <c r="E827" s="534">
        <v>551.93998999999997</v>
      </c>
    </row>
    <row r="828" spans="2:5" x14ac:dyDescent="0.2">
      <c r="B828" s="533">
        <v>936</v>
      </c>
      <c r="C828" s="541" t="s">
        <v>793</v>
      </c>
      <c r="D828" s="656" t="s">
        <v>431</v>
      </c>
      <c r="E828" s="534">
        <v>567.23749499999997</v>
      </c>
    </row>
    <row r="829" spans="2:5" x14ac:dyDescent="0.2">
      <c r="B829" s="533">
        <v>937</v>
      </c>
      <c r="C829" s="541" t="s">
        <v>877</v>
      </c>
      <c r="D829" s="656" t="s">
        <v>438</v>
      </c>
      <c r="E829" s="534">
        <v>578.23331700000006</v>
      </c>
    </row>
    <row r="830" spans="2:5" x14ac:dyDescent="0.2">
      <c r="B830" s="533">
        <v>938</v>
      </c>
      <c r="C830" s="541" t="s">
        <v>955</v>
      </c>
      <c r="D830" s="656" t="s">
        <v>438</v>
      </c>
      <c r="E830" s="534">
        <v>585.40000199999997</v>
      </c>
    </row>
    <row r="831" spans="2:5" x14ac:dyDescent="0.2">
      <c r="B831" s="533">
        <v>939</v>
      </c>
      <c r="C831" s="541" t="s">
        <v>833</v>
      </c>
      <c r="D831" s="656" t="s">
        <v>438</v>
      </c>
      <c r="E831" s="534">
        <v>574.05712900000003</v>
      </c>
    </row>
    <row r="832" spans="2:5" x14ac:dyDescent="0.2">
      <c r="B832" s="533">
        <v>940</v>
      </c>
      <c r="C832" s="541" t="s">
        <v>1112</v>
      </c>
      <c r="D832" s="656" t="s">
        <v>438</v>
      </c>
      <c r="E832" s="534">
        <v>599.06666099999995</v>
      </c>
    </row>
    <row r="833" spans="2:5" x14ac:dyDescent="0.2">
      <c r="B833" s="533">
        <v>941</v>
      </c>
      <c r="C833" s="541" t="s">
        <v>1025</v>
      </c>
      <c r="D833" s="656" t="s">
        <v>438</v>
      </c>
      <c r="E833" s="534">
        <v>592.32499700000005</v>
      </c>
    </row>
    <row r="834" spans="2:5" x14ac:dyDescent="0.2">
      <c r="B834" s="533">
        <v>942</v>
      </c>
      <c r="C834" s="541" t="s">
        <v>943</v>
      </c>
      <c r="D834" s="656" t="s">
        <v>438</v>
      </c>
      <c r="E834" s="534">
        <v>584.36665900000003</v>
      </c>
    </row>
    <row r="835" spans="2:5" x14ac:dyDescent="0.2">
      <c r="B835" s="533">
        <v>943</v>
      </c>
      <c r="C835" s="541" t="s">
        <v>1110</v>
      </c>
      <c r="D835" s="656" t="s">
        <v>438</v>
      </c>
      <c r="E835" s="534">
        <v>598.83999800000004</v>
      </c>
    </row>
    <row r="836" spans="2:5" x14ac:dyDescent="0.2">
      <c r="B836" s="533">
        <v>944</v>
      </c>
      <c r="C836" s="541" t="s">
        <v>840</v>
      </c>
      <c r="D836" s="656" t="s">
        <v>438</v>
      </c>
      <c r="E836" s="534">
        <v>574.59997599999997</v>
      </c>
    </row>
    <row r="837" spans="2:5" x14ac:dyDescent="0.2">
      <c r="B837" s="533">
        <v>945</v>
      </c>
      <c r="C837" s="541" t="s">
        <v>7429</v>
      </c>
      <c r="D837" s="656" t="s">
        <v>438</v>
      </c>
      <c r="E837" s="534">
        <v>637</v>
      </c>
    </row>
    <row r="838" spans="2:5" x14ac:dyDescent="0.2">
      <c r="B838" s="533">
        <v>946</v>
      </c>
      <c r="C838" s="541" t="s">
        <v>1464</v>
      </c>
      <c r="D838" s="656" t="s">
        <v>438</v>
      </c>
      <c r="E838" s="534">
        <v>618.85000600000001</v>
      </c>
    </row>
    <row r="839" spans="2:5" x14ac:dyDescent="0.2">
      <c r="B839" s="533">
        <v>947</v>
      </c>
      <c r="C839" s="541" t="s">
        <v>1835</v>
      </c>
      <c r="D839" s="656" t="s">
        <v>438</v>
      </c>
      <c r="E839" s="534">
        <v>637.55001800000002</v>
      </c>
    </row>
    <row r="840" spans="2:5" x14ac:dyDescent="0.2">
      <c r="B840" s="533">
        <v>948</v>
      </c>
      <c r="C840" s="541" t="s">
        <v>7135</v>
      </c>
      <c r="D840" s="656" t="s">
        <v>438</v>
      </c>
      <c r="E840" s="534">
        <v>658.41666699999996</v>
      </c>
    </row>
    <row r="841" spans="2:5" x14ac:dyDescent="0.2">
      <c r="B841" s="533">
        <v>949</v>
      </c>
      <c r="C841" s="541" t="s">
        <v>1445</v>
      </c>
      <c r="D841" s="656" t="s">
        <v>441</v>
      </c>
      <c r="E841" s="534">
        <v>617.89999799999998</v>
      </c>
    </row>
    <row r="842" spans="2:5" x14ac:dyDescent="0.2">
      <c r="B842" s="533">
        <v>950</v>
      </c>
      <c r="C842" s="541" t="s">
        <v>1452</v>
      </c>
      <c r="D842" s="656" t="s">
        <v>441</v>
      </c>
      <c r="E842" s="534">
        <v>618.29999899999996</v>
      </c>
    </row>
    <row r="843" spans="2:5" x14ac:dyDescent="0.2">
      <c r="B843" s="533">
        <v>951</v>
      </c>
      <c r="C843" s="541" t="s">
        <v>1235</v>
      </c>
      <c r="D843" s="656" t="s">
        <v>431</v>
      </c>
      <c r="E843" s="534">
        <v>606.35999800000002</v>
      </c>
    </row>
    <row r="844" spans="2:5" x14ac:dyDescent="0.2">
      <c r="B844" s="533">
        <v>952</v>
      </c>
      <c r="C844" s="541" t="s">
        <v>752</v>
      </c>
      <c r="D844" s="656" t="s">
        <v>431</v>
      </c>
      <c r="E844" s="534">
        <v>560.89999399999999</v>
      </c>
    </row>
    <row r="845" spans="2:5" ht="15" x14ac:dyDescent="0.2">
      <c r="B845" s="531">
        <v>953</v>
      </c>
      <c r="C845" s="541" t="s">
        <v>723</v>
      </c>
      <c r="D845" s="656" t="s">
        <v>431</v>
      </c>
      <c r="E845" s="532">
        <v>549.49999100000002</v>
      </c>
    </row>
    <row r="846" spans="2:5" ht="15" x14ac:dyDescent="0.2">
      <c r="B846" s="531">
        <v>954</v>
      </c>
      <c r="C846" s="541" t="s">
        <v>6976</v>
      </c>
      <c r="D846" s="656" t="s">
        <v>431</v>
      </c>
      <c r="E846" s="532">
        <v>526.19999700000005</v>
      </c>
    </row>
    <row r="847" spans="2:5" ht="15" x14ac:dyDescent="0.2">
      <c r="B847" s="531">
        <v>955</v>
      </c>
      <c r="C847" s="541" t="s">
        <v>678</v>
      </c>
      <c r="D847" s="656" t="s">
        <v>431</v>
      </c>
      <c r="E847" s="532">
        <v>527.91249800000003</v>
      </c>
    </row>
    <row r="848" spans="2:5" ht="15" x14ac:dyDescent="0.2">
      <c r="B848" s="531">
        <v>956</v>
      </c>
      <c r="C848" s="541" t="s">
        <v>722</v>
      </c>
      <c r="D848" s="656" t="s">
        <v>431</v>
      </c>
      <c r="E848" s="532">
        <v>548.90714400000002</v>
      </c>
    </row>
    <row r="849" spans="2:5" x14ac:dyDescent="0.2">
      <c r="B849" s="533">
        <v>957</v>
      </c>
      <c r="C849" s="541" t="s">
        <v>6681</v>
      </c>
      <c r="D849" s="656" t="s">
        <v>431</v>
      </c>
      <c r="E849" s="534">
        <v>565.65000399999997</v>
      </c>
    </row>
    <row r="850" spans="2:5" x14ac:dyDescent="0.2">
      <c r="B850" s="533">
        <v>958</v>
      </c>
      <c r="C850" s="541" t="s">
        <v>842</v>
      </c>
      <c r="D850" s="656" t="s">
        <v>431</v>
      </c>
      <c r="E850" s="534">
        <v>574.875</v>
      </c>
    </row>
    <row r="851" spans="2:5" x14ac:dyDescent="0.2">
      <c r="B851" s="533">
        <v>959</v>
      </c>
      <c r="C851" s="541" t="s">
        <v>1093</v>
      </c>
      <c r="D851" s="656" t="s">
        <v>438</v>
      </c>
      <c r="E851" s="534">
        <v>597.85999800000002</v>
      </c>
    </row>
    <row r="852" spans="2:5" x14ac:dyDescent="0.2">
      <c r="B852" s="533">
        <v>960</v>
      </c>
      <c r="C852" s="541" t="s">
        <v>1171</v>
      </c>
      <c r="D852" s="656" t="s">
        <v>438</v>
      </c>
      <c r="E852" s="534">
        <v>602.96667500000001</v>
      </c>
    </row>
    <row r="853" spans="2:5" x14ac:dyDescent="0.2">
      <c r="B853" s="533">
        <v>961</v>
      </c>
      <c r="C853" s="541" t="s">
        <v>1269</v>
      </c>
      <c r="D853" s="656" t="s">
        <v>438</v>
      </c>
      <c r="E853" s="534">
        <v>608.28999599999997</v>
      </c>
    </row>
    <row r="854" spans="2:5" x14ac:dyDescent="0.2">
      <c r="B854" s="533">
        <v>962</v>
      </c>
      <c r="C854" s="541" t="s">
        <v>1105</v>
      </c>
      <c r="D854" s="656" t="s">
        <v>438</v>
      </c>
      <c r="E854" s="534">
        <v>598.52999899999998</v>
      </c>
    </row>
    <row r="855" spans="2:5" x14ac:dyDescent="0.2">
      <c r="B855" s="533">
        <v>963</v>
      </c>
      <c r="C855" s="541" t="s">
        <v>1094</v>
      </c>
      <c r="D855" s="656" t="s">
        <v>438</v>
      </c>
      <c r="E855" s="534">
        <v>597.99999200000002</v>
      </c>
    </row>
    <row r="856" spans="2:5" x14ac:dyDescent="0.2">
      <c r="B856" s="533">
        <v>964</v>
      </c>
      <c r="C856" s="541" t="s">
        <v>1660</v>
      </c>
      <c r="D856" s="656" t="s">
        <v>438</v>
      </c>
      <c r="E856" s="534">
        <v>630.70001200000002</v>
      </c>
    </row>
    <row r="857" spans="2:5" x14ac:dyDescent="0.2">
      <c r="B857" s="533">
        <v>965</v>
      </c>
      <c r="C857" s="541" t="s">
        <v>869</v>
      </c>
      <c r="D857" s="656" t="s">
        <v>438</v>
      </c>
      <c r="E857" s="534">
        <v>577.55000299999995</v>
      </c>
    </row>
    <row r="858" spans="2:5" x14ac:dyDescent="0.2">
      <c r="B858" s="533">
        <v>966</v>
      </c>
      <c r="C858" s="541" t="s">
        <v>1033</v>
      </c>
      <c r="D858" s="656" t="s">
        <v>438</v>
      </c>
      <c r="E858" s="534">
        <v>632.214294</v>
      </c>
    </row>
    <row r="859" spans="2:5" x14ac:dyDescent="0.2">
      <c r="B859" s="533">
        <v>967</v>
      </c>
      <c r="C859" s="541" t="s">
        <v>1159</v>
      </c>
      <c r="D859" s="656" t="s">
        <v>438</v>
      </c>
      <c r="E859" s="534">
        <v>602.11998300000005</v>
      </c>
    </row>
    <row r="860" spans="2:5" x14ac:dyDescent="0.2">
      <c r="B860" s="533">
        <v>968</v>
      </c>
      <c r="C860" s="541" t="s">
        <v>1325</v>
      </c>
      <c r="D860" s="656" t="s">
        <v>438</v>
      </c>
      <c r="E860" s="534">
        <v>611.70001200000002</v>
      </c>
    </row>
    <row r="861" spans="2:5" x14ac:dyDescent="0.2">
      <c r="B861" s="533">
        <v>969</v>
      </c>
      <c r="C861" s="541" t="s">
        <v>7430</v>
      </c>
      <c r="D861" s="656" t="s">
        <v>438</v>
      </c>
      <c r="E861" s="534">
        <v>643.66001000000006</v>
      </c>
    </row>
    <row r="862" spans="2:5" x14ac:dyDescent="0.2">
      <c r="B862" s="533">
        <v>970</v>
      </c>
      <c r="C862" s="541" t="s">
        <v>2185</v>
      </c>
      <c r="D862" s="656" t="s">
        <v>438</v>
      </c>
      <c r="E862" s="534">
        <v>652.69999700000005</v>
      </c>
    </row>
    <row r="863" spans="2:5" x14ac:dyDescent="0.2">
      <c r="B863" s="533">
        <v>971</v>
      </c>
      <c r="C863" s="541" t="s">
        <v>2104</v>
      </c>
      <c r="D863" s="656" t="s">
        <v>441</v>
      </c>
      <c r="E863" s="534">
        <v>649.20001200000002</v>
      </c>
    </row>
    <row r="864" spans="2:5" x14ac:dyDescent="0.2">
      <c r="B864" s="533">
        <v>972</v>
      </c>
      <c r="C864" s="541" t="s">
        <v>7190</v>
      </c>
      <c r="D864" s="656" t="s">
        <v>441</v>
      </c>
      <c r="E864" s="534">
        <v>645.89000199999998</v>
      </c>
    </row>
    <row r="865" spans="2:5" x14ac:dyDescent="0.2">
      <c r="B865" s="533">
        <v>973</v>
      </c>
      <c r="C865" s="541" t="s">
        <v>1967</v>
      </c>
      <c r="D865" s="656" t="s">
        <v>441</v>
      </c>
      <c r="E865" s="534">
        <v>642.62222599999996</v>
      </c>
    </row>
    <row r="866" spans="2:5" x14ac:dyDescent="0.2">
      <c r="B866" s="533">
        <v>974</v>
      </c>
      <c r="C866" s="541" t="s">
        <v>6771</v>
      </c>
      <c r="D866" s="656" t="s">
        <v>441</v>
      </c>
      <c r="E866" s="534">
        <v>596.96364000000005</v>
      </c>
    </row>
    <row r="867" spans="2:5" x14ac:dyDescent="0.2">
      <c r="B867" s="533">
        <v>975</v>
      </c>
      <c r="C867" s="541" t="s">
        <v>6521</v>
      </c>
      <c r="D867" s="656" t="s">
        <v>431</v>
      </c>
      <c r="E867" s="534">
        <v>568.125</v>
      </c>
    </row>
    <row r="868" spans="2:5" x14ac:dyDescent="0.2">
      <c r="B868" s="533">
        <v>976</v>
      </c>
      <c r="C868" s="541" t="s">
        <v>803</v>
      </c>
      <c r="D868" s="656" t="s">
        <v>431</v>
      </c>
      <c r="E868" s="534">
        <v>569.44546200000002</v>
      </c>
    </row>
    <row r="869" spans="2:5" x14ac:dyDescent="0.2">
      <c r="B869" s="533">
        <v>977</v>
      </c>
      <c r="C869" s="541" t="s">
        <v>779</v>
      </c>
      <c r="D869" s="656" t="s">
        <v>431</v>
      </c>
      <c r="E869" s="534">
        <v>565.03749800000003</v>
      </c>
    </row>
    <row r="870" spans="2:5" x14ac:dyDescent="0.2">
      <c r="B870" s="533">
        <v>978</v>
      </c>
      <c r="C870" s="541" t="s">
        <v>736</v>
      </c>
      <c r="D870" s="656" t="s">
        <v>431</v>
      </c>
      <c r="E870" s="534">
        <v>554.9375</v>
      </c>
    </row>
    <row r="871" spans="2:5" ht="15" x14ac:dyDescent="0.2">
      <c r="B871" s="531">
        <v>979</v>
      </c>
      <c r="C871" s="541" t="s">
        <v>707</v>
      </c>
      <c r="D871" s="656" t="s">
        <v>431</v>
      </c>
      <c r="E871" s="532">
        <v>543.13332100000002</v>
      </c>
    </row>
    <row r="872" spans="2:5" ht="15" x14ac:dyDescent="0.2">
      <c r="B872" s="531">
        <v>980</v>
      </c>
      <c r="C872" s="541" t="s">
        <v>674</v>
      </c>
      <c r="D872" s="656" t="s">
        <v>431</v>
      </c>
      <c r="E872" s="532">
        <v>525.30833900000005</v>
      </c>
    </row>
    <row r="873" spans="2:5" x14ac:dyDescent="0.2">
      <c r="B873" s="533">
        <v>981</v>
      </c>
      <c r="C873" s="541" t="s">
        <v>1001</v>
      </c>
      <c r="D873" s="656" t="s">
        <v>431</v>
      </c>
      <c r="E873" s="534">
        <v>590.09999600000003</v>
      </c>
    </row>
    <row r="874" spans="2:5" x14ac:dyDescent="0.2">
      <c r="B874" s="533">
        <v>982</v>
      </c>
      <c r="C874" s="541" t="s">
        <v>1141</v>
      </c>
      <c r="D874" s="656" t="s">
        <v>431</v>
      </c>
      <c r="E874" s="534">
        <v>601.10000600000001</v>
      </c>
    </row>
    <row r="875" spans="2:5" x14ac:dyDescent="0.2">
      <c r="B875" s="533">
        <v>983</v>
      </c>
      <c r="C875" s="541" t="s">
        <v>2172</v>
      </c>
      <c r="D875" s="656" t="s">
        <v>431</v>
      </c>
      <c r="E875" s="534">
        <v>652.20001200000002</v>
      </c>
    </row>
    <row r="876" spans="2:5" x14ac:dyDescent="0.2">
      <c r="B876" s="533">
        <v>984</v>
      </c>
      <c r="C876" s="541" t="s">
        <v>1789</v>
      </c>
      <c r="D876" s="656" t="s">
        <v>438</v>
      </c>
      <c r="E876" s="534">
        <v>635.93332899999996</v>
      </c>
    </row>
    <row r="877" spans="2:5" x14ac:dyDescent="0.2">
      <c r="B877" s="533">
        <v>985</v>
      </c>
      <c r="C877" s="541" t="s">
        <v>2215</v>
      </c>
      <c r="D877" s="656" t="s">
        <v>438</v>
      </c>
      <c r="E877" s="534">
        <v>654</v>
      </c>
    </row>
    <row r="878" spans="2:5" x14ac:dyDescent="0.2">
      <c r="B878" s="533">
        <v>986</v>
      </c>
      <c r="C878" s="541" t="s">
        <v>1723</v>
      </c>
      <c r="D878" s="656" t="s">
        <v>438</v>
      </c>
      <c r="E878" s="534">
        <v>633.63332100000002</v>
      </c>
    </row>
    <row r="879" spans="2:5" x14ac:dyDescent="0.2">
      <c r="B879" s="533">
        <v>987</v>
      </c>
      <c r="C879" s="541" t="s">
        <v>2027</v>
      </c>
      <c r="D879" s="656" t="s">
        <v>438</v>
      </c>
      <c r="E879" s="534">
        <v>644.62000699999999</v>
      </c>
    </row>
    <row r="880" spans="2:5" x14ac:dyDescent="0.2">
      <c r="B880" s="533">
        <v>988</v>
      </c>
      <c r="C880" s="541" t="s">
        <v>2465</v>
      </c>
      <c r="D880" s="656" t="s">
        <v>438</v>
      </c>
      <c r="E880" s="534">
        <v>664.89999399999999</v>
      </c>
    </row>
    <row r="881" spans="2:5" x14ac:dyDescent="0.2">
      <c r="B881" s="533">
        <v>989</v>
      </c>
      <c r="C881" s="541" t="s">
        <v>900</v>
      </c>
      <c r="D881" s="656" t="s">
        <v>438</v>
      </c>
      <c r="E881" s="534">
        <v>630.08333300000004</v>
      </c>
    </row>
    <row r="882" spans="2:5" x14ac:dyDescent="0.2">
      <c r="B882" s="533">
        <v>990</v>
      </c>
      <c r="C882" s="541" t="s">
        <v>2325</v>
      </c>
      <c r="D882" s="656" t="s">
        <v>438</v>
      </c>
      <c r="E882" s="534">
        <v>659.03333499999997</v>
      </c>
    </row>
    <row r="883" spans="2:5" x14ac:dyDescent="0.2">
      <c r="B883" s="533">
        <v>991</v>
      </c>
      <c r="C883" s="541" t="s">
        <v>2738</v>
      </c>
      <c r="D883" s="656" t="s">
        <v>438</v>
      </c>
      <c r="E883" s="534">
        <v>678.07501200000002</v>
      </c>
    </row>
    <row r="884" spans="2:5" x14ac:dyDescent="0.2">
      <c r="B884" s="533">
        <v>992</v>
      </c>
      <c r="C884" s="541" t="s">
        <v>1564</v>
      </c>
      <c r="D884" s="656" t="s">
        <v>438</v>
      </c>
      <c r="E884" s="534">
        <v>624.80555600000002</v>
      </c>
    </row>
    <row r="885" spans="2:5" x14ac:dyDescent="0.2">
      <c r="B885" s="533">
        <v>993</v>
      </c>
      <c r="C885" s="541" t="s">
        <v>962</v>
      </c>
      <c r="D885" s="656" t="s">
        <v>438</v>
      </c>
      <c r="E885" s="534">
        <v>616</v>
      </c>
    </row>
    <row r="886" spans="2:5" x14ac:dyDescent="0.2">
      <c r="B886" s="533">
        <v>994</v>
      </c>
      <c r="C886" s="541" t="s">
        <v>1614</v>
      </c>
      <c r="D886" s="656" t="s">
        <v>438</v>
      </c>
      <c r="E886" s="534">
        <v>627.66998899999999</v>
      </c>
    </row>
    <row r="887" spans="2:5" x14ac:dyDescent="0.2">
      <c r="B887" s="533">
        <v>995</v>
      </c>
      <c r="C887" s="541" t="s">
        <v>1834</v>
      </c>
      <c r="D887" s="656" t="s">
        <v>441</v>
      </c>
      <c r="E887" s="534">
        <v>637.48571800000002</v>
      </c>
    </row>
    <row r="888" spans="2:5" x14ac:dyDescent="0.2">
      <c r="B888" s="533">
        <v>996</v>
      </c>
      <c r="C888" s="541" t="s">
        <v>1375</v>
      </c>
      <c r="D888" s="656" t="s">
        <v>441</v>
      </c>
      <c r="E888" s="534">
        <v>614.16001000000006</v>
      </c>
    </row>
    <row r="889" spans="2:5" x14ac:dyDescent="0.2">
      <c r="B889" s="533">
        <v>997</v>
      </c>
      <c r="C889" s="541" t="s">
        <v>6710</v>
      </c>
      <c r="D889" s="656" t="s">
        <v>431</v>
      </c>
      <c r="E889" s="534">
        <v>571.64999899999998</v>
      </c>
    </row>
    <row r="890" spans="2:5" x14ac:dyDescent="0.2">
      <c r="B890" s="533">
        <v>998</v>
      </c>
      <c r="C890" s="541" t="s">
        <v>854</v>
      </c>
      <c r="D890" s="656" t="s">
        <v>431</v>
      </c>
      <c r="E890" s="534">
        <v>575.91428900000005</v>
      </c>
    </row>
    <row r="891" spans="2:5" ht="15" x14ac:dyDescent="0.2">
      <c r="B891" s="531">
        <v>999</v>
      </c>
      <c r="C891" s="541" t="s">
        <v>683</v>
      </c>
      <c r="D891" s="656" t="s">
        <v>431</v>
      </c>
      <c r="E891" s="532">
        <v>529.95001200000002</v>
      </c>
    </row>
    <row r="892" spans="2:5" ht="15" x14ac:dyDescent="0.2">
      <c r="B892" s="531">
        <v>1000</v>
      </c>
      <c r="C892" s="541" t="s">
        <v>685</v>
      </c>
      <c r="D892" s="656" t="s">
        <v>431</v>
      </c>
      <c r="E892" s="532">
        <v>531.55999799999995</v>
      </c>
    </row>
    <row r="893" spans="2:5" ht="15" x14ac:dyDescent="0.2">
      <c r="B893" s="531">
        <v>1001</v>
      </c>
      <c r="C893" s="541" t="s">
        <v>670</v>
      </c>
      <c r="D893" s="656" t="s">
        <v>431</v>
      </c>
      <c r="E893" s="532">
        <v>523.25454400000001</v>
      </c>
    </row>
    <row r="894" spans="2:5" ht="15" x14ac:dyDescent="0.2">
      <c r="B894" s="531">
        <v>1002</v>
      </c>
      <c r="C894" s="541" t="s">
        <v>669</v>
      </c>
      <c r="D894" s="656" t="s">
        <v>431</v>
      </c>
      <c r="E894" s="532">
        <v>521.75</v>
      </c>
    </row>
    <row r="895" spans="2:5" x14ac:dyDescent="0.2">
      <c r="B895" s="533">
        <v>1003</v>
      </c>
      <c r="C895" s="541" t="s">
        <v>733</v>
      </c>
      <c r="D895" s="656" t="s">
        <v>431</v>
      </c>
      <c r="E895" s="534">
        <v>554.07271500000002</v>
      </c>
    </row>
    <row r="896" spans="2:5" x14ac:dyDescent="0.2">
      <c r="B896" s="533">
        <v>1004</v>
      </c>
      <c r="C896" s="541" t="s">
        <v>998</v>
      </c>
      <c r="D896" s="656" t="s">
        <v>431</v>
      </c>
      <c r="E896" s="534">
        <v>589.86665900000003</v>
      </c>
    </row>
    <row r="897" spans="2:5" x14ac:dyDescent="0.2">
      <c r="B897" s="533">
        <v>1005</v>
      </c>
      <c r="C897" s="541" t="s">
        <v>1351</v>
      </c>
      <c r="D897" s="656" t="s">
        <v>431</v>
      </c>
      <c r="E897" s="534">
        <v>613.09999600000003</v>
      </c>
    </row>
    <row r="898" spans="2:5" x14ac:dyDescent="0.2">
      <c r="B898" s="533">
        <v>1006</v>
      </c>
      <c r="C898" s="541" t="s">
        <v>3216</v>
      </c>
      <c r="D898" s="656" t="s">
        <v>438</v>
      </c>
      <c r="E898" s="534">
        <v>702.37500499999999</v>
      </c>
    </row>
    <row r="899" spans="2:5" x14ac:dyDescent="0.2">
      <c r="B899" s="533">
        <v>1007</v>
      </c>
      <c r="C899" s="541" t="s">
        <v>3508</v>
      </c>
      <c r="D899" s="656" t="s">
        <v>438</v>
      </c>
      <c r="E899" s="534">
        <v>717.15999799999997</v>
      </c>
    </row>
    <row r="900" spans="2:5" x14ac:dyDescent="0.2">
      <c r="B900" s="533">
        <v>1008</v>
      </c>
      <c r="C900" s="541" t="s">
        <v>3252</v>
      </c>
      <c r="D900" s="656" t="s">
        <v>438</v>
      </c>
      <c r="E900" s="534">
        <v>703.60001599999998</v>
      </c>
    </row>
    <row r="901" spans="2:5" x14ac:dyDescent="0.2">
      <c r="B901" s="533">
        <v>1009</v>
      </c>
      <c r="C901" s="541" t="s">
        <v>3271</v>
      </c>
      <c r="D901" s="656" t="s">
        <v>438</v>
      </c>
      <c r="E901" s="534">
        <v>704.67498799999998</v>
      </c>
    </row>
    <row r="902" spans="2:5" x14ac:dyDescent="0.2">
      <c r="B902" s="533">
        <v>1010</v>
      </c>
      <c r="C902" s="541" t="s">
        <v>2163</v>
      </c>
      <c r="D902" s="656" t="s">
        <v>438</v>
      </c>
      <c r="E902" s="534">
        <v>651.875</v>
      </c>
    </row>
    <row r="903" spans="2:5" x14ac:dyDescent="0.2">
      <c r="B903" s="533">
        <v>1011</v>
      </c>
      <c r="C903" s="541" t="s">
        <v>1315</v>
      </c>
      <c r="D903" s="656" t="s">
        <v>438</v>
      </c>
      <c r="E903" s="534">
        <v>611.05000299999995</v>
      </c>
    </row>
    <row r="904" spans="2:5" x14ac:dyDescent="0.2">
      <c r="B904" s="533">
        <v>1012</v>
      </c>
      <c r="C904" s="541" t="s">
        <v>7377</v>
      </c>
      <c r="D904" s="656" t="s">
        <v>438</v>
      </c>
      <c r="E904" s="534">
        <v>614.08332299999995</v>
      </c>
    </row>
    <row r="905" spans="2:5" x14ac:dyDescent="0.2">
      <c r="B905" s="533">
        <v>1013</v>
      </c>
      <c r="C905" s="541" t="s">
        <v>866</v>
      </c>
      <c r="D905" s="656" t="s">
        <v>431</v>
      </c>
      <c r="E905" s="534">
        <v>577.29091000000005</v>
      </c>
    </row>
    <row r="906" spans="2:5" ht="15" x14ac:dyDescent="0.2">
      <c r="B906" s="531">
        <v>1014</v>
      </c>
      <c r="C906" s="541" t="s">
        <v>702</v>
      </c>
      <c r="D906" s="656" t="s">
        <v>431</v>
      </c>
      <c r="E906" s="532">
        <v>542.15713900000003</v>
      </c>
    </row>
    <row r="907" spans="2:5" ht="15" x14ac:dyDescent="0.2">
      <c r="B907" s="531">
        <v>1015</v>
      </c>
      <c r="C907" s="541" t="s">
        <v>689</v>
      </c>
      <c r="D907" s="656" t="s">
        <v>431</v>
      </c>
      <c r="E907" s="532">
        <v>535.37498500000004</v>
      </c>
    </row>
    <row r="908" spans="2:5" ht="15" x14ac:dyDescent="0.2">
      <c r="B908" s="531">
        <v>1016</v>
      </c>
      <c r="C908" s="541" t="s">
        <v>661</v>
      </c>
      <c r="D908" s="656" t="s">
        <v>431</v>
      </c>
      <c r="E908" s="532">
        <v>509.38750800000003</v>
      </c>
    </row>
    <row r="909" spans="2:5" ht="15" x14ac:dyDescent="0.2">
      <c r="B909" s="531">
        <v>1017</v>
      </c>
      <c r="C909" s="541" t="s">
        <v>680</v>
      </c>
      <c r="D909" s="656" t="s">
        <v>431</v>
      </c>
      <c r="E909" s="532">
        <v>529.34444199999996</v>
      </c>
    </row>
    <row r="910" spans="2:5" ht="15" x14ac:dyDescent="0.2">
      <c r="B910" s="531">
        <v>1018</v>
      </c>
      <c r="C910" s="541" t="s">
        <v>718</v>
      </c>
      <c r="D910" s="656" t="s">
        <v>431</v>
      </c>
      <c r="E910" s="532">
        <v>547.41249800000003</v>
      </c>
    </row>
    <row r="911" spans="2:5" x14ac:dyDescent="0.2">
      <c r="B911" s="533">
        <v>1019</v>
      </c>
      <c r="C911" s="541" t="s">
        <v>7176</v>
      </c>
      <c r="D911" s="656" t="s">
        <v>431</v>
      </c>
      <c r="E911" s="534">
        <v>574.43332899999996</v>
      </c>
    </row>
    <row r="912" spans="2:5" x14ac:dyDescent="0.2">
      <c r="B912" s="533">
        <v>1020</v>
      </c>
      <c r="C912" s="541" t="s">
        <v>7555</v>
      </c>
      <c r="D912" s="656" t="s">
        <v>431</v>
      </c>
      <c r="E912" s="534">
        <v>594.82501200000002</v>
      </c>
    </row>
    <row r="913" spans="2:5" x14ac:dyDescent="0.2">
      <c r="B913" s="533">
        <v>1021</v>
      </c>
      <c r="C913" s="541" t="s">
        <v>1330</v>
      </c>
      <c r="D913" s="656" t="s">
        <v>431</v>
      </c>
      <c r="E913" s="534">
        <v>612.03332499999999</v>
      </c>
    </row>
    <row r="914" spans="2:5" x14ac:dyDescent="0.2">
      <c r="B914" s="533">
        <v>1022</v>
      </c>
      <c r="C914" s="541" t="s">
        <v>3218</v>
      </c>
      <c r="D914" s="656" t="s">
        <v>431</v>
      </c>
      <c r="E914" s="534">
        <v>702.41250600000001</v>
      </c>
    </row>
    <row r="915" spans="2:5" x14ac:dyDescent="0.2">
      <c r="B915" s="533">
        <v>1023</v>
      </c>
      <c r="C915" s="541" t="s">
        <v>1616</v>
      </c>
      <c r="D915" s="656" t="s">
        <v>431</v>
      </c>
      <c r="E915" s="534">
        <v>627.79998799999998</v>
      </c>
    </row>
    <row r="916" spans="2:5" x14ac:dyDescent="0.2">
      <c r="B916" s="533">
        <v>1024</v>
      </c>
      <c r="C916" s="541" t="s">
        <v>3779</v>
      </c>
      <c r="D916" s="656" t="s">
        <v>438</v>
      </c>
      <c r="E916" s="534">
        <v>732</v>
      </c>
    </row>
    <row r="917" spans="2:5" x14ac:dyDescent="0.2">
      <c r="B917" s="533">
        <v>1025</v>
      </c>
      <c r="C917" s="541" t="s">
        <v>3539</v>
      </c>
      <c r="D917" s="656" t="s">
        <v>438</v>
      </c>
      <c r="E917" s="534">
        <v>718.72500600000001</v>
      </c>
    </row>
    <row r="918" spans="2:5" x14ac:dyDescent="0.2">
      <c r="B918" s="533">
        <v>1026</v>
      </c>
      <c r="C918" s="541" t="s">
        <v>4093</v>
      </c>
      <c r="D918" s="656" t="s">
        <v>438</v>
      </c>
      <c r="E918" s="534">
        <v>751</v>
      </c>
    </row>
    <row r="919" spans="2:5" x14ac:dyDescent="0.2">
      <c r="B919" s="533">
        <v>1027</v>
      </c>
      <c r="C919" s="541" t="s">
        <v>3285</v>
      </c>
      <c r="D919" s="656" t="s">
        <v>438</v>
      </c>
      <c r="E919" s="534">
        <v>705.5</v>
      </c>
    </row>
    <row r="920" spans="2:5" x14ac:dyDescent="0.2">
      <c r="B920" s="533">
        <v>1029</v>
      </c>
      <c r="C920" s="541" t="s">
        <v>2823</v>
      </c>
      <c r="D920" s="656" t="s">
        <v>438</v>
      </c>
      <c r="E920" s="534">
        <v>683</v>
      </c>
    </row>
    <row r="921" spans="2:5" x14ac:dyDescent="0.2">
      <c r="B921" s="533">
        <v>1030</v>
      </c>
      <c r="C921" s="541" t="s">
        <v>2510</v>
      </c>
      <c r="D921" s="656" t="s">
        <v>438</v>
      </c>
      <c r="E921" s="534">
        <v>666.75</v>
      </c>
    </row>
    <row r="922" spans="2:5" x14ac:dyDescent="0.2">
      <c r="B922" s="533">
        <v>1031</v>
      </c>
      <c r="C922" s="541" t="s">
        <v>2355</v>
      </c>
      <c r="D922" s="656" t="s">
        <v>438</v>
      </c>
      <c r="E922" s="534">
        <v>660.39999399999999</v>
      </c>
    </row>
    <row r="923" spans="2:5" x14ac:dyDescent="0.2">
      <c r="B923" s="533">
        <v>1032</v>
      </c>
      <c r="C923" s="541" t="s">
        <v>2314</v>
      </c>
      <c r="D923" s="656" t="s">
        <v>438</v>
      </c>
      <c r="E923" s="534">
        <v>658.55000299999995</v>
      </c>
    </row>
    <row r="924" spans="2:5" ht="15" x14ac:dyDescent="0.2">
      <c r="B924" s="531">
        <v>1033</v>
      </c>
      <c r="C924" s="541" t="s">
        <v>693</v>
      </c>
      <c r="D924" s="656" t="s">
        <v>431</v>
      </c>
      <c r="E924" s="532">
        <v>537.89998400000002</v>
      </c>
    </row>
    <row r="925" spans="2:5" ht="15" x14ac:dyDescent="0.2">
      <c r="B925" s="531">
        <v>1034</v>
      </c>
      <c r="C925" s="541" t="s">
        <v>665</v>
      </c>
      <c r="D925" s="656" t="s">
        <v>431</v>
      </c>
      <c r="E925" s="532">
        <v>517.04999499999997</v>
      </c>
    </row>
    <row r="926" spans="2:5" ht="15" x14ac:dyDescent="0.2">
      <c r="B926" s="531">
        <v>1035</v>
      </c>
      <c r="C926" s="541" t="s">
        <v>6583</v>
      </c>
      <c r="D926" s="656" t="s">
        <v>431</v>
      </c>
      <c r="E926" s="532">
        <v>547.01667299999997</v>
      </c>
    </row>
    <row r="927" spans="2:5" x14ac:dyDescent="0.2">
      <c r="B927" s="533">
        <v>1036</v>
      </c>
      <c r="C927" s="541" t="s">
        <v>1645</v>
      </c>
      <c r="D927" s="656" t="s">
        <v>431</v>
      </c>
      <c r="E927" s="534">
        <v>629.4</v>
      </c>
    </row>
    <row r="928" spans="2:5" x14ac:dyDescent="0.2">
      <c r="B928" s="533">
        <v>1037</v>
      </c>
      <c r="C928" s="541" t="s">
        <v>7402</v>
      </c>
      <c r="D928" s="656" t="s">
        <v>431</v>
      </c>
      <c r="E928" s="534">
        <v>577.38000499999998</v>
      </c>
    </row>
    <row r="929" spans="2:5" x14ac:dyDescent="0.2">
      <c r="B929" s="533">
        <v>1038</v>
      </c>
      <c r="C929" s="541" t="s">
        <v>1231</v>
      </c>
      <c r="D929" s="656" t="s">
        <v>431</v>
      </c>
      <c r="E929" s="534">
        <v>606.16667700000005</v>
      </c>
    </row>
    <row r="930" spans="2:5" x14ac:dyDescent="0.2">
      <c r="B930" s="533">
        <v>1039</v>
      </c>
      <c r="C930" s="541" t="s">
        <v>1944</v>
      </c>
      <c r="D930" s="656" t="s">
        <v>431</v>
      </c>
      <c r="E930" s="534">
        <v>641.81666099999995</v>
      </c>
    </row>
    <row r="931" spans="2:5" x14ac:dyDescent="0.2">
      <c r="B931" s="533">
        <v>1040</v>
      </c>
      <c r="C931" s="541" t="s">
        <v>7327</v>
      </c>
      <c r="D931" s="656" t="s">
        <v>431</v>
      </c>
      <c r="E931" s="534">
        <v>646.53334600000005</v>
      </c>
    </row>
    <row r="932" spans="2:5" x14ac:dyDescent="0.2">
      <c r="B932" s="533">
        <v>1041</v>
      </c>
      <c r="C932" s="541" t="s">
        <v>3469</v>
      </c>
      <c r="D932" s="656" t="s">
        <v>431</v>
      </c>
      <c r="E932" s="534">
        <v>714.76364999999998</v>
      </c>
    </row>
    <row r="933" spans="2:5" x14ac:dyDescent="0.2">
      <c r="B933" s="533">
        <v>1042</v>
      </c>
      <c r="C933" s="541" t="s">
        <v>1710</v>
      </c>
      <c r="D933" s="656" t="s">
        <v>438</v>
      </c>
      <c r="E933" s="534">
        <v>687.29998799999998</v>
      </c>
    </row>
    <row r="934" spans="2:5" x14ac:dyDescent="0.2">
      <c r="B934" s="533">
        <v>1043</v>
      </c>
      <c r="C934" s="541" t="s">
        <v>2269</v>
      </c>
      <c r="D934" s="656" t="s">
        <v>438</v>
      </c>
      <c r="E934" s="534">
        <v>675.03332499999999</v>
      </c>
    </row>
    <row r="935" spans="2:5" x14ac:dyDescent="0.2">
      <c r="B935" s="533">
        <v>1045</v>
      </c>
      <c r="C935" s="541" t="s">
        <v>2346</v>
      </c>
      <c r="D935" s="656" t="s">
        <v>438</v>
      </c>
      <c r="E935" s="534">
        <v>659.90000899999995</v>
      </c>
    </row>
    <row r="936" spans="2:5" x14ac:dyDescent="0.2">
      <c r="B936" s="533">
        <v>1046</v>
      </c>
      <c r="C936" s="541" t="s">
        <v>2980</v>
      </c>
      <c r="D936" s="656" t="s">
        <v>438</v>
      </c>
      <c r="E936" s="534">
        <v>690.12857499999996</v>
      </c>
    </row>
    <row r="937" spans="2:5" x14ac:dyDescent="0.2">
      <c r="B937" s="533">
        <v>1047</v>
      </c>
      <c r="C937" s="541" t="s">
        <v>831</v>
      </c>
      <c r="D937" s="656" t="s">
        <v>431</v>
      </c>
      <c r="E937" s="534">
        <v>573.79000199999996</v>
      </c>
    </row>
    <row r="938" spans="2:5" x14ac:dyDescent="0.2">
      <c r="B938" s="533">
        <v>1048</v>
      </c>
      <c r="C938" s="541" t="s">
        <v>1401</v>
      </c>
      <c r="D938" s="656" t="s">
        <v>431</v>
      </c>
      <c r="E938" s="534">
        <v>615.85000600000001</v>
      </c>
    </row>
    <row r="939" spans="2:5" x14ac:dyDescent="0.2">
      <c r="B939" s="533">
        <v>1049</v>
      </c>
      <c r="C939" s="541" t="s">
        <v>2620</v>
      </c>
      <c r="D939" s="656" t="s">
        <v>438</v>
      </c>
      <c r="E939" s="534">
        <v>672.91666699999996</v>
      </c>
    </row>
    <row r="940" spans="2:5" x14ac:dyDescent="0.2">
      <c r="B940" s="533">
        <v>1050</v>
      </c>
      <c r="C940" s="541" t="s">
        <v>3030</v>
      </c>
      <c r="D940" s="656" t="s">
        <v>438</v>
      </c>
      <c r="E940" s="534">
        <v>692.83998999999994</v>
      </c>
    </row>
    <row r="941" spans="2:5" x14ac:dyDescent="0.2">
      <c r="B941" s="533">
        <v>1051</v>
      </c>
      <c r="C941" s="541" t="s">
        <v>2578</v>
      </c>
      <c r="D941" s="656" t="s">
        <v>438</v>
      </c>
      <c r="E941" s="534">
        <v>669.95712700000001</v>
      </c>
    </row>
    <row r="942" spans="2:5" x14ac:dyDescent="0.2">
      <c r="B942" s="533">
        <v>1052</v>
      </c>
      <c r="C942" s="541" t="s">
        <v>3329</v>
      </c>
      <c r="D942" s="656" t="s">
        <v>438</v>
      </c>
      <c r="E942" s="534">
        <v>707.67998699999998</v>
      </c>
    </row>
    <row r="943" spans="2:5" x14ac:dyDescent="0.2">
      <c r="B943" s="533">
        <v>1053</v>
      </c>
      <c r="C943" s="541" t="s">
        <v>2514</v>
      </c>
      <c r="D943" s="656" t="s">
        <v>438</v>
      </c>
      <c r="E943" s="534">
        <v>666.91665599999999</v>
      </c>
    </row>
    <row r="944" spans="2:5" x14ac:dyDescent="0.2">
      <c r="B944" s="533">
        <v>1054</v>
      </c>
      <c r="C944" s="541" t="s">
        <v>6756</v>
      </c>
      <c r="D944" s="656" t="s">
        <v>438</v>
      </c>
      <c r="E944" s="534">
        <v>683.08889399999998</v>
      </c>
    </row>
    <row r="945" spans="2:5" x14ac:dyDescent="0.2">
      <c r="B945" s="533">
        <v>1055</v>
      </c>
      <c r="C945" s="541" t="s">
        <v>7134</v>
      </c>
      <c r="D945" s="656" t="s">
        <v>431</v>
      </c>
      <c r="E945" s="534">
        <v>587.44000200000005</v>
      </c>
    </row>
    <row r="946" spans="2:5" x14ac:dyDescent="0.2">
      <c r="B946" s="533">
        <v>1056</v>
      </c>
      <c r="C946" s="541" t="s">
        <v>1065</v>
      </c>
      <c r="D946" s="656" t="s">
        <v>431</v>
      </c>
      <c r="E946" s="534">
        <v>595.83332299999995</v>
      </c>
    </row>
    <row r="947" spans="2:5" x14ac:dyDescent="0.2">
      <c r="B947" s="533">
        <v>1057</v>
      </c>
      <c r="C947" s="541" t="s">
        <v>1916</v>
      </c>
      <c r="D947" s="656" t="s">
        <v>431</v>
      </c>
      <c r="E947" s="534">
        <v>641.10000600000001</v>
      </c>
    </row>
    <row r="948" spans="2:5" x14ac:dyDescent="0.2">
      <c r="B948" s="533">
        <v>1058</v>
      </c>
      <c r="C948" s="541" t="s">
        <v>2322</v>
      </c>
      <c r="D948" s="656" t="s">
        <v>431</v>
      </c>
      <c r="E948" s="534">
        <v>658.9375</v>
      </c>
    </row>
    <row r="949" spans="2:5" x14ac:dyDescent="0.2">
      <c r="B949" s="533">
        <v>1059</v>
      </c>
      <c r="C949" s="541" t="s">
        <v>3404</v>
      </c>
      <c r="D949" s="656" t="s">
        <v>431</v>
      </c>
      <c r="E949" s="534">
        <v>711.92000700000006</v>
      </c>
    </row>
    <row r="950" spans="2:5" x14ac:dyDescent="0.2">
      <c r="B950" s="533">
        <v>1060</v>
      </c>
      <c r="C950" s="541" t="s">
        <v>3087</v>
      </c>
      <c r="D950" s="656" t="s">
        <v>438</v>
      </c>
      <c r="E950" s="534">
        <v>695.70001200000002</v>
      </c>
    </row>
    <row r="951" spans="2:5" x14ac:dyDescent="0.2">
      <c r="B951" s="533">
        <v>1061</v>
      </c>
      <c r="C951" s="541" t="s">
        <v>7320</v>
      </c>
      <c r="D951" s="656" t="s">
        <v>438</v>
      </c>
      <c r="E951" s="534">
        <v>654.52857300000005</v>
      </c>
    </row>
    <row r="952" spans="2:5" x14ac:dyDescent="0.2">
      <c r="B952" s="533">
        <v>1062</v>
      </c>
      <c r="C952" s="541" t="s">
        <v>2321</v>
      </c>
      <c r="D952" s="656" t="s">
        <v>431</v>
      </c>
      <c r="E952" s="534">
        <v>658.92500299999995</v>
      </c>
    </row>
    <row r="953" spans="2:5" x14ac:dyDescent="0.2">
      <c r="B953" s="533">
        <v>1063</v>
      </c>
      <c r="C953" s="541" t="s">
        <v>2745</v>
      </c>
      <c r="D953" s="656" t="s">
        <v>431</v>
      </c>
      <c r="E953" s="534">
        <v>678.48750299999995</v>
      </c>
    </row>
    <row r="954" spans="2:5" ht="15" x14ac:dyDescent="0.2">
      <c r="B954" s="531">
        <v>1101</v>
      </c>
      <c r="C954" s="541" t="s">
        <v>681</v>
      </c>
      <c r="D954" s="656" t="s">
        <v>439</v>
      </c>
      <c r="E954" s="532">
        <v>529.46667000000002</v>
      </c>
    </row>
    <row r="955" spans="2:5" ht="15" x14ac:dyDescent="0.2">
      <c r="B955" s="531">
        <v>1102</v>
      </c>
      <c r="C955" s="541" t="s">
        <v>672</v>
      </c>
      <c r="D955" s="656" t="s">
        <v>439</v>
      </c>
      <c r="E955" s="532">
        <v>525.04285100000004</v>
      </c>
    </row>
    <row r="956" spans="2:5" ht="15" x14ac:dyDescent="0.2">
      <c r="B956" s="531">
        <v>1103</v>
      </c>
      <c r="C956" s="541" t="s">
        <v>679</v>
      </c>
      <c r="D956" s="656" t="s">
        <v>439</v>
      </c>
      <c r="E956" s="532">
        <v>529.25</v>
      </c>
    </row>
    <row r="957" spans="2:5" ht="15" x14ac:dyDescent="0.2">
      <c r="B957" s="531">
        <v>1104</v>
      </c>
      <c r="C957" s="541" t="s">
        <v>666</v>
      </c>
      <c r="D957" s="656" t="s">
        <v>439</v>
      </c>
      <c r="E957" s="532">
        <v>518.5</v>
      </c>
    </row>
    <row r="958" spans="2:5" ht="15" x14ac:dyDescent="0.2">
      <c r="B958" s="531">
        <v>1105</v>
      </c>
      <c r="C958" s="541" t="s">
        <v>675</v>
      </c>
      <c r="D958" s="656" t="s">
        <v>439</v>
      </c>
      <c r="E958" s="532">
        <v>526.52499799999998</v>
      </c>
    </row>
    <row r="959" spans="2:5" ht="15" x14ac:dyDescent="0.2">
      <c r="B959" s="531">
        <v>1106</v>
      </c>
      <c r="C959" s="541" t="s">
        <v>698</v>
      </c>
      <c r="D959" s="656" t="s">
        <v>439</v>
      </c>
      <c r="E959" s="532">
        <v>541.5</v>
      </c>
    </row>
    <row r="960" spans="2:5" x14ac:dyDescent="0.2">
      <c r="B960" s="533">
        <v>1107</v>
      </c>
      <c r="C960" s="541" t="s">
        <v>774</v>
      </c>
      <c r="D960" s="656" t="s">
        <v>439</v>
      </c>
      <c r="E960" s="534">
        <v>564.63334099999997</v>
      </c>
    </row>
    <row r="961" spans="2:5" x14ac:dyDescent="0.2">
      <c r="B961" s="533">
        <v>1108</v>
      </c>
      <c r="C961" s="541" t="s">
        <v>738</v>
      </c>
      <c r="D961" s="656" t="s">
        <v>439</v>
      </c>
      <c r="E961" s="534">
        <v>556.55000299999995</v>
      </c>
    </row>
    <row r="962" spans="2:5" ht="15" x14ac:dyDescent="0.2">
      <c r="B962" s="531">
        <v>1109</v>
      </c>
      <c r="C962" s="541" t="s">
        <v>7070</v>
      </c>
      <c r="D962" s="656" t="s">
        <v>439</v>
      </c>
      <c r="E962" s="532">
        <v>529.90002400000003</v>
      </c>
    </row>
    <row r="963" spans="2:5" ht="15" x14ac:dyDescent="0.2">
      <c r="B963" s="531">
        <v>1110</v>
      </c>
      <c r="C963" s="541" t="s">
        <v>695</v>
      </c>
      <c r="D963" s="656" t="s">
        <v>439</v>
      </c>
      <c r="E963" s="532">
        <v>540.02497900000003</v>
      </c>
    </row>
    <row r="964" spans="2:5" ht="15" x14ac:dyDescent="0.2">
      <c r="B964" s="531">
        <v>1111</v>
      </c>
      <c r="C964" s="541" t="s">
        <v>709</v>
      </c>
      <c r="D964" s="656" t="s">
        <v>439</v>
      </c>
      <c r="E964" s="532">
        <v>544.5</v>
      </c>
    </row>
    <row r="965" spans="2:5" x14ac:dyDescent="0.2">
      <c r="B965" s="533">
        <v>1112</v>
      </c>
      <c r="C965" s="541" t="s">
        <v>775</v>
      </c>
      <c r="D965" s="656" t="s">
        <v>439</v>
      </c>
      <c r="E965" s="534">
        <v>564.64285700000005</v>
      </c>
    </row>
    <row r="966" spans="2:5" x14ac:dyDescent="0.2">
      <c r="B966" s="533">
        <v>1113</v>
      </c>
      <c r="C966" s="541" t="s">
        <v>850</v>
      </c>
      <c r="D966" s="656" t="s">
        <v>439</v>
      </c>
      <c r="E966" s="534">
        <v>575.43998999999997</v>
      </c>
    </row>
    <row r="967" spans="2:5" x14ac:dyDescent="0.2">
      <c r="B967" s="533">
        <v>1114</v>
      </c>
      <c r="C967" s="541" t="s">
        <v>7045</v>
      </c>
      <c r="D967" s="656" t="s">
        <v>439</v>
      </c>
      <c r="E967" s="534">
        <v>595.02499399999999</v>
      </c>
    </row>
    <row r="968" spans="2:5" x14ac:dyDescent="0.2">
      <c r="B968" s="533">
        <v>1115</v>
      </c>
      <c r="C968" s="541" t="s">
        <v>6581</v>
      </c>
      <c r="D968" s="656" t="s">
        <v>439</v>
      </c>
      <c r="E968" s="534">
        <v>602.5</v>
      </c>
    </row>
    <row r="969" spans="2:5" x14ac:dyDescent="0.2">
      <c r="B969" s="533">
        <v>1116</v>
      </c>
      <c r="C969" s="541" t="s">
        <v>1335</v>
      </c>
      <c r="D969" s="656" t="s">
        <v>439</v>
      </c>
      <c r="E969" s="534">
        <v>612.09999600000003</v>
      </c>
    </row>
    <row r="970" spans="2:5" x14ac:dyDescent="0.2">
      <c r="B970" s="533">
        <v>1117</v>
      </c>
      <c r="C970" s="541" t="s">
        <v>1376</v>
      </c>
      <c r="D970" s="656" t="s">
        <v>439</v>
      </c>
      <c r="E970" s="534">
        <v>614.19999700000005</v>
      </c>
    </row>
    <row r="971" spans="2:5" x14ac:dyDescent="0.2">
      <c r="B971" s="533">
        <v>1118</v>
      </c>
      <c r="C971" s="541" t="s">
        <v>839</v>
      </c>
      <c r="D971" s="656" t="s">
        <v>439</v>
      </c>
      <c r="E971" s="534">
        <v>620.40002400000003</v>
      </c>
    </row>
    <row r="972" spans="2:5" x14ac:dyDescent="0.2">
      <c r="B972" s="533">
        <v>1119</v>
      </c>
      <c r="C972" s="541" t="s">
        <v>735</v>
      </c>
      <c r="D972" s="656" t="s">
        <v>439</v>
      </c>
      <c r="E972" s="534">
        <v>554.70000700000003</v>
      </c>
    </row>
    <row r="973" spans="2:5" ht="15" x14ac:dyDescent="0.2">
      <c r="B973" s="531">
        <v>1120</v>
      </c>
      <c r="C973" s="541" t="s">
        <v>700</v>
      </c>
      <c r="D973" s="656" t="s">
        <v>439</v>
      </c>
      <c r="E973" s="532">
        <v>541.85999800000002</v>
      </c>
    </row>
    <row r="974" spans="2:5" ht="15" x14ac:dyDescent="0.2">
      <c r="B974" s="531">
        <v>1121</v>
      </c>
      <c r="C974" s="541" t="s">
        <v>697</v>
      </c>
      <c r="D974" s="656" t="s">
        <v>439</v>
      </c>
      <c r="E974" s="532">
        <v>541.25</v>
      </c>
    </row>
    <row r="975" spans="2:5" ht="15" x14ac:dyDescent="0.2">
      <c r="B975" s="531">
        <v>1122</v>
      </c>
      <c r="C975" s="541" t="s">
        <v>6577</v>
      </c>
      <c r="D975" s="656" t="s">
        <v>439</v>
      </c>
      <c r="E975" s="532">
        <v>521.5</v>
      </c>
    </row>
    <row r="976" spans="2:5" x14ac:dyDescent="0.2">
      <c r="B976" s="533">
        <v>1123</v>
      </c>
      <c r="C976" s="541" t="s">
        <v>745</v>
      </c>
      <c r="D976" s="656" t="s">
        <v>439</v>
      </c>
      <c r="E976" s="534">
        <v>558.04998799999998</v>
      </c>
    </row>
    <row r="977" spans="2:5" ht="15" x14ac:dyDescent="0.2">
      <c r="B977" s="531">
        <v>1124</v>
      </c>
      <c r="C977" s="541" t="s">
        <v>668</v>
      </c>
      <c r="D977" s="656" t="s">
        <v>439</v>
      </c>
      <c r="E977" s="532">
        <v>521.17142999999999</v>
      </c>
    </row>
    <row r="978" spans="2:5" ht="15" x14ac:dyDescent="0.2">
      <c r="B978" s="531">
        <v>1125</v>
      </c>
      <c r="C978" s="541" t="s">
        <v>663</v>
      </c>
      <c r="D978" s="656" t="s">
        <v>439</v>
      </c>
      <c r="E978" s="532">
        <v>513.63999000000001</v>
      </c>
    </row>
    <row r="979" spans="2:5" ht="15" x14ac:dyDescent="0.2">
      <c r="B979" s="531">
        <v>1126</v>
      </c>
      <c r="C979" s="541" t="s">
        <v>703</v>
      </c>
      <c r="D979" s="656" t="s">
        <v>439</v>
      </c>
      <c r="E979" s="532">
        <v>542.30000800000005</v>
      </c>
    </row>
    <row r="980" spans="2:5" x14ac:dyDescent="0.2">
      <c r="B980" s="533">
        <v>1127</v>
      </c>
      <c r="C980" s="541" t="s">
        <v>727</v>
      </c>
      <c r="D980" s="656" t="s">
        <v>439</v>
      </c>
      <c r="E980" s="534">
        <v>551.95000500000003</v>
      </c>
    </row>
    <row r="981" spans="2:5" x14ac:dyDescent="0.2">
      <c r="B981" s="533">
        <v>1128</v>
      </c>
      <c r="C981" s="541" t="s">
        <v>977</v>
      </c>
      <c r="D981" s="656" t="s">
        <v>439</v>
      </c>
      <c r="E981" s="534">
        <v>587.71667500000001</v>
      </c>
    </row>
    <row r="982" spans="2:5" x14ac:dyDescent="0.2">
      <c r="B982" s="533">
        <v>1129</v>
      </c>
      <c r="C982" s="541" t="s">
        <v>1321</v>
      </c>
      <c r="D982" s="656" t="s">
        <v>439</v>
      </c>
      <c r="E982" s="534">
        <v>611.32857799999999</v>
      </c>
    </row>
    <row r="983" spans="2:5" x14ac:dyDescent="0.2">
      <c r="B983" s="533">
        <v>1130</v>
      </c>
      <c r="C983" s="541" t="s">
        <v>1631</v>
      </c>
      <c r="D983" s="656" t="s">
        <v>439</v>
      </c>
      <c r="E983" s="534">
        <v>628.51667299999997</v>
      </c>
    </row>
    <row r="984" spans="2:5" x14ac:dyDescent="0.2">
      <c r="B984" s="533">
        <v>1131</v>
      </c>
      <c r="C984" s="541" t="s">
        <v>7058</v>
      </c>
      <c r="D984" s="656" t="s">
        <v>439</v>
      </c>
      <c r="E984" s="534">
        <v>634.67500299999995</v>
      </c>
    </row>
    <row r="985" spans="2:5" x14ac:dyDescent="0.2">
      <c r="B985" s="533">
        <v>1132</v>
      </c>
      <c r="C985" s="541" t="s">
        <v>6481</v>
      </c>
      <c r="D985" s="656" t="s">
        <v>439</v>
      </c>
      <c r="E985" s="534">
        <v>649.98332700000003</v>
      </c>
    </row>
    <row r="986" spans="2:5" x14ac:dyDescent="0.2">
      <c r="B986" s="533">
        <v>1133</v>
      </c>
      <c r="C986" s="541" t="s">
        <v>837</v>
      </c>
      <c r="D986" s="656" t="s">
        <v>439</v>
      </c>
      <c r="E986" s="534">
        <v>574.36665900000003</v>
      </c>
    </row>
    <row r="987" spans="2:5" x14ac:dyDescent="0.2">
      <c r="B987" s="533">
        <v>1134</v>
      </c>
      <c r="C987" s="541" t="s">
        <v>732</v>
      </c>
      <c r="D987" s="656" t="s">
        <v>439</v>
      </c>
      <c r="E987" s="534">
        <v>554.00000899999998</v>
      </c>
    </row>
    <row r="988" spans="2:5" ht="15" x14ac:dyDescent="0.2">
      <c r="B988" s="531">
        <v>1135</v>
      </c>
      <c r="C988" s="541" t="s">
        <v>688</v>
      </c>
      <c r="D988" s="656" t="s">
        <v>439</v>
      </c>
      <c r="E988" s="532">
        <v>535.32352800000001</v>
      </c>
    </row>
    <row r="989" spans="2:5" ht="15" x14ac:dyDescent="0.2">
      <c r="B989" s="531">
        <v>1136</v>
      </c>
      <c r="C989" s="541" t="s">
        <v>662</v>
      </c>
      <c r="D989" s="656" t="s">
        <v>439</v>
      </c>
      <c r="E989" s="532">
        <v>512.29998799999998</v>
      </c>
    </row>
    <row r="990" spans="2:5" ht="15" x14ac:dyDescent="0.2">
      <c r="B990" s="531">
        <v>1137</v>
      </c>
      <c r="C990" s="541" t="s">
        <v>664</v>
      </c>
      <c r="D990" s="656" t="s">
        <v>439</v>
      </c>
      <c r="E990" s="532">
        <v>514.40000199999997</v>
      </c>
    </row>
    <row r="991" spans="2:5" ht="15" x14ac:dyDescent="0.2">
      <c r="B991" s="531">
        <v>1138</v>
      </c>
      <c r="C991" s="541" t="s">
        <v>7221</v>
      </c>
      <c r="D991" s="656" t="s">
        <v>439</v>
      </c>
      <c r="E991" s="532">
        <v>487.89999399999999</v>
      </c>
    </row>
    <row r="992" spans="2:5" ht="15" x14ac:dyDescent="0.2">
      <c r="B992" s="531">
        <v>1139</v>
      </c>
      <c r="C992" s="541" t="s">
        <v>660</v>
      </c>
      <c r="D992" s="656" t="s">
        <v>439</v>
      </c>
      <c r="E992" s="532">
        <v>496.43332900000001</v>
      </c>
    </row>
    <row r="993" spans="2:5" ht="15" x14ac:dyDescent="0.2">
      <c r="B993" s="531">
        <v>1140</v>
      </c>
      <c r="C993" s="541" t="s">
        <v>6662</v>
      </c>
      <c r="D993" s="656" t="s">
        <v>439</v>
      </c>
      <c r="E993" s="532">
        <v>521.157152</v>
      </c>
    </row>
    <row r="994" spans="2:5" ht="15" x14ac:dyDescent="0.2">
      <c r="B994" s="531">
        <v>1141</v>
      </c>
      <c r="C994" s="541" t="s">
        <v>716</v>
      </c>
      <c r="D994" s="656" t="s">
        <v>439</v>
      </c>
      <c r="E994" s="532">
        <v>547.16666699999996</v>
      </c>
    </row>
    <row r="995" spans="2:5" x14ac:dyDescent="0.2">
      <c r="B995" s="533">
        <v>1142</v>
      </c>
      <c r="C995" s="541" t="s">
        <v>787</v>
      </c>
      <c r="D995" s="656" t="s">
        <v>439</v>
      </c>
      <c r="E995" s="534">
        <v>566.59999100000005</v>
      </c>
    </row>
    <row r="996" spans="2:5" x14ac:dyDescent="0.2">
      <c r="B996" s="533">
        <v>1143</v>
      </c>
      <c r="C996" s="541" t="s">
        <v>1085</v>
      </c>
      <c r="D996" s="656" t="s">
        <v>439</v>
      </c>
      <c r="E996" s="534">
        <v>597.11818100000005</v>
      </c>
    </row>
    <row r="997" spans="2:5" x14ac:dyDescent="0.2">
      <c r="B997" s="533">
        <v>1144</v>
      </c>
      <c r="C997" s="541" t="s">
        <v>1504</v>
      </c>
      <c r="D997" s="656" t="s">
        <v>439</v>
      </c>
      <c r="E997" s="534">
        <v>621.33333300000004</v>
      </c>
    </row>
    <row r="998" spans="2:5" x14ac:dyDescent="0.2">
      <c r="B998" s="533">
        <v>1145</v>
      </c>
      <c r="C998" s="541" t="s">
        <v>7398</v>
      </c>
      <c r="D998" s="656" t="s">
        <v>439</v>
      </c>
      <c r="E998" s="534">
        <v>665.08334400000001</v>
      </c>
    </row>
    <row r="999" spans="2:5" x14ac:dyDescent="0.2">
      <c r="B999" s="533">
        <v>1146</v>
      </c>
      <c r="C999" s="541" t="s">
        <v>6827</v>
      </c>
      <c r="D999" s="656" t="s">
        <v>439</v>
      </c>
      <c r="E999" s="534">
        <v>727.78000499999996</v>
      </c>
    </row>
    <row r="1000" spans="2:5" x14ac:dyDescent="0.2">
      <c r="B1000" s="533">
        <v>1147</v>
      </c>
      <c r="C1000" s="541" t="s">
        <v>3908</v>
      </c>
      <c r="D1000" s="656" t="s">
        <v>439</v>
      </c>
      <c r="E1000" s="534">
        <v>739.95001200000002</v>
      </c>
    </row>
    <row r="1001" spans="2:5" x14ac:dyDescent="0.2">
      <c r="B1001" s="533">
        <v>1148</v>
      </c>
      <c r="C1001" s="541" t="s">
        <v>909</v>
      </c>
      <c r="D1001" s="656" t="s">
        <v>439</v>
      </c>
      <c r="E1001" s="534">
        <v>581.25556099999994</v>
      </c>
    </row>
    <row r="1002" spans="2:5" ht="15" x14ac:dyDescent="0.2">
      <c r="B1002" s="531">
        <v>1149</v>
      </c>
      <c r="C1002" s="541" t="s">
        <v>684</v>
      </c>
      <c r="D1002" s="656" t="s">
        <v>439</v>
      </c>
      <c r="E1002" s="532">
        <v>530.93749200000002</v>
      </c>
    </row>
    <row r="1003" spans="2:5" ht="15" x14ac:dyDescent="0.2">
      <c r="B1003" s="531">
        <v>1150</v>
      </c>
      <c r="C1003" s="541" t="s">
        <v>667</v>
      </c>
      <c r="D1003" s="656" t="s">
        <v>439</v>
      </c>
      <c r="E1003" s="532">
        <v>518.93335000000002</v>
      </c>
    </row>
    <row r="1004" spans="2:5" ht="15" x14ac:dyDescent="0.2">
      <c r="B1004" s="531">
        <v>1151</v>
      </c>
      <c r="C1004" s="541" t="s">
        <v>676</v>
      </c>
      <c r="D1004" s="656" t="s">
        <v>439</v>
      </c>
      <c r="E1004" s="532">
        <v>527.48888499999998</v>
      </c>
    </row>
    <row r="1005" spans="2:5" ht="15" x14ac:dyDescent="0.2">
      <c r="B1005" s="531">
        <v>1152</v>
      </c>
      <c r="C1005" s="541" t="s">
        <v>7019</v>
      </c>
      <c r="D1005" s="656" t="s">
        <v>439</v>
      </c>
      <c r="E1005" s="532">
        <v>516.75999100000001</v>
      </c>
    </row>
    <row r="1006" spans="2:5" ht="15" x14ac:dyDescent="0.2">
      <c r="B1006" s="531">
        <v>1153</v>
      </c>
      <c r="C1006" s="541" t="s">
        <v>682</v>
      </c>
      <c r="D1006" s="656" t="s">
        <v>439</v>
      </c>
      <c r="E1006" s="532">
        <v>529.84997599999997</v>
      </c>
    </row>
    <row r="1007" spans="2:5" x14ac:dyDescent="0.2">
      <c r="B1007" s="533">
        <v>1154</v>
      </c>
      <c r="C1007" s="541" t="s">
        <v>734</v>
      </c>
      <c r="D1007" s="656" t="s">
        <v>439</v>
      </c>
      <c r="E1007" s="534">
        <v>554.57693200000006</v>
      </c>
    </row>
    <row r="1008" spans="2:5" x14ac:dyDescent="0.2">
      <c r="B1008" s="533">
        <v>1155</v>
      </c>
      <c r="C1008" s="541" t="s">
        <v>7396</v>
      </c>
      <c r="D1008" s="656" t="s">
        <v>439</v>
      </c>
      <c r="E1008" s="534">
        <v>576.77142300000003</v>
      </c>
    </row>
    <row r="1009" spans="2:5" x14ac:dyDescent="0.2">
      <c r="B1009" s="533">
        <v>1156</v>
      </c>
      <c r="C1009" s="541" t="s">
        <v>1354</v>
      </c>
      <c r="D1009" s="656" t="s">
        <v>439</v>
      </c>
      <c r="E1009" s="534">
        <v>613.40000199999997</v>
      </c>
    </row>
    <row r="1010" spans="2:5" x14ac:dyDescent="0.2">
      <c r="B1010" s="533">
        <v>1157</v>
      </c>
      <c r="C1010" s="541" t="s">
        <v>1931</v>
      </c>
      <c r="D1010" s="656" t="s">
        <v>439</v>
      </c>
      <c r="E1010" s="534">
        <v>641.42856300000005</v>
      </c>
    </row>
    <row r="1011" spans="2:5" x14ac:dyDescent="0.2">
      <c r="B1011" s="533">
        <v>1158</v>
      </c>
      <c r="C1011" s="541" t="s">
        <v>3180</v>
      </c>
      <c r="D1011" s="656" t="s">
        <v>439</v>
      </c>
      <c r="E1011" s="534">
        <v>700.42500299999995</v>
      </c>
    </row>
    <row r="1012" spans="2:5" x14ac:dyDescent="0.2">
      <c r="B1012" s="533">
        <v>1159</v>
      </c>
      <c r="C1012" s="541" t="s">
        <v>3355</v>
      </c>
      <c r="D1012" s="656" t="s">
        <v>439</v>
      </c>
      <c r="E1012" s="534">
        <v>709.125</v>
      </c>
    </row>
    <row r="1013" spans="2:5" x14ac:dyDescent="0.2">
      <c r="B1013" s="533">
        <v>1160</v>
      </c>
      <c r="C1013" s="541" t="s">
        <v>6765</v>
      </c>
      <c r="D1013" s="656" t="s">
        <v>439</v>
      </c>
      <c r="E1013" s="534">
        <v>672.30000299999995</v>
      </c>
    </row>
    <row r="1014" spans="2:5" x14ac:dyDescent="0.2">
      <c r="B1014" s="533">
        <v>1161</v>
      </c>
      <c r="C1014" s="541" t="s">
        <v>3163</v>
      </c>
      <c r="D1014" s="656" t="s">
        <v>439</v>
      </c>
      <c r="E1014" s="534">
        <v>700</v>
      </c>
    </row>
    <row r="1015" spans="2:5" x14ac:dyDescent="0.2">
      <c r="B1015" s="533">
        <v>1162</v>
      </c>
      <c r="C1015" s="541" t="s">
        <v>2088</v>
      </c>
      <c r="D1015" s="656" t="s">
        <v>439</v>
      </c>
      <c r="E1015" s="534">
        <v>648.06667100000004</v>
      </c>
    </row>
    <row r="1016" spans="2:5" x14ac:dyDescent="0.2">
      <c r="B1016" s="533">
        <v>1163</v>
      </c>
      <c r="C1016" s="541" t="s">
        <v>1458</v>
      </c>
      <c r="D1016" s="656" t="s">
        <v>439</v>
      </c>
      <c r="E1016" s="534">
        <v>618.5</v>
      </c>
    </row>
    <row r="1017" spans="2:5" x14ac:dyDescent="0.2">
      <c r="B1017" s="533">
        <v>1164</v>
      </c>
      <c r="C1017" s="541" t="s">
        <v>900</v>
      </c>
      <c r="D1017" s="656" t="s">
        <v>439</v>
      </c>
      <c r="E1017" s="534">
        <v>587.5</v>
      </c>
    </row>
    <row r="1018" spans="2:5" x14ac:dyDescent="0.2">
      <c r="B1018" s="533">
        <v>1165</v>
      </c>
      <c r="C1018" s="541" t="s">
        <v>844</v>
      </c>
      <c r="D1018" s="656" t="s">
        <v>439</v>
      </c>
      <c r="E1018" s="534">
        <v>575.03334600000005</v>
      </c>
    </row>
    <row r="1019" spans="2:5" x14ac:dyDescent="0.2">
      <c r="B1019" s="533">
        <v>1166</v>
      </c>
      <c r="C1019" s="541" t="s">
        <v>862</v>
      </c>
      <c r="D1019" s="656" t="s">
        <v>439</v>
      </c>
      <c r="E1019" s="534">
        <v>577.09998800000005</v>
      </c>
    </row>
    <row r="1020" spans="2:5" x14ac:dyDescent="0.2">
      <c r="B1020" s="533">
        <v>1167</v>
      </c>
      <c r="C1020" s="541" t="s">
        <v>766</v>
      </c>
      <c r="D1020" s="656" t="s">
        <v>439</v>
      </c>
      <c r="E1020" s="534">
        <v>563.05000800000005</v>
      </c>
    </row>
    <row r="1021" spans="2:5" ht="15" x14ac:dyDescent="0.2">
      <c r="B1021" s="531">
        <v>1168</v>
      </c>
      <c r="C1021" s="541" t="s">
        <v>439</v>
      </c>
      <c r="D1021" s="656" t="s">
        <v>439</v>
      </c>
      <c r="E1021" s="532">
        <v>533.63750500000003</v>
      </c>
    </row>
    <row r="1022" spans="2:5" ht="15" x14ac:dyDescent="0.2">
      <c r="B1022" s="531">
        <v>1169</v>
      </c>
      <c r="C1022" s="541" t="s">
        <v>6895</v>
      </c>
      <c r="D1022" s="656" t="s">
        <v>439</v>
      </c>
      <c r="E1022" s="532">
        <v>544.46875</v>
      </c>
    </row>
    <row r="1023" spans="2:5" x14ac:dyDescent="0.2">
      <c r="B1023" s="533">
        <v>1170</v>
      </c>
      <c r="C1023" s="541" t="s">
        <v>1058</v>
      </c>
      <c r="D1023" s="656" t="s">
        <v>439</v>
      </c>
      <c r="E1023" s="534">
        <v>595.21001000000001</v>
      </c>
    </row>
    <row r="1024" spans="2:5" x14ac:dyDescent="0.2">
      <c r="B1024" s="533">
        <v>1171</v>
      </c>
      <c r="C1024" s="541" t="s">
        <v>953</v>
      </c>
      <c r="D1024" s="656" t="s">
        <v>439</v>
      </c>
      <c r="E1024" s="534">
        <v>585.22500600000001</v>
      </c>
    </row>
    <row r="1025" spans="2:5" x14ac:dyDescent="0.2">
      <c r="B1025" s="533">
        <v>1172</v>
      </c>
      <c r="C1025" s="541" t="s">
        <v>1522</v>
      </c>
      <c r="D1025" s="656" t="s">
        <v>439</v>
      </c>
      <c r="E1025" s="534">
        <v>622.15999799999997</v>
      </c>
    </row>
    <row r="1026" spans="2:5" x14ac:dyDescent="0.2">
      <c r="B1026" s="533">
        <v>1173</v>
      </c>
      <c r="C1026" s="541" t="s">
        <v>3078</v>
      </c>
      <c r="D1026" s="656" t="s">
        <v>7738</v>
      </c>
      <c r="E1026" s="534">
        <v>695.40002400000003</v>
      </c>
    </row>
    <row r="1027" spans="2:5" x14ac:dyDescent="0.2">
      <c r="B1027" s="533">
        <v>1174</v>
      </c>
      <c r="C1027" s="541" t="s">
        <v>3676</v>
      </c>
      <c r="D1027" s="656" t="s">
        <v>439</v>
      </c>
      <c r="E1027" s="534">
        <v>726.40000399999997</v>
      </c>
    </row>
    <row r="1028" spans="2:5" x14ac:dyDescent="0.2">
      <c r="B1028" s="533">
        <v>1175</v>
      </c>
      <c r="C1028" s="541" t="s">
        <v>6683</v>
      </c>
      <c r="D1028" s="656" t="s">
        <v>439</v>
      </c>
      <c r="E1028" s="534">
        <v>726.80000299999995</v>
      </c>
    </row>
    <row r="1029" spans="2:5" x14ac:dyDescent="0.2">
      <c r="B1029" s="533">
        <v>1176</v>
      </c>
      <c r="C1029" s="541" t="s">
        <v>2071</v>
      </c>
      <c r="D1029" s="656" t="s">
        <v>439</v>
      </c>
      <c r="E1029" s="534">
        <v>647.25</v>
      </c>
    </row>
    <row r="1030" spans="2:5" x14ac:dyDescent="0.2">
      <c r="B1030" s="533">
        <v>1177</v>
      </c>
      <c r="C1030" s="541" t="s">
        <v>6603</v>
      </c>
      <c r="D1030" s="656" t="s">
        <v>7738</v>
      </c>
      <c r="E1030" s="534">
        <v>676.71999500000004</v>
      </c>
    </row>
    <row r="1031" spans="2:5" x14ac:dyDescent="0.2">
      <c r="B1031" s="533">
        <v>1178</v>
      </c>
      <c r="C1031" s="541" t="s">
        <v>2210</v>
      </c>
      <c r="D1031" s="656" t="s">
        <v>7738</v>
      </c>
      <c r="E1031" s="534">
        <v>653.866669</v>
      </c>
    </row>
    <row r="1032" spans="2:5" x14ac:dyDescent="0.2">
      <c r="B1032" s="533">
        <v>1179</v>
      </c>
      <c r="C1032" s="541" t="s">
        <v>6760</v>
      </c>
      <c r="D1032" s="656" t="s">
        <v>7738</v>
      </c>
      <c r="E1032" s="534">
        <v>660.09997599999997</v>
      </c>
    </row>
    <row r="1033" spans="2:5" ht="15" x14ac:dyDescent="0.2">
      <c r="B1033" s="531">
        <v>1180</v>
      </c>
      <c r="C1033" s="541" t="s">
        <v>721</v>
      </c>
      <c r="D1033" s="656" t="s">
        <v>439</v>
      </c>
      <c r="E1033" s="532">
        <v>548.65713900000003</v>
      </c>
    </row>
    <row r="1034" spans="2:5" ht="15" x14ac:dyDescent="0.2">
      <c r="B1034" s="531">
        <v>1181</v>
      </c>
      <c r="C1034" s="541" t="s">
        <v>706</v>
      </c>
      <c r="D1034" s="656" t="s">
        <v>439</v>
      </c>
      <c r="E1034" s="532">
        <v>543.03334600000005</v>
      </c>
    </row>
    <row r="1035" spans="2:5" ht="15" x14ac:dyDescent="0.2">
      <c r="B1035" s="531">
        <v>1182</v>
      </c>
      <c r="C1035" s="541" t="s">
        <v>714</v>
      </c>
      <c r="D1035" s="656" t="s">
        <v>439</v>
      </c>
      <c r="E1035" s="532">
        <v>545.9</v>
      </c>
    </row>
    <row r="1036" spans="2:5" ht="15" x14ac:dyDescent="0.2">
      <c r="B1036" s="531">
        <v>1183</v>
      </c>
      <c r="C1036" s="541" t="s">
        <v>692</v>
      </c>
      <c r="D1036" s="656" t="s">
        <v>439</v>
      </c>
      <c r="E1036" s="532">
        <v>537.29998799999998</v>
      </c>
    </row>
    <row r="1037" spans="2:5" x14ac:dyDescent="0.2">
      <c r="B1037" s="533">
        <v>1184</v>
      </c>
      <c r="C1037" s="541" t="s">
        <v>730</v>
      </c>
      <c r="D1037" s="656" t="s">
        <v>439</v>
      </c>
      <c r="E1037" s="534">
        <v>552.59167000000002</v>
      </c>
    </row>
    <row r="1038" spans="2:5" ht="15" x14ac:dyDescent="0.2">
      <c r="B1038" s="531">
        <v>1185</v>
      </c>
      <c r="C1038" s="541" t="s">
        <v>6747</v>
      </c>
      <c r="D1038" s="656" t="s">
        <v>439</v>
      </c>
      <c r="E1038" s="532">
        <v>543.47500600000001</v>
      </c>
    </row>
    <row r="1039" spans="2:5" x14ac:dyDescent="0.2">
      <c r="B1039" s="533">
        <v>1186</v>
      </c>
      <c r="C1039" s="541" t="s">
        <v>6748</v>
      </c>
      <c r="D1039" s="656" t="s">
        <v>439</v>
      </c>
      <c r="E1039" s="534">
        <v>634.61248799999998</v>
      </c>
    </row>
    <row r="1040" spans="2:5" x14ac:dyDescent="0.2">
      <c r="B1040" s="533">
        <v>1187</v>
      </c>
      <c r="C1040" s="541" t="s">
        <v>1238</v>
      </c>
      <c r="D1040" s="656" t="s">
        <v>439</v>
      </c>
      <c r="E1040" s="534">
        <v>606.452178</v>
      </c>
    </row>
    <row r="1041" spans="2:5" x14ac:dyDescent="0.2">
      <c r="B1041" s="533">
        <v>1188</v>
      </c>
      <c r="C1041" s="541" t="s">
        <v>1513</v>
      </c>
      <c r="D1041" s="656" t="s">
        <v>439</v>
      </c>
      <c r="E1041" s="534">
        <v>621.66666699999996</v>
      </c>
    </row>
    <row r="1042" spans="2:5" x14ac:dyDescent="0.2">
      <c r="B1042" s="533">
        <v>1189</v>
      </c>
      <c r="C1042" s="541" t="s">
        <v>7616</v>
      </c>
      <c r="D1042" s="656" t="s">
        <v>439</v>
      </c>
      <c r="E1042" s="534">
        <v>644.52000699999996</v>
      </c>
    </row>
    <row r="1043" spans="2:5" x14ac:dyDescent="0.2">
      <c r="B1043" s="533">
        <v>1190</v>
      </c>
      <c r="C1043" s="541" t="s">
        <v>2304</v>
      </c>
      <c r="D1043" s="656" t="s">
        <v>7738</v>
      </c>
      <c r="E1043" s="534">
        <v>657.90002400000003</v>
      </c>
    </row>
    <row r="1044" spans="2:5" x14ac:dyDescent="0.2">
      <c r="B1044" s="533">
        <v>1191</v>
      </c>
      <c r="C1044" s="541" t="s">
        <v>7477</v>
      </c>
      <c r="D1044" s="656" t="s">
        <v>7738</v>
      </c>
      <c r="E1044" s="534">
        <v>647.82499700000005</v>
      </c>
    </row>
    <row r="1045" spans="2:5" x14ac:dyDescent="0.2">
      <c r="B1045" s="533">
        <v>1192</v>
      </c>
      <c r="C1045" s="541" t="s">
        <v>1841</v>
      </c>
      <c r="D1045" s="656" t="s">
        <v>7738</v>
      </c>
      <c r="E1045" s="534">
        <v>637.75</v>
      </c>
    </row>
    <row r="1046" spans="2:5" x14ac:dyDescent="0.2">
      <c r="B1046" s="533">
        <v>1193</v>
      </c>
      <c r="C1046" s="541" t="s">
        <v>2259</v>
      </c>
      <c r="D1046" s="656" t="s">
        <v>7738</v>
      </c>
      <c r="E1046" s="534">
        <v>656.08124499999997</v>
      </c>
    </row>
    <row r="1047" spans="2:5" x14ac:dyDescent="0.2">
      <c r="B1047" s="533">
        <v>1194</v>
      </c>
      <c r="C1047" s="541" t="s">
        <v>7323</v>
      </c>
      <c r="D1047" s="656" t="s">
        <v>7738</v>
      </c>
      <c r="E1047" s="534">
        <v>681.63749700000005</v>
      </c>
    </row>
    <row r="1048" spans="2:5" x14ac:dyDescent="0.2">
      <c r="B1048" s="533">
        <v>1195</v>
      </c>
      <c r="C1048" s="541" t="s">
        <v>3499</v>
      </c>
      <c r="D1048" s="656" t="s">
        <v>7738</v>
      </c>
      <c r="E1048" s="534">
        <v>716.43332899999996</v>
      </c>
    </row>
    <row r="1049" spans="2:5" x14ac:dyDescent="0.2">
      <c r="B1049" s="533">
        <v>1196</v>
      </c>
      <c r="C1049" s="541" t="s">
        <v>2776</v>
      </c>
      <c r="D1049" s="656" t="s">
        <v>7738</v>
      </c>
      <c r="E1049" s="534">
        <v>680.17501100000004</v>
      </c>
    </row>
    <row r="1050" spans="2:5" x14ac:dyDescent="0.2">
      <c r="B1050" s="533">
        <v>1197</v>
      </c>
      <c r="C1050" s="541" t="s">
        <v>2596</v>
      </c>
      <c r="D1050" s="656" t="s">
        <v>7738</v>
      </c>
      <c r="E1050" s="534">
        <v>671.05454299999997</v>
      </c>
    </row>
    <row r="1051" spans="2:5" x14ac:dyDescent="0.2">
      <c r="B1051" s="533">
        <v>1198</v>
      </c>
      <c r="C1051" s="541" t="s">
        <v>2531</v>
      </c>
      <c r="D1051" s="656" t="s">
        <v>7738</v>
      </c>
      <c r="E1051" s="534">
        <v>668.129999</v>
      </c>
    </row>
    <row r="1052" spans="2:5" x14ac:dyDescent="0.2">
      <c r="B1052" s="533">
        <v>1199</v>
      </c>
      <c r="C1052" s="541" t="s">
        <v>2016</v>
      </c>
      <c r="D1052" s="656" t="s">
        <v>7738</v>
      </c>
      <c r="E1052" s="534">
        <v>644.13334099999997</v>
      </c>
    </row>
    <row r="1053" spans="2:5" x14ac:dyDescent="0.2">
      <c r="B1053" s="533">
        <v>1200</v>
      </c>
      <c r="C1053" s="541" t="s">
        <v>2039</v>
      </c>
      <c r="D1053" s="656" t="s">
        <v>7738</v>
      </c>
      <c r="E1053" s="534">
        <v>645.29998799999998</v>
      </c>
    </row>
    <row r="1054" spans="2:5" x14ac:dyDescent="0.2">
      <c r="B1054" s="533">
        <v>1201</v>
      </c>
      <c r="C1054" s="541" t="s">
        <v>1156</v>
      </c>
      <c r="D1054" s="656" t="s">
        <v>7738</v>
      </c>
      <c r="E1054" s="534">
        <v>623.54998799999998</v>
      </c>
    </row>
    <row r="1055" spans="2:5" x14ac:dyDescent="0.2">
      <c r="B1055" s="533">
        <v>1202</v>
      </c>
      <c r="C1055" s="541" t="s">
        <v>6787</v>
      </c>
      <c r="D1055" s="656" t="s">
        <v>7738</v>
      </c>
      <c r="E1055" s="534">
        <v>635.16666699999996</v>
      </c>
    </row>
    <row r="1056" spans="2:5" ht="15" x14ac:dyDescent="0.2">
      <c r="B1056" s="531">
        <v>1203</v>
      </c>
      <c r="C1056" s="541" t="s">
        <v>671</v>
      </c>
      <c r="D1056" s="656" t="s">
        <v>439</v>
      </c>
      <c r="E1056" s="532">
        <v>523.26666299999999</v>
      </c>
    </row>
    <row r="1057" spans="2:5" ht="15" x14ac:dyDescent="0.2">
      <c r="B1057" s="531">
        <v>1204</v>
      </c>
      <c r="C1057" s="541" t="s">
        <v>673</v>
      </c>
      <c r="D1057" s="656" t="s">
        <v>439</v>
      </c>
      <c r="E1057" s="532">
        <v>525.30000299999995</v>
      </c>
    </row>
    <row r="1058" spans="2:5" ht="15" x14ac:dyDescent="0.2">
      <c r="B1058" s="531">
        <v>1205</v>
      </c>
      <c r="C1058" s="541" t="s">
        <v>694</v>
      </c>
      <c r="D1058" s="656" t="s">
        <v>439</v>
      </c>
      <c r="E1058" s="532">
        <v>538.50000999999997</v>
      </c>
    </row>
    <row r="1059" spans="2:5" x14ac:dyDescent="0.2">
      <c r="B1059" s="533">
        <v>1206</v>
      </c>
      <c r="C1059" s="541" t="s">
        <v>784</v>
      </c>
      <c r="D1059" s="656" t="s">
        <v>439</v>
      </c>
      <c r="E1059" s="534">
        <v>566.48461899999995</v>
      </c>
    </row>
    <row r="1060" spans="2:5" x14ac:dyDescent="0.2">
      <c r="B1060" s="533">
        <v>1207</v>
      </c>
      <c r="C1060" s="541" t="s">
        <v>1339</v>
      </c>
      <c r="D1060" s="656" t="s">
        <v>439</v>
      </c>
      <c r="E1060" s="534">
        <v>612.27778499999999</v>
      </c>
    </row>
    <row r="1061" spans="2:5" x14ac:dyDescent="0.2">
      <c r="B1061" s="533">
        <v>1208</v>
      </c>
      <c r="C1061" s="541" t="s">
        <v>1362</v>
      </c>
      <c r="D1061" s="656" t="s">
        <v>439</v>
      </c>
      <c r="E1061" s="534">
        <v>613.72000700000001</v>
      </c>
    </row>
    <row r="1062" spans="2:5" x14ac:dyDescent="0.2">
      <c r="B1062" s="533">
        <v>1209</v>
      </c>
      <c r="C1062" s="541" t="s">
        <v>1524</v>
      </c>
      <c r="D1062" s="656" t="s">
        <v>7738</v>
      </c>
      <c r="E1062" s="534">
        <v>622.29998799999998</v>
      </c>
    </row>
    <row r="1063" spans="2:5" x14ac:dyDescent="0.2">
      <c r="B1063" s="533">
        <v>1210</v>
      </c>
      <c r="C1063" s="541" t="s">
        <v>7427</v>
      </c>
      <c r="D1063" s="656" t="s">
        <v>7738</v>
      </c>
      <c r="E1063" s="534">
        <v>636.49997599999995</v>
      </c>
    </row>
    <row r="1064" spans="2:5" x14ac:dyDescent="0.2">
      <c r="B1064" s="533">
        <v>1211</v>
      </c>
      <c r="C1064" s="541" t="s">
        <v>1857</v>
      </c>
      <c r="D1064" s="656" t="s">
        <v>7738</v>
      </c>
      <c r="E1064" s="534">
        <v>638.61111100000005</v>
      </c>
    </row>
    <row r="1065" spans="2:5" x14ac:dyDescent="0.2">
      <c r="B1065" s="533">
        <v>1212</v>
      </c>
      <c r="C1065" s="541" t="s">
        <v>2194</v>
      </c>
      <c r="D1065" s="656" t="s">
        <v>7738</v>
      </c>
      <c r="E1065" s="534">
        <v>653</v>
      </c>
    </row>
    <row r="1066" spans="2:5" x14ac:dyDescent="0.2">
      <c r="B1066" s="533">
        <v>1213</v>
      </c>
      <c r="C1066" s="541" t="s">
        <v>2151</v>
      </c>
      <c r="D1066" s="656" t="s">
        <v>7738</v>
      </c>
      <c r="E1066" s="534">
        <v>651.29998799999998</v>
      </c>
    </row>
    <row r="1067" spans="2:5" x14ac:dyDescent="0.2">
      <c r="B1067" s="533">
        <v>1214</v>
      </c>
      <c r="C1067" s="541" t="s">
        <v>7082</v>
      </c>
      <c r="D1067" s="656" t="s">
        <v>7738</v>
      </c>
      <c r="E1067" s="534">
        <v>687.51428199999998</v>
      </c>
    </row>
    <row r="1068" spans="2:5" x14ac:dyDescent="0.2">
      <c r="B1068" s="533">
        <v>1215</v>
      </c>
      <c r="C1068" s="541" t="s">
        <v>2588</v>
      </c>
      <c r="D1068" s="656" t="s">
        <v>7738</v>
      </c>
      <c r="E1068" s="534">
        <v>670.57999299999994</v>
      </c>
    </row>
    <row r="1069" spans="2:5" x14ac:dyDescent="0.2">
      <c r="B1069" s="533">
        <v>1216</v>
      </c>
      <c r="C1069" s="541" t="s">
        <v>2107</v>
      </c>
      <c r="D1069" s="656" t="s">
        <v>7738</v>
      </c>
      <c r="E1069" s="534">
        <v>649.29998799999998</v>
      </c>
    </row>
    <row r="1070" spans="2:5" ht="15" x14ac:dyDescent="0.2">
      <c r="B1070" s="531">
        <v>1217</v>
      </c>
      <c r="C1070" s="541" t="s">
        <v>686</v>
      </c>
      <c r="D1070" s="656" t="s">
        <v>439</v>
      </c>
      <c r="E1070" s="532">
        <v>532.633331</v>
      </c>
    </row>
    <row r="1071" spans="2:5" ht="15" x14ac:dyDescent="0.2">
      <c r="B1071" s="531">
        <v>1218</v>
      </c>
      <c r="C1071" s="541" t="s">
        <v>699</v>
      </c>
      <c r="D1071" s="656" t="s">
        <v>439</v>
      </c>
      <c r="E1071" s="532">
        <v>541.81999499999995</v>
      </c>
    </row>
    <row r="1072" spans="2:5" x14ac:dyDescent="0.2">
      <c r="B1072" s="533">
        <v>1219</v>
      </c>
      <c r="C1072" s="541" t="s">
        <v>744</v>
      </c>
      <c r="D1072" s="656" t="s">
        <v>439</v>
      </c>
      <c r="E1072" s="534">
        <v>557.88334099999997</v>
      </c>
    </row>
    <row r="1073" spans="2:5" x14ac:dyDescent="0.2">
      <c r="B1073" s="533">
        <v>1220</v>
      </c>
      <c r="C1073" s="541" t="s">
        <v>792</v>
      </c>
      <c r="D1073" s="656" t="s">
        <v>439</v>
      </c>
      <c r="E1073" s="534">
        <v>567.22500600000001</v>
      </c>
    </row>
    <row r="1074" spans="2:5" x14ac:dyDescent="0.2">
      <c r="B1074" s="533">
        <v>1221</v>
      </c>
      <c r="C1074" s="541" t="s">
        <v>7175</v>
      </c>
      <c r="D1074" s="656" t="s">
        <v>439</v>
      </c>
      <c r="E1074" s="534">
        <v>579.67999299999997</v>
      </c>
    </row>
    <row r="1075" spans="2:5" x14ac:dyDescent="0.2">
      <c r="B1075" s="533">
        <v>1222</v>
      </c>
      <c r="C1075" s="541" t="s">
        <v>1253</v>
      </c>
      <c r="D1075" s="656" t="s">
        <v>439</v>
      </c>
      <c r="E1075" s="534">
        <v>607.22222199999999</v>
      </c>
    </row>
    <row r="1076" spans="2:5" x14ac:dyDescent="0.2">
      <c r="B1076" s="533">
        <v>1223</v>
      </c>
      <c r="C1076" s="541" t="s">
        <v>1608</v>
      </c>
      <c r="D1076" s="656" t="s">
        <v>7738</v>
      </c>
      <c r="E1076" s="534">
        <v>627.45455100000004</v>
      </c>
    </row>
    <row r="1077" spans="2:5" x14ac:dyDescent="0.2">
      <c r="B1077" s="533">
        <v>1224</v>
      </c>
      <c r="C1077" s="541" t="s">
        <v>1929</v>
      </c>
      <c r="D1077" s="656" t="s">
        <v>7738</v>
      </c>
      <c r="E1077" s="534">
        <v>641.37501499999996</v>
      </c>
    </row>
    <row r="1078" spans="2:5" x14ac:dyDescent="0.2">
      <c r="B1078" s="533">
        <v>1225</v>
      </c>
      <c r="C1078" s="541" t="s">
        <v>1687</v>
      </c>
      <c r="D1078" s="656" t="s">
        <v>7738</v>
      </c>
      <c r="E1078" s="534">
        <v>632.14999399999999</v>
      </c>
    </row>
    <row r="1079" spans="2:5" x14ac:dyDescent="0.2">
      <c r="B1079" s="533">
        <v>1226</v>
      </c>
      <c r="C1079" s="541" t="s">
        <v>1800</v>
      </c>
      <c r="D1079" s="656" t="s">
        <v>7738</v>
      </c>
      <c r="E1079" s="534">
        <v>636.47499100000005</v>
      </c>
    </row>
    <row r="1080" spans="2:5" x14ac:dyDescent="0.2">
      <c r="B1080" s="533">
        <v>1227</v>
      </c>
      <c r="C1080" s="541" t="s">
        <v>2713</v>
      </c>
      <c r="D1080" s="656" t="s">
        <v>7738</v>
      </c>
      <c r="E1080" s="534">
        <v>676.99999100000002</v>
      </c>
    </row>
    <row r="1081" spans="2:5" x14ac:dyDescent="0.2">
      <c r="B1081" s="533">
        <v>1228</v>
      </c>
      <c r="C1081" s="541" t="s">
        <v>2852</v>
      </c>
      <c r="D1081" s="656" t="s">
        <v>7738</v>
      </c>
      <c r="E1081" s="534">
        <v>684.46665399999995</v>
      </c>
    </row>
    <row r="1082" spans="2:5" x14ac:dyDescent="0.2">
      <c r="B1082" s="533">
        <v>1229</v>
      </c>
      <c r="C1082" s="541" t="s">
        <v>2269</v>
      </c>
      <c r="D1082" s="656" t="s">
        <v>7738</v>
      </c>
      <c r="E1082" s="534">
        <v>656.35000600000001</v>
      </c>
    </row>
    <row r="1083" spans="2:5" x14ac:dyDescent="0.2">
      <c r="B1083" s="533">
        <v>1230</v>
      </c>
      <c r="C1083" s="541" t="s">
        <v>757</v>
      </c>
      <c r="D1083" s="656" t="s">
        <v>439</v>
      </c>
      <c r="E1083" s="534">
        <v>561.79998799999998</v>
      </c>
    </row>
    <row r="1084" spans="2:5" x14ac:dyDescent="0.2">
      <c r="B1084" s="533">
        <v>1231</v>
      </c>
      <c r="C1084" s="541" t="s">
        <v>829</v>
      </c>
      <c r="D1084" s="656" t="s">
        <v>439</v>
      </c>
      <c r="E1084" s="534">
        <v>573.75</v>
      </c>
    </row>
    <row r="1085" spans="2:5" x14ac:dyDescent="0.2">
      <c r="B1085" s="533">
        <v>1232</v>
      </c>
      <c r="C1085" s="541" t="s">
        <v>762</v>
      </c>
      <c r="D1085" s="656" t="s">
        <v>439</v>
      </c>
      <c r="E1085" s="534">
        <v>562.639996</v>
      </c>
    </row>
    <row r="1086" spans="2:5" x14ac:dyDescent="0.2">
      <c r="B1086" s="533">
        <v>1233</v>
      </c>
      <c r="C1086" s="541" t="s">
        <v>855</v>
      </c>
      <c r="D1086" s="656" t="s">
        <v>439</v>
      </c>
      <c r="E1086" s="534">
        <v>575.94000200000005</v>
      </c>
    </row>
    <row r="1087" spans="2:5" x14ac:dyDescent="0.2">
      <c r="B1087" s="533">
        <v>1234</v>
      </c>
      <c r="C1087" s="541" t="s">
        <v>6794</v>
      </c>
      <c r="D1087" s="656" t="s">
        <v>439</v>
      </c>
      <c r="E1087" s="534">
        <v>560.84000200000003</v>
      </c>
    </row>
    <row r="1088" spans="2:5" ht="15" x14ac:dyDescent="0.2">
      <c r="B1088" s="531">
        <v>1235</v>
      </c>
      <c r="C1088" s="541" t="s">
        <v>7567</v>
      </c>
      <c r="D1088" s="656" t="s">
        <v>439</v>
      </c>
      <c r="E1088" s="532">
        <v>548.07501200000002</v>
      </c>
    </row>
    <row r="1089" spans="2:5" ht="15" x14ac:dyDescent="0.2">
      <c r="B1089" s="531">
        <v>1236</v>
      </c>
      <c r="C1089" s="541" t="s">
        <v>690</v>
      </c>
      <c r="D1089" s="656" t="s">
        <v>439</v>
      </c>
      <c r="E1089" s="532">
        <v>535.70001200000002</v>
      </c>
    </row>
    <row r="1090" spans="2:5" x14ac:dyDescent="0.2">
      <c r="B1090" s="533">
        <v>1237</v>
      </c>
      <c r="C1090" s="541" t="s">
        <v>770</v>
      </c>
      <c r="D1090" s="656" t="s">
        <v>439</v>
      </c>
      <c r="E1090" s="534">
        <v>563.63751200000002</v>
      </c>
    </row>
    <row r="1091" spans="2:5" x14ac:dyDescent="0.2">
      <c r="B1091" s="533">
        <v>1238</v>
      </c>
      <c r="C1091" s="541" t="s">
        <v>7036</v>
      </c>
      <c r="D1091" s="656" t="s">
        <v>439</v>
      </c>
      <c r="E1091" s="534">
        <v>586.75</v>
      </c>
    </row>
    <row r="1092" spans="2:5" x14ac:dyDescent="0.2">
      <c r="B1092" s="533">
        <v>1239</v>
      </c>
      <c r="C1092" s="541" t="s">
        <v>1198</v>
      </c>
      <c r="D1092" s="656" t="s">
        <v>439</v>
      </c>
      <c r="E1092" s="534">
        <v>604.13636399999996</v>
      </c>
    </row>
    <row r="1093" spans="2:5" x14ac:dyDescent="0.2">
      <c r="B1093" s="533">
        <v>1240</v>
      </c>
      <c r="C1093" s="541" t="s">
        <v>1450</v>
      </c>
      <c r="D1093" s="656" t="s">
        <v>439</v>
      </c>
      <c r="E1093" s="534">
        <v>618.24999400000002</v>
      </c>
    </row>
    <row r="1094" spans="2:5" x14ac:dyDescent="0.2">
      <c r="B1094" s="533">
        <v>1241</v>
      </c>
      <c r="C1094" s="541" t="s">
        <v>1664</v>
      </c>
      <c r="D1094" s="656" t="s">
        <v>439</v>
      </c>
      <c r="E1094" s="534">
        <v>630.76666299999999</v>
      </c>
    </row>
    <row r="1095" spans="2:5" x14ac:dyDescent="0.2">
      <c r="B1095" s="533">
        <v>1242</v>
      </c>
      <c r="C1095" s="541" t="s">
        <v>1071</v>
      </c>
      <c r="D1095" s="656" t="s">
        <v>7738</v>
      </c>
      <c r="E1095" s="534">
        <v>647.63332100000002</v>
      </c>
    </row>
    <row r="1096" spans="2:5" x14ac:dyDescent="0.2">
      <c r="B1096" s="533">
        <v>1243</v>
      </c>
      <c r="C1096" s="541" t="s">
        <v>1769</v>
      </c>
      <c r="D1096" s="656" t="s">
        <v>7738</v>
      </c>
      <c r="E1096" s="534">
        <v>635.31999900000005</v>
      </c>
    </row>
    <row r="1097" spans="2:5" x14ac:dyDescent="0.2">
      <c r="B1097" s="533">
        <v>1244</v>
      </c>
      <c r="C1097" s="541" t="s">
        <v>1538</v>
      </c>
      <c r="D1097" s="656" t="s">
        <v>7738</v>
      </c>
      <c r="E1097" s="534">
        <v>623.73333700000001</v>
      </c>
    </row>
    <row r="1098" spans="2:5" x14ac:dyDescent="0.2">
      <c r="B1098" s="533">
        <v>1245</v>
      </c>
      <c r="C1098" s="541" t="s">
        <v>1676</v>
      </c>
      <c r="D1098" s="656" t="s">
        <v>7738</v>
      </c>
      <c r="E1098" s="534">
        <v>631.56666099999995</v>
      </c>
    </row>
    <row r="1099" spans="2:5" x14ac:dyDescent="0.2">
      <c r="B1099" s="533">
        <v>1246</v>
      </c>
      <c r="C1099" s="541" t="s">
        <v>2237</v>
      </c>
      <c r="D1099" s="656" t="s">
        <v>7738</v>
      </c>
      <c r="E1099" s="534">
        <v>655.05001800000002</v>
      </c>
    </row>
    <row r="1100" spans="2:5" x14ac:dyDescent="0.2">
      <c r="B1100" s="533">
        <v>1247</v>
      </c>
      <c r="C1100" s="541" t="s">
        <v>1733</v>
      </c>
      <c r="D1100" s="656" t="s">
        <v>7738</v>
      </c>
      <c r="E1100" s="534">
        <v>633.79999999999995</v>
      </c>
    </row>
    <row r="1101" spans="2:5" x14ac:dyDescent="0.2">
      <c r="B1101" s="533">
        <v>1248</v>
      </c>
      <c r="C1101" s="541" t="s">
        <v>360</v>
      </c>
      <c r="D1101" s="656" t="s">
        <v>7738</v>
      </c>
      <c r="E1101" s="534">
        <v>627.55714599999999</v>
      </c>
    </row>
    <row r="1102" spans="2:5" x14ac:dyDescent="0.2">
      <c r="B1102" s="533">
        <v>1249</v>
      </c>
      <c r="C1102" s="541" t="s">
        <v>1200</v>
      </c>
      <c r="D1102" s="656" t="s">
        <v>7738</v>
      </c>
      <c r="E1102" s="534">
        <v>604.34286099999997</v>
      </c>
    </row>
    <row r="1103" spans="2:5" x14ac:dyDescent="0.2">
      <c r="B1103" s="533">
        <v>1250</v>
      </c>
      <c r="C1103" s="541" t="s">
        <v>890</v>
      </c>
      <c r="D1103" s="656" t="s">
        <v>7738</v>
      </c>
      <c r="E1103" s="534">
        <v>579.54001500000004</v>
      </c>
    </row>
    <row r="1104" spans="2:5" x14ac:dyDescent="0.2">
      <c r="B1104" s="533">
        <v>1251</v>
      </c>
      <c r="C1104" s="541" t="s">
        <v>1116</v>
      </c>
      <c r="D1104" s="656" t="s">
        <v>7738</v>
      </c>
      <c r="E1104" s="534">
        <v>599.34286099999997</v>
      </c>
    </row>
    <row r="1105" spans="2:5" x14ac:dyDescent="0.2">
      <c r="B1105" s="533">
        <v>1252</v>
      </c>
      <c r="C1105" s="541" t="s">
        <v>1611</v>
      </c>
      <c r="D1105" s="656" t="s">
        <v>7738</v>
      </c>
      <c r="E1105" s="534">
        <v>627.54286000000002</v>
      </c>
    </row>
    <row r="1106" spans="2:5" x14ac:dyDescent="0.2">
      <c r="B1106" s="533">
        <v>1253</v>
      </c>
      <c r="C1106" s="541" t="s">
        <v>1846</v>
      </c>
      <c r="D1106" s="656" t="s">
        <v>7738</v>
      </c>
      <c r="E1106" s="534">
        <v>638.18181800000002</v>
      </c>
    </row>
    <row r="1107" spans="2:5" x14ac:dyDescent="0.2">
      <c r="B1107" s="533">
        <v>1254</v>
      </c>
      <c r="C1107" s="541" t="s">
        <v>1477</v>
      </c>
      <c r="D1107" s="656" t="s">
        <v>7738</v>
      </c>
      <c r="E1107" s="534">
        <v>619.47499800000003</v>
      </c>
    </row>
    <row r="1108" spans="2:5" x14ac:dyDescent="0.2">
      <c r="B1108" s="533">
        <v>1255</v>
      </c>
      <c r="C1108" s="541" t="s">
        <v>1418</v>
      </c>
      <c r="D1108" s="656" t="s">
        <v>439</v>
      </c>
      <c r="E1108" s="534">
        <v>616.79998799999998</v>
      </c>
    </row>
    <row r="1109" spans="2:5" x14ac:dyDescent="0.2">
      <c r="B1109" s="533">
        <v>1256</v>
      </c>
      <c r="C1109" s="541" t="s">
        <v>2383</v>
      </c>
      <c r="D1109" s="656" t="s">
        <v>439</v>
      </c>
      <c r="E1109" s="534">
        <v>661.67999299999997</v>
      </c>
    </row>
    <row r="1110" spans="2:5" x14ac:dyDescent="0.2">
      <c r="B1110" s="533">
        <v>1301</v>
      </c>
      <c r="C1110" s="541" t="s">
        <v>4027</v>
      </c>
      <c r="D1110" s="656" t="s">
        <v>408</v>
      </c>
      <c r="E1110" s="534">
        <v>747.15715699999998</v>
      </c>
    </row>
    <row r="1111" spans="2:5" x14ac:dyDescent="0.2">
      <c r="B1111" s="533">
        <v>1302</v>
      </c>
      <c r="C1111" s="541" t="s">
        <v>2770</v>
      </c>
      <c r="D1111" s="656" t="s">
        <v>408</v>
      </c>
      <c r="E1111" s="534">
        <v>679.74284999999998</v>
      </c>
    </row>
    <row r="1112" spans="2:5" x14ac:dyDescent="0.2">
      <c r="B1112" s="533">
        <v>1303</v>
      </c>
      <c r="C1112" s="541" t="s">
        <v>3457</v>
      </c>
      <c r="D1112" s="656" t="s">
        <v>408</v>
      </c>
      <c r="E1112" s="534">
        <v>714.14999399999999</v>
      </c>
    </row>
    <row r="1113" spans="2:5" x14ac:dyDescent="0.2">
      <c r="B1113" s="533">
        <v>1304</v>
      </c>
      <c r="C1113" s="541" t="s">
        <v>1725</v>
      </c>
      <c r="D1113" s="656" t="s">
        <v>413</v>
      </c>
      <c r="E1113" s="534">
        <v>633.65</v>
      </c>
    </row>
    <row r="1114" spans="2:5" x14ac:dyDescent="0.2">
      <c r="B1114" s="533">
        <v>1305</v>
      </c>
      <c r="C1114" s="541" t="s">
        <v>2213</v>
      </c>
      <c r="D1114" s="656" t="s">
        <v>408</v>
      </c>
      <c r="E1114" s="534">
        <v>653.94166600000005</v>
      </c>
    </row>
    <row r="1115" spans="2:5" x14ac:dyDescent="0.2">
      <c r="B1115" s="533">
        <v>1306</v>
      </c>
      <c r="C1115" s="541" t="s">
        <v>1341</v>
      </c>
      <c r="D1115" s="656" t="s">
        <v>408</v>
      </c>
      <c r="E1115" s="534">
        <v>612.40000399999997</v>
      </c>
    </row>
    <row r="1116" spans="2:5" x14ac:dyDescent="0.2">
      <c r="B1116" s="533">
        <v>1307</v>
      </c>
      <c r="C1116" s="541" t="s">
        <v>2569</v>
      </c>
      <c r="D1116" s="656" t="s">
        <v>408</v>
      </c>
      <c r="E1116" s="534">
        <v>669.52857300000005</v>
      </c>
    </row>
    <row r="1117" spans="2:5" x14ac:dyDescent="0.2">
      <c r="B1117" s="533">
        <v>1308</v>
      </c>
      <c r="C1117" s="541" t="s">
        <v>1752</v>
      </c>
      <c r="D1117" s="656" t="s">
        <v>408</v>
      </c>
      <c r="E1117" s="534">
        <v>634.34999100000005</v>
      </c>
    </row>
    <row r="1118" spans="2:5" x14ac:dyDescent="0.2">
      <c r="B1118" s="533">
        <v>1309</v>
      </c>
      <c r="C1118" s="541" t="s">
        <v>2534</v>
      </c>
      <c r="D1118" s="656" t="s">
        <v>408</v>
      </c>
      <c r="E1118" s="534">
        <v>668.19999700000005</v>
      </c>
    </row>
    <row r="1119" spans="2:5" x14ac:dyDescent="0.2">
      <c r="B1119" s="533">
        <v>1310</v>
      </c>
      <c r="C1119" s="541" t="s">
        <v>3379</v>
      </c>
      <c r="D1119" s="656" t="s">
        <v>408</v>
      </c>
      <c r="E1119" s="534">
        <v>710.10000600000001</v>
      </c>
    </row>
    <row r="1120" spans="2:5" x14ac:dyDescent="0.2">
      <c r="B1120" s="533">
        <v>1311</v>
      </c>
      <c r="C1120" s="541" t="s">
        <v>1492</v>
      </c>
      <c r="D1120" s="656" t="s">
        <v>413</v>
      </c>
      <c r="E1120" s="534">
        <v>640.33332299999995</v>
      </c>
    </row>
    <row r="1121" spans="2:5" x14ac:dyDescent="0.2">
      <c r="B1121" s="533">
        <v>1312</v>
      </c>
      <c r="C1121" s="541" t="s">
        <v>2054</v>
      </c>
      <c r="D1121" s="656" t="s">
        <v>408</v>
      </c>
      <c r="E1121" s="534">
        <v>646</v>
      </c>
    </row>
    <row r="1122" spans="2:5" x14ac:dyDescent="0.2">
      <c r="B1122" s="533">
        <v>1313</v>
      </c>
      <c r="C1122" s="541" t="s">
        <v>4163</v>
      </c>
      <c r="D1122" s="656" t="s">
        <v>408</v>
      </c>
      <c r="E1122" s="534">
        <v>755.5</v>
      </c>
    </row>
    <row r="1123" spans="2:5" x14ac:dyDescent="0.2">
      <c r="B1123" s="533">
        <v>1314</v>
      </c>
      <c r="C1123" s="541" t="s">
        <v>1330</v>
      </c>
      <c r="D1123" s="656" t="s">
        <v>408</v>
      </c>
      <c r="E1123" s="534">
        <v>630.56667100000004</v>
      </c>
    </row>
    <row r="1124" spans="2:5" x14ac:dyDescent="0.2">
      <c r="B1124" s="533">
        <v>1315</v>
      </c>
      <c r="C1124" s="541" t="s">
        <v>3480</v>
      </c>
      <c r="D1124" s="656" t="s">
        <v>408</v>
      </c>
      <c r="E1124" s="534">
        <v>715.40000399999997</v>
      </c>
    </row>
    <row r="1125" spans="2:5" x14ac:dyDescent="0.2">
      <c r="B1125" s="533">
        <v>1316</v>
      </c>
      <c r="C1125" s="541" t="s">
        <v>3548</v>
      </c>
      <c r="D1125" s="656" t="s">
        <v>408</v>
      </c>
      <c r="E1125" s="534">
        <v>719</v>
      </c>
    </row>
    <row r="1126" spans="2:5" x14ac:dyDescent="0.2">
      <c r="B1126" s="533">
        <v>1317</v>
      </c>
      <c r="C1126" s="541" t="s">
        <v>1745</v>
      </c>
      <c r="D1126" s="656" t="s">
        <v>408</v>
      </c>
      <c r="E1126" s="534">
        <v>634.259998</v>
      </c>
    </row>
    <row r="1127" spans="2:5" x14ac:dyDescent="0.2">
      <c r="B1127" s="533">
        <v>1318</v>
      </c>
      <c r="C1127" s="541" t="s">
        <v>2799</v>
      </c>
      <c r="D1127" s="656" t="s">
        <v>408</v>
      </c>
      <c r="E1127" s="534">
        <v>681.59997599999997</v>
      </c>
    </row>
    <row r="1128" spans="2:5" x14ac:dyDescent="0.2">
      <c r="B1128" s="533">
        <v>1319</v>
      </c>
      <c r="C1128" s="541" t="s">
        <v>6574</v>
      </c>
      <c r="D1128" s="656" t="s">
        <v>413</v>
      </c>
      <c r="E1128" s="534">
        <v>645.75</v>
      </c>
    </row>
    <row r="1129" spans="2:5" x14ac:dyDescent="0.2">
      <c r="B1129" s="533">
        <v>1320</v>
      </c>
      <c r="C1129" s="541" t="s">
        <v>6586</v>
      </c>
      <c r="D1129" s="656" t="s">
        <v>408</v>
      </c>
      <c r="E1129" s="534">
        <v>815.56664999999998</v>
      </c>
    </row>
    <row r="1130" spans="2:5" x14ac:dyDescent="0.2">
      <c r="B1130" s="533">
        <v>1321</v>
      </c>
      <c r="C1130" s="541" t="s">
        <v>6587</v>
      </c>
      <c r="D1130" s="656" t="s">
        <v>408</v>
      </c>
      <c r="E1130" s="534">
        <v>851.29998799999998</v>
      </c>
    </row>
    <row r="1131" spans="2:5" x14ac:dyDescent="0.2">
      <c r="B1131" s="533">
        <v>1322</v>
      </c>
      <c r="C1131" s="541" t="s">
        <v>2323</v>
      </c>
      <c r="D1131" s="656" t="s">
        <v>413</v>
      </c>
      <c r="E1131" s="534">
        <v>658.96364000000005</v>
      </c>
    </row>
    <row r="1132" spans="2:5" x14ac:dyDescent="0.2">
      <c r="B1132" s="533">
        <v>1323</v>
      </c>
      <c r="C1132" s="541" t="s">
        <v>1158</v>
      </c>
      <c r="D1132" s="656" t="s">
        <v>408</v>
      </c>
      <c r="E1132" s="534">
        <v>602.09999100000005</v>
      </c>
    </row>
    <row r="1133" spans="2:5" x14ac:dyDescent="0.2">
      <c r="B1133" s="533">
        <v>1324</v>
      </c>
      <c r="C1133" s="541" t="s">
        <v>1015</v>
      </c>
      <c r="D1133" s="656" t="s">
        <v>413</v>
      </c>
      <c r="E1133" s="534">
        <v>591.70001200000002</v>
      </c>
    </row>
    <row r="1134" spans="2:5" x14ac:dyDescent="0.2">
      <c r="B1134" s="533">
        <v>1326</v>
      </c>
      <c r="C1134" s="541" t="s">
        <v>2227</v>
      </c>
      <c r="D1134" s="656" t="s">
        <v>408</v>
      </c>
      <c r="E1134" s="534">
        <v>654.60000600000001</v>
      </c>
    </row>
    <row r="1135" spans="2:5" x14ac:dyDescent="0.2">
      <c r="B1135" s="533">
        <v>1327</v>
      </c>
      <c r="C1135" s="541" t="s">
        <v>408</v>
      </c>
      <c r="D1135" s="656" t="s">
        <v>408</v>
      </c>
      <c r="E1135" s="534">
        <v>694.69999900000005</v>
      </c>
    </row>
    <row r="1136" spans="2:5" x14ac:dyDescent="0.2">
      <c r="B1136" s="533">
        <v>1328</v>
      </c>
      <c r="C1136" s="541" t="s">
        <v>3463</v>
      </c>
      <c r="D1136" s="656" t="s">
        <v>408</v>
      </c>
      <c r="E1136" s="534">
        <v>714.40002400000003</v>
      </c>
    </row>
    <row r="1137" spans="2:5" x14ac:dyDescent="0.2">
      <c r="B1137" s="533">
        <v>1329</v>
      </c>
      <c r="C1137" s="541" t="s">
        <v>6612</v>
      </c>
      <c r="D1137" s="656" t="s">
        <v>408</v>
      </c>
      <c r="E1137" s="534">
        <v>721.90002400000003</v>
      </c>
    </row>
    <row r="1138" spans="2:5" x14ac:dyDescent="0.2">
      <c r="B1138" s="533">
        <v>1330</v>
      </c>
      <c r="C1138" s="541" t="s">
        <v>2450</v>
      </c>
      <c r="D1138" s="656" t="s">
        <v>408</v>
      </c>
      <c r="E1138" s="534">
        <v>664.40002400000003</v>
      </c>
    </row>
    <row r="1139" spans="2:5" x14ac:dyDescent="0.2">
      <c r="B1139" s="533">
        <v>1331</v>
      </c>
      <c r="C1139" s="541" t="s">
        <v>2693</v>
      </c>
      <c r="D1139" s="656" t="s">
        <v>408</v>
      </c>
      <c r="E1139" s="534">
        <v>675.90002400000003</v>
      </c>
    </row>
    <row r="1140" spans="2:5" x14ac:dyDescent="0.2">
      <c r="B1140" s="533">
        <v>1332</v>
      </c>
      <c r="C1140" s="541" t="s">
        <v>1178</v>
      </c>
      <c r="D1140" s="656" t="s">
        <v>408</v>
      </c>
      <c r="E1140" s="534">
        <v>603.24285899999995</v>
      </c>
    </row>
    <row r="1141" spans="2:5" x14ac:dyDescent="0.2">
      <c r="B1141" s="533">
        <v>1333</v>
      </c>
      <c r="C1141" s="541" t="s">
        <v>3292</v>
      </c>
      <c r="D1141" s="656" t="s">
        <v>413</v>
      </c>
      <c r="E1141" s="534">
        <v>706.13334099999997</v>
      </c>
    </row>
    <row r="1142" spans="2:5" x14ac:dyDescent="0.2">
      <c r="B1142" s="533">
        <v>1334</v>
      </c>
      <c r="C1142" s="541" t="s">
        <v>6646</v>
      </c>
      <c r="D1142" s="656" t="s">
        <v>408</v>
      </c>
      <c r="E1142" s="534">
        <v>645.04998799999998</v>
      </c>
    </row>
    <row r="1143" spans="2:5" x14ac:dyDescent="0.2">
      <c r="B1143" s="533">
        <v>1335</v>
      </c>
      <c r="C1143" s="541" t="s">
        <v>6648</v>
      </c>
      <c r="D1143" s="656" t="s">
        <v>413</v>
      </c>
      <c r="E1143" s="534">
        <v>608.11429299999998</v>
      </c>
    </row>
    <row r="1144" spans="2:5" x14ac:dyDescent="0.2">
      <c r="B1144" s="533">
        <v>1336</v>
      </c>
      <c r="C1144" s="541" t="s">
        <v>777</v>
      </c>
      <c r="D1144" s="656" t="s">
        <v>413</v>
      </c>
      <c r="E1144" s="534">
        <v>564.85000600000001</v>
      </c>
    </row>
    <row r="1145" spans="2:5" x14ac:dyDescent="0.2">
      <c r="B1145" s="533">
        <v>1337</v>
      </c>
      <c r="C1145" s="541" t="s">
        <v>3798</v>
      </c>
      <c r="D1145" s="656" t="s">
        <v>408</v>
      </c>
      <c r="E1145" s="534">
        <v>733.375</v>
      </c>
    </row>
    <row r="1146" spans="2:5" x14ac:dyDescent="0.2">
      <c r="B1146" s="533">
        <v>1338</v>
      </c>
      <c r="C1146" s="541" t="s">
        <v>1040</v>
      </c>
      <c r="D1146" s="656" t="s">
        <v>413</v>
      </c>
      <c r="E1146" s="534">
        <v>593.93001100000004</v>
      </c>
    </row>
    <row r="1147" spans="2:5" x14ac:dyDescent="0.2">
      <c r="B1147" s="533">
        <v>1339</v>
      </c>
      <c r="C1147" s="541" t="s">
        <v>2360</v>
      </c>
      <c r="D1147" s="656" t="s">
        <v>408</v>
      </c>
      <c r="E1147" s="534">
        <v>660.51999499999999</v>
      </c>
    </row>
    <row r="1148" spans="2:5" x14ac:dyDescent="0.2">
      <c r="B1148" s="533">
        <v>1340</v>
      </c>
      <c r="C1148" s="541" t="s">
        <v>815</v>
      </c>
      <c r="D1148" s="656" t="s">
        <v>408</v>
      </c>
      <c r="E1148" s="534">
        <v>762.70001200000002</v>
      </c>
    </row>
    <row r="1149" spans="2:5" x14ac:dyDescent="0.2">
      <c r="B1149" s="533">
        <v>1341</v>
      </c>
      <c r="C1149" s="541" t="s">
        <v>1084</v>
      </c>
      <c r="D1149" s="656" t="s">
        <v>413</v>
      </c>
      <c r="E1149" s="534">
        <v>597.03332499999999</v>
      </c>
    </row>
    <row r="1150" spans="2:5" x14ac:dyDescent="0.2">
      <c r="B1150" s="533">
        <v>1342</v>
      </c>
      <c r="C1150" s="541" t="s">
        <v>2809</v>
      </c>
      <c r="D1150" s="656" t="s">
        <v>408</v>
      </c>
      <c r="E1150" s="534">
        <v>681.94998199999998</v>
      </c>
    </row>
    <row r="1151" spans="2:5" x14ac:dyDescent="0.2">
      <c r="B1151" s="533">
        <v>1343</v>
      </c>
      <c r="C1151" s="541" t="s">
        <v>1840</v>
      </c>
      <c r="D1151" s="656" t="s">
        <v>408</v>
      </c>
      <c r="E1151" s="534">
        <v>637.72857699999997</v>
      </c>
    </row>
    <row r="1152" spans="2:5" x14ac:dyDescent="0.2">
      <c r="B1152" s="533">
        <v>1344</v>
      </c>
      <c r="C1152" s="541" t="s">
        <v>2143</v>
      </c>
      <c r="D1152" s="656" t="s">
        <v>408</v>
      </c>
      <c r="E1152" s="534">
        <v>650.86665900000003</v>
      </c>
    </row>
    <row r="1153" spans="2:5" x14ac:dyDescent="0.2">
      <c r="B1153" s="533">
        <v>1345</v>
      </c>
      <c r="C1153" s="541" t="s">
        <v>3504</v>
      </c>
      <c r="D1153" s="656" t="s">
        <v>408</v>
      </c>
      <c r="E1153" s="534">
        <v>717.06667100000004</v>
      </c>
    </row>
    <row r="1154" spans="2:5" x14ac:dyDescent="0.2">
      <c r="B1154" s="533">
        <v>1346</v>
      </c>
      <c r="C1154" s="541" t="s">
        <v>1219</v>
      </c>
      <c r="D1154" s="656" t="s">
        <v>408</v>
      </c>
      <c r="E1154" s="534">
        <v>732.5</v>
      </c>
    </row>
    <row r="1155" spans="2:5" x14ac:dyDescent="0.2">
      <c r="B1155" s="533">
        <v>1347</v>
      </c>
      <c r="C1155" s="541" t="s">
        <v>4597</v>
      </c>
      <c r="D1155" s="656" t="s">
        <v>408</v>
      </c>
      <c r="E1155" s="534">
        <v>788.23331700000006</v>
      </c>
    </row>
    <row r="1156" spans="2:5" x14ac:dyDescent="0.2">
      <c r="B1156" s="533">
        <v>1348</v>
      </c>
      <c r="C1156" s="541" t="s">
        <v>2335</v>
      </c>
      <c r="D1156" s="656" t="s">
        <v>413</v>
      </c>
      <c r="E1156" s="534">
        <v>659.38182500000005</v>
      </c>
    </row>
    <row r="1157" spans="2:5" x14ac:dyDescent="0.2">
      <c r="B1157" s="533">
        <v>1349</v>
      </c>
      <c r="C1157" s="541" t="s">
        <v>3849</v>
      </c>
      <c r="D1157" s="656" t="s">
        <v>413</v>
      </c>
      <c r="E1157" s="534">
        <v>736.16666699999996</v>
      </c>
    </row>
    <row r="1158" spans="2:5" x14ac:dyDescent="0.2">
      <c r="B1158" s="533">
        <v>1350</v>
      </c>
      <c r="C1158" s="541" t="s">
        <v>972</v>
      </c>
      <c r="D1158" s="656" t="s">
        <v>413</v>
      </c>
      <c r="E1158" s="534">
        <v>587.10000600000001</v>
      </c>
    </row>
    <row r="1159" spans="2:5" x14ac:dyDescent="0.2">
      <c r="B1159" s="533">
        <v>1351</v>
      </c>
      <c r="C1159" s="541" t="s">
        <v>2549</v>
      </c>
      <c r="D1159" s="656" t="s">
        <v>408</v>
      </c>
      <c r="E1159" s="534">
        <v>668.70001200000002</v>
      </c>
    </row>
    <row r="1160" spans="2:5" x14ac:dyDescent="0.2">
      <c r="B1160" s="533">
        <v>1352</v>
      </c>
      <c r="C1160" s="541" t="s">
        <v>2141</v>
      </c>
      <c r="D1160" s="656" t="s">
        <v>408</v>
      </c>
      <c r="E1160" s="534">
        <v>650.81667100000004</v>
      </c>
    </row>
    <row r="1161" spans="2:5" x14ac:dyDescent="0.2">
      <c r="B1161" s="533">
        <v>1353</v>
      </c>
      <c r="C1161" s="541" t="s">
        <v>6763</v>
      </c>
      <c r="D1161" s="656" t="s">
        <v>408</v>
      </c>
      <c r="E1161" s="534">
        <v>698.06667100000004</v>
      </c>
    </row>
    <row r="1162" spans="2:5" x14ac:dyDescent="0.2">
      <c r="B1162" s="533">
        <v>1354</v>
      </c>
      <c r="C1162" s="541" t="s">
        <v>1666</v>
      </c>
      <c r="D1162" s="656" t="s">
        <v>408</v>
      </c>
      <c r="E1162" s="534">
        <v>630.90833999999995</v>
      </c>
    </row>
    <row r="1163" spans="2:5" x14ac:dyDescent="0.2">
      <c r="B1163" s="533">
        <v>1355</v>
      </c>
      <c r="C1163" s="541" t="s">
        <v>3957</v>
      </c>
      <c r="D1163" s="656" t="s">
        <v>408</v>
      </c>
      <c r="E1163" s="534">
        <v>742.66666699999996</v>
      </c>
    </row>
    <row r="1164" spans="2:5" x14ac:dyDescent="0.2">
      <c r="B1164" s="533">
        <v>1356</v>
      </c>
      <c r="C1164" s="541" t="s">
        <v>6782</v>
      </c>
      <c r="D1164" s="656" t="s">
        <v>408</v>
      </c>
      <c r="E1164" s="534">
        <v>610.96666500000003</v>
      </c>
    </row>
    <row r="1165" spans="2:5" x14ac:dyDescent="0.2">
      <c r="B1165" s="533">
        <v>1357</v>
      </c>
      <c r="C1165" s="541" t="s">
        <v>3756</v>
      </c>
      <c r="D1165" s="656" t="s">
        <v>408</v>
      </c>
      <c r="E1165" s="534">
        <v>730.89999</v>
      </c>
    </row>
    <row r="1166" spans="2:5" x14ac:dyDescent="0.2">
      <c r="B1166" s="533">
        <v>1358</v>
      </c>
      <c r="C1166" s="541" t="s">
        <v>1108</v>
      </c>
      <c r="D1166" s="656" t="s">
        <v>408</v>
      </c>
      <c r="E1166" s="534">
        <v>598.63334099999997</v>
      </c>
    </row>
    <row r="1167" spans="2:5" ht="15" x14ac:dyDescent="0.2">
      <c r="B1167" s="531">
        <v>1359</v>
      </c>
      <c r="C1167" s="541" t="s">
        <v>6789</v>
      </c>
      <c r="D1167" s="656" t="s">
        <v>408</v>
      </c>
      <c r="E1167" s="532">
        <v>521.54000199999996</v>
      </c>
    </row>
    <row r="1168" spans="2:5" x14ac:dyDescent="0.2">
      <c r="B1168" s="533">
        <v>1360</v>
      </c>
      <c r="C1168" s="541" t="s">
        <v>1966</v>
      </c>
      <c r="D1168" s="656" t="s">
        <v>408</v>
      </c>
      <c r="E1168" s="534">
        <v>642.59997599999997</v>
      </c>
    </row>
    <row r="1169" spans="2:5" x14ac:dyDescent="0.2">
      <c r="B1169" s="533">
        <v>1361</v>
      </c>
      <c r="C1169" s="541" t="s">
        <v>3920</v>
      </c>
      <c r="D1169" s="656" t="s">
        <v>408</v>
      </c>
      <c r="E1169" s="534">
        <v>740.48748799999998</v>
      </c>
    </row>
    <row r="1170" spans="2:5" x14ac:dyDescent="0.2">
      <c r="B1170" s="533">
        <v>1362</v>
      </c>
      <c r="C1170" s="541" t="s">
        <v>6874</v>
      </c>
      <c r="D1170" s="656" t="s">
        <v>408</v>
      </c>
      <c r="E1170" s="534">
        <v>703.30000500000006</v>
      </c>
    </row>
    <row r="1171" spans="2:5" x14ac:dyDescent="0.2">
      <c r="B1171" s="533">
        <v>1363</v>
      </c>
      <c r="C1171" s="541" t="s">
        <v>6591</v>
      </c>
      <c r="D1171" s="656" t="s">
        <v>408</v>
      </c>
      <c r="E1171" s="534">
        <v>614.67500299999995</v>
      </c>
    </row>
    <row r="1172" spans="2:5" x14ac:dyDescent="0.2">
      <c r="B1172" s="533">
        <v>1364</v>
      </c>
      <c r="C1172" s="541" t="s">
        <v>6910</v>
      </c>
      <c r="D1172" s="656" t="s">
        <v>408</v>
      </c>
      <c r="E1172" s="534">
        <v>631.75</v>
      </c>
    </row>
    <row r="1173" spans="2:5" x14ac:dyDescent="0.2">
      <c r="B1173" s="533">
        <v>1365</v>
      </c>
      <c r="C1173" s="541" t="s">
        <v>2793</v>
      </c>
      <c r="D1173" s="656" t="s">
        <v>408</v>
      </c>
      <c r="E1173" s="534">
        <v>681.10000600000001</v>
      </c>
    </row>
    <row r="1174" spans="2:5" x14ac:dyDescent="0.2">
      <c r="B1174" s="533">
        <v>1366</v>
      </c>
      <c r="C1174" s="541" t="s">
        <v>1992</v>
      </c>
      <c r="D1174" s="656" t="s">
        <v>413</v>
      </c>
      <c r="E1174" s="534">
        <v>643.33333300000004</v>
      </c>
    </row>
    <row r="1175" spans="2:5" x14ac:dyDescent="0.2">
      <c r="B1175" s="533">
        <v>1367</v>
      </c>
      <c r="C1175" s="541" t="s">
        <v>6950</v>
      </c>
      <c r="D1175" s="656" t="s">
        <v>408</v>
      </c>
      <c r="E1175" s="534">
        <v>715.13332100000002</v>
      </c>
    </row>
    <row r="1176" spans="2:5" x14ac:dyDescent="0.2">
      <c r="B1176" s="533">
        <v>1368</v>
      </c>
      <c r="C1176" s="541" t="s">
        <v>2453</v>
      </c>
      <c r="D1176" s="656" t="s">
        <v>408</v>
      </c>
      <c r="E1176" s="534">
        <v>664.59999600000003</v>
      </c>
    </row>
    <row r="1177" spans="2:5" x14ac:dyDescent="0.2">
      <c r="B1177" s="533">
        <v>1369</v>
      </c>
      <c r="C1177" s="541" t="s">
        <v>6955</v>
      </c>
      <c r="D1177" s="656" t="s">
        <v>408</v>
      </c>
      <c r="E1177" s="534">
        <v>651.59997599999997</v>
      </c>
    </row>
    <row r="1178" spans="2:5" x14ac:dyDescent="0.2">
      <c r="B1178" s="533">
        <v>1370</v>
      </c>
      <c r="C1178" s="541" t="s">
        <v>3490</v>
      </c>
      <c r="D1178" s="656" t="s">
        <v>408</v>
      </c>
      <c r="E1178" s="534">
        <v>715.90002400000003</v>
      </c>
    </row>
    <row r="1179" spans="2:5" x14ac:dyDescent="0.2">
      <c r="B1179" s="533">
        <v>1371</v>
      </c>
      <c r="C1179" s="541" t="s">
        <v>1211</v>
      </c>
      <c r="D1179" s="656" t="s">
        <v>408</v>
      </c>
      <c r="E1179" s="534">
        <v>605.09999600000003</v>
      </c>
    </row>
    <row r="1180" spans="2:5" x14ac:dyDescent="0.2">
      <c r="B1180" s="533">
        <v>1372</v>
      </c>
      <c r="C1180" s="541" t="s">
        <v>1184</v>
      </c>
      <c r="D1180" s="656" t="s">
        <v>408</v>
      </c>
      <c r="E1180" s="534">
        <v>603.52220999999997</v>
      </c>
    </row>
    <row r="1181" spans="2:5" x14ac:dyDescent="0.2">
      <c r="B1181" s="533">
        <v>1373</v>
      </c>
      <c r="C1181" s="541" t="s">
        <v>2954</v>
      </c>
      <c r="D1181" s="656" t="s">
        <v>408</v>
      </c>
      <c r="E1181" s="534">
        <v>688.62856599999998</v>
      </c>
    </row>
    <row r="1182" spans="2:5" x14ac:dyDescent="0.2">
      <c r="B1182" s="533">
        <v>1374</v>
      </c>
      <c r="C1182" s="541" t="s">
        <v>1889</v>
      </c>
      <c r="D1182" s="656" t="s">
        <v>408</v>
      </c>
      <c r="E1182" s="534">
        <v>639.79998799999998</v>
      </c>
    </row>
    <row r="1183" spans="2:5" ht="15" x14ac:dyDescent="0.2">
      <c r="B1183" s="531">
        <v>1375</v>
      </c>
      <c r="C1183" s="541" t="s">
        <v>710</v>
      </c>
      <c r="D1183" s="656" t="s">
        <v>408</v>
      </c>
      <c r="E1183" s="532">
        <v>545.08000500000003</v>
      </c>
    </row>
    <row r="1184" spans="2:5" x14ac:dyDescent="0.2">
      <c r="B1184" s="533">
        <v>1376</v>
      </c>
      <c r="C1184" s="541" t="s">
        <v>1367</v>
      </c>
      <c r="D1184" s="656" t="s">
        <v>413</v>
      </c>
      <c r="E1184" s="534">
        <v>613.95999800000004</v>
      </c>
    </row>
    <row r="1185" spans="2:5" x14ac:dyDescent="0.2">
      <c r="B1185" s="533">
        <v>1377</v>
      </c>
      <c r="C1185" s="541" t="s">
        <v>7010</v>
      </c>
      <c r="D1185" s="656" t="s">
        <v>408</v>
      </c>
      <c r="E1185" s="534">
        <v>815.75</v>
      </c>
    </row>
    <row r="1186" spans="2:5" x14ac:dyDescent="0.2">
      <c r="B1186" s="533">
        <v>1378</v>
      </c>
      <c r="C1186" s="541" t="s">
        <v>3496</v>
      </c>
      <c r="D1186" s="656" t="s">
        <v>408</v>
      </c>
      <c r="E1186" s="534">
        <v>716.20001200000002</v>
      </c>
    </row>
    <row r="1187" spans="2:5" x14ac:dyDescent="0.2">
      <c r="B1187" s="533">
        <v>1379</v>
      </c>
      <c r="C1187" s="541" t="s">
        <v>7016</v>
      </c>
      <c r="D1187" s="656" t="s">
        <v>408</v>
      </c>
      <c r="E1187" s="534">
        <v>747.06664999999998</v>
      </c>
    </row>
    <row r="1188" spans="2:5" x14ac:dyDescent="0.2">
      <c r="B1188" s="533">
        <v>1380</v>
      </c>
      <c r="C1188" s="541" t="s">
        <v>1397</v>
      </c>
      <c r="D1188" s="656" t="s">
        <v>413</v>
      </c>
      <c r="E1188" s="534">
        <v>615.29998799999998</v>
      </c>
    </row>
    <row r="1189" spans="2:5" x14ac:dyDescent="0.2">
      <c r="B1189" s="533">
        <v>1381</v>
      </c>
      <c r="C1189" s="541" t="s">
        <v>2277</v>
      </c>
      <c r="D1189" s="656" t="s">
        <v>413</v>
      </c>
      <c r="E1189" s="534">
        <v>656.79999799999996</v>
      </c>
    </row>
    <row r="1190" spans="2:5" ht="15" x14ac:dyDescent="0.2">
      <c r="B1190" s="531">
        <v>1382</v>
      </c>
      <c r="C1190" s="541" t="s">
        <v>713</v>
      </c>
      <c r="D1190" s="656" t="s">
        <v>408</v>
      </c>
      <c r="E1190" s="532">
        <v>545.79998799999998</v>
      </c>
    </row>
    <row r="1191" spans="2:5" x14ac:dyDescent="0.2">
      <c r="B1191" s="533">
        <v>1383</v>
      </c>
      <c r="C1191" s="541" t="s">
        <v>3860</v>
      </c>
      <c r="D1191" s="656" t="s">
        <v>408</v>
      </c>
      <c r="E1191" s="534">
        <v>736.75</v>
      </c>
    </row>
    <row r="1192" spans="2:5" x14ac:dyDescent="0.2">
      <c r="B1192" s="533">
        <v>1384</v>
      </c>
      <c r="C1192" s="541" t="s">
        <v>4255</v>
      </c>
      <c r="D1192" s="656" t="s">
        <v>408</v>
      </c>
      <c r="E1192" s="534">
        <v>762.09999100000005</v>
      </c>
    </row>
    <row r="1193" spans="2:5" x14ac:dyDescent="0.2">
      <c r="B1193" s="533">
        <v>1385</v>
      </c>
      <c r="C1193" s="541" t="s">
        <v>2648</v>
      </c>
      <c r="D1193" s="656" t="s">
        <v>408</v>
      </c>
      <c r="E1193" s="534">
        <v>674.14999399999999</v>
      </c>
    </row>
    <row r="1194" spans="2:5" x14ac:dyDescent="0.2">
      <c r="B1194" s="533">
        <v>1386</v>
      </c>
      <c r="C1194" s="541" t="s">
        <v>4067</v>
      </c>
      <c r="D1194" s="656" t="s">
        <v>408</v>
      </c>
      <c r="E1194" s="534">
        <v>749.75</v>
      </c>
    </row>
    <row r="1195" spans="2:5" x14ac:dyDescent="0.2">
      <c r="B1195" s="533">
        <v>1387</v>
      </c>
      <c r="C1195" s="541" t="s">
        <v>2537</v>
      </c>
      <c r="D1195" s="656" t="s">
        <v>408</v>
      </c>
      <c r="E1195" s="534">
        <v>668.30001800000002</v>
      </c>
    </row>
    <row r="1196" spans="2:5" x14ac:dyDescent="0.2">
      <c r="B1196" s="533">
        <v>1388</v>
      </c>
      <c r="C1196" s="541" t="s">
        <v>3693</v>
      </c>
      <c r="D1196" s="656" t="s">
        <v>408</v>
      </c>
      <c r="E1196" s="534">
        <v>727.32501200000002</v>
      </c>
    </row>
    <row r="1197" spans="2:5" x14ac:dyDescent="0.2">
      <c r="B1197" s="533">
        <v>1389</v>
      </c>
      <c r="C1197" s="541" t="s">
        <v>2106</v>
      </c>
      <c r="D1197" s="656" t="s">
        <v>408</v>
      </c>
      <c r="E1197" s="534">
        <v>649.22500600000001</v>
      </c>
    </row>
    <row r="1198" spans="2:5" x14ac:dyDescent="0.2">
      <c r="B1198" s="533">
        <v>1390</v>
      </c>
      <c r="C1198" s="541" t="s">
        <v>1893</v>
      </c>
      <c r="D1198" s="656" t="s">
        <v>413</v>
      </c>
      <c r="E1198" s="534">
        <v>640.07142899999997</v>
      </c>
    </row>
    <row r="1199" spans="2:5" x14ac:dyDescent="0.2">
      <c r="B1199" s="533">
        <v>1391</v>
      </c>
      <c r="C1199" s="541" t="s">
        <v>7072</v>
      </c>
      <c r="D1199" s="656" t="s">
        <v>408</v>
      </c>
      <c r="E1199" s="534">
        <v>678.09997599999997</v>
      </c>
    </row>
    <row r="1200" spans="2:5" x14ac:dyDescent="0.2">
      <c r="B1200" s="533">
        <v>1392</v>
      </c>
      <c r="C1200" s="541" t="s">
        <v>7084</v>
      </c>
      <c r="D1200" s="656" t="s">
        <v>408</v>
      </c>
      <c r="E1200" s="534">
        <v>637.04998799999998</v>
      </c>
    </row>
    <row r="1201" spans="2:5" x14ac:dyDescent="0.2">
      <c r="B1201" s="533">
        <v>1393</v>
      </c>
      <c r="C1201" s="541" t="s">
        <v>7088</v>
      </c>
      <c r="D1201" s="656" t="s">
        <v>413</v>
      </c>
      <c r="E1201" s="534">
        <v>602.96667500000001</v>
      </c>
    </row>
    <row r="1202" spans="2:5" x14ac:dyDescent="0.2">
      <c r="B1202" s="533">
        <v>1394</v>
      </c>
      <c r="C1202" s="541" t="s">
        <v>7091</v>
      </c>
      <c r="D1202" s="656" t="s">
        <v>413</v>
      </c>
      <c r="E1202" s="534">
        <v>761.13748899999996</v>
      </c>
    </row>
    <row r="1203" spans="2:5" x14ac:dyDescent="0.2">
      <c r="B1203" s="533">
        <v>1395</v>
      </c>
      <c r="C1203" s="541" t="s">
        <v>7106</v>
      </c>
      <c r="D1203" s="656" t="s">
        <v>413</v>
      </c>
      <c r="E1203" s="534">
        <v>686.43332899999996</v>
      </c>
    </row>
    <row r="1204" spans="2:5" x14ac:dyDescent="0.2">
      <c r="B1204" s="533">
        <v>1396</v>
      </c>
      <c r="C1204" s="541" t="s">
        <v>4427</v>
      </c>
      <c r="D1204" s="656" t="s">
        <v>413</v>
      </c>
      <c r="E1204" s="534">
        <v>775.64999399999999</v>
      </c>
    </row>
    <row r="1205" spans="2:5" x14ac:dyDescent="0.2">
      <c r="B1205" s="533">
        <v>1397</v>
      </c>
      <c r="C1205" s="541" t="s">
        <v>748</v>
      </c>
      <c r="D1205" s="656" t="s">
        <v>408</v>
      </c>
      <c r="E1205" s="534">
        <v>559.90000399999997</v>
      </c>
    </row>
    <row r="1206" spans="2:5" x14ac:dyDescent="0.2">
      <c r="B1206" s="533">
        <v>1398</v>
      </c>
      <c r="C1206" s="541" t="s">
        <v>2341</v>
      </c>
      <c r="D1206" s="656" t="s">
        <v>413</v>
      </c>
      <c r="E1206" s="534">
        <v>659.63333799999998</v>
      </c>
    </row>
    <row r="1207" spans="2:5" x14ac:dyDescent="0.2">
      <c r="B1207" s="533">
        <v>1399</v>
      </c>
      <c r="C1207" s="541" t="s">
        <v>3999</v>
      </c>
      <c r="D1207" s="656" t="s">
        <v>408</v>
      </c>
      <c r="E1207" s="534">
        <v>745.54998799999998</v>
      </c>
    </row>
    <row r="1208" spans="2:5" x14ac:dyDescent="0.2">
      <c r="B1208" s="533">
        <v>1400</v>
      </c>
      <c r="C1208" s="541" t="s">
        <v>1830</v>
      </c>
      <c r="D1208" s="656" t="s">
        <v>408</v>
      </c>
      <c r="E1208" s="534">
        <v>637.34999100000005</v>
      </c>
    </row>
    <row r="1209" spans="2:5" x14ac:dyDescent="0.2">
      <c r="B1209" s="533">
        <v>1401</v>
      </c>
      <c r="C1209" s="541" t="s">
        <v>2803</v>
      </c>
      <c r="D1209" s="656" t="s">
        <v>408</v>
      </c>
      <c r="E1209" s="534">
        <v>681.80001800000002</v>
      </c>
    </row>
    <row r="1210" spans="2:5" x14ac:dyDescent="0.2">
      <c r="B1210" s="533">
        <v>1402</v>
      </c>
      <c r="C1210" s="541" t="s">
        <v>2012</v>
      </c>
      <c r="D1210" s="656" t="s">
        <v>413</v>
      </c>
      <c r="E1210" s="534">
        <v>643.96666500000003</v>
      </c>
    </row>
    <row r="1211" spans="2:5" x14ac:dyDescent="0.2">
      <c r="B1211" s="533">
        <v>1403</v>
      </c>
      <c r="C1211" s="541" t="s">
        <v>413</v>
      </c>
      <c r="D1211" s="656" t="s">
        <v>413</v>
      </c>
      <c r="E1211" s="534">
        <v>616.69167100000004</v>
      </c>
    </row>
    <row r="1212" spans="2:5" x14ac:dyDescent="0.2">
      <c r="B1212" s="533">
        <v>1404</v>
      </c>
      <c r="C1212" s="541" t="s">
        <v>7137</v>
      </c>
      <c r="D1212" s="656" t="s">
        <v>408</v>
      </c>
      <c r="E1212" s="534">
        <v>695.10000600000001</v>
      </c>
    </row>
    <row r="1213" spans="2:5" x14ac:dyDescent="0.2">
      <c r="B1213" s="533">
        <v>1405</v>
      </c>
      <c r="C1213" s="541" t="s">
        <v>7142</v>
      </c>
      <c r="D1213" s="656" t="s">
        <v>408</v>
      </c>
      <c r="E1213" s="534">
        <v>635.5</v>
      </c>
    </row>
    <row r="1214" spans="2:5" x14ac:dyDescent="0.2">
      <c r="B1214" s="533">
        <v>1406</v>
      </c>
      <c r="C1214" s="541" t="s">
        <v>2248</v>
      </c>
      <c r="D1214" s="656" t="s">
        <v>413</v>
      </c>
      <c r="E1214" s="534">
        <v>655.59997599999997</v>
      </c>
    </row>
    <row r="1215" spans="2:5" x14ac:dyDescent="0.2">
      <c r="B1215" s="533">
        <v>1407</v>
      </c>
      <c r="C1215" s="541" t="s">
        <v>1581</v>
      </c>
      <c r="D1215" s="656" t="s">
        <v>413</v>
      </c>
      <c r="E1215" s="534">
        <v>625.86667899999998</v>
      </c>
    </row>
    <row r="1216" spans="2:5" x14ac:dyDescent="0.2">
      <c r="B1216" s="533">
        <v>1408</v>
      </c>
      <c r="C1216" s="541" t="s">
        <v>1690</v>
      </c>
      <c r="D1216" s="656" t="s">
        <v>413</v>
      </c>
      <c r="E1216" s="534">
        <v>632.23333700000001</v>
      </c>
    </row>
    <row r="1217" spans="2:5" x14ac:dyDescent="0.2">
      <c r="B1217" s="533">
        <v>1409</v>
      </c>
      <c r="C1217" s="541" t="s">
        <v>4691</v>
      </c>
      <c r="D1217" s="656" t="s">
        <v>408</v>
      </c>
      <c r="E1217" s="534">
        <v>795.75</v>
      </c>
    </row>
    <row r="1218" spans="2:5" x14ac:dyDescent="0.2">
      <c r="B1218" s="533">
        <v>1410</v>
      </c>
      <c r="C1218" s="541" t="s">
        <v>2416</v>
      </c>
      <c r="D1218" s="656" t="s">
        <v>408</v>
      </c>
      <c r="E1218" s="534">
        <v>663.44000900000003</v>
      </c>
    </row>
    <row r="1219" spans="2:5" x14ac:dyDescent="0.2">
      <c r="B1219" s="533">
        <v>1411</v>
      </c>
      <c r="C1219" s="541" t="s">
        <v>1086</v>
      </c>
      <c r="D1219" s="656" t="s">
        <v>408</v>
      </c>
      <c r="E1219" s="534">
        <v>623.85000600000001</v>
      </c>
    </row>
    <row r="1220" spans="2:5" x14ac:dyDescent="0.2">
      <c r="B1220" s="533">
        <v>1412</v>
      </c>
      <c r="C1220" s="541" t="s">
        <v>2186</v>
      </c>
      <c r="D1220" s="656" t="s">
        <v>413</v>
      </c>
      <c r="E1220" s="534">
        <v>652.70001200000002</v>
      </c>
    </row>
    <row r="1221" spans="2:5" x14ac:dyDescent="0.2">
      <c r="B1221" s="533">
        <v>1413</v>
      </c>
      <c r="C1221" s="541" t="s">
        <v>1491</v>
      </c>
      <c r="D1221" s="656" t="s">
        <v>408</v>
      </c>
      <c r="E1221" s="534">
        <v>620.40002400000003</v>
      </c>
    </row>
    <row r="1222" spans="2:5" x14ac:dyDescent="0.2">
      <c r="B1222" s="533">
        <v>1414</v>
      </c>
      <c r="C1222" s="541" t="s">
        <v>1152</v>
      </c>
      <c r="D1222" s="656" t="s">
        <v>413</v>
      </c>
      <c r="E1222" s="534">
        <v>601.68748500000004</v>
      </c>
    </row>
    <row r="1223" spans="2:5" x14ac:dyDescent="0.2">
      <c r="B1223" s="533">
        <v>1415</v>
      </c>
      <c r="C1223" s="541" t="s">
        <v>4484</v>
      </c>
      <c r="D1223" s="656" t="s">
        <v>408</v>
      </c>
      <c r="E1223" s="534">
        <v>779.5</v>
      </c>
    </row>
    <row r="1224" spans="2:5" x14ac:dyDescent="0.2">
      <c r="B1224" s="533">
        <v>1416</v>
      </c>
      <c r="C1224" s="541" t="s">
        <v>1408</v>
      </c>
      <c r="D1224" s="656" t="s">
        <v>413</v>
      </c>
      <c r="E1224" s="534">
        <v>616.35000600000001</v>
      </c>
    </row>
    <row r="1225" spans="2:5" x14ac:dyDescent="0.2">
      <c r="B1225" s="533">
        <v>1417</v>
      </c>
      <c r="C1225" s="541" t="s">
        <v>3657</v>
      </c>
      <c r="D1225" s="656" t="s">
        <v>408</v>
      </c>
      <c r="E1225" s="534">
        <v>725.09999600000003</v>
      </c>
    </row>
    <row r="1226" spans="2:5" x14ac:dyDescent="0.2">
      <c r="B1226" s="533">
        <v>1418</v>
      </c>
      <c r="C1226" s="541" t="s">
        <v>3281</v>
      </c>
      <c r="D1226" s="656" t="s">
        <v>408</v>
      </c>
      <c r="E1226" s="534">
        <v>705.20001200000002</v>
      </c>
    </row>
    <row r="1227" spans="2:5" x14ac:dyDescent="0.2">
      <c r="B1227" s="533">
        <v>1419</v>
      </c>
      <c r="C1227" s="541" t="s">
        <v>7170</v>
      </c>
      <c r="D1227" s="656" t="s">
        <v>413</v>
      </c>
      <c r="E1227" s="534">
        <v>687.13332100000002</v>
      </c>
    </row>
    <row r="1228" spans="2:5" x14ac:dyDescent="0.2">
      <c r="B1228" s="533">
        <v>1420</v>
      </c>
      <c r="C1228" s="541" t="s">
        <v>7171</v>
      </c>
      <c r="D1228" s="656" t="s">
        <v>408</v>
      </c>
      <c r="E1228" s="534">
        <v>683.64000199999998</v>
      </c>
    </row>
    <row r="1229" spans="2:5" x14ac:dyDescent="0.2">
      <c r="B1229" s="533">
        <v>1421</v>
      </c>
      <c r="C1229" s="541" t="s">
        <v>7172</v>
      </c>
      <c r="D1229" s="656" t="s">
        <v>408</v>
      </c>
      <c r="E1229" s="534">
        <v>749.29999799999996</v>
      </c>
    </row>
    <row r="1230" spans="2:5" x14ac:dyDescent="0.2">
      <c r="B1230" s="533">
        <v>1422</v>
      </c>
      <c r="C1230" s="541" t="s">
        <v>2800</v>
      </c>
      <c r="D1230" s="656" t="s">
        <v>408</v>
      </c>
      <c r="E1230" s="534">
        <v>681.66666699999996</v>
      </c>
    </row>
    <row r="1231" spans="2:5" x14ac:dyDescent="0.2">
      <c r="B1231" s="533">
        <v>1423</v>
      </c>
      <c r="C1231" s="541" t="s">
        <v>917</v>
      </c>
      <c r="D1231" s="656" t="s">
        <v>413</v>
      </c>
      <c r="E1231" s="534">
        <v>582.56666099999995</v>
      </c>
    </row>
    <row r="1232" spans="2:5" x14ac:dyDescent="0.2">
      <c r="B1232" s="533">
        <v>1424</v>
      </c>
      <c r="C1232" s="541" t="s">
        <v>1814</v>
      </c>
      <c r="D1232" s="656" t="s">
        <v>408</v>
      </c>
      <c r="E1232" s="534">
        <v>636.80000299999995</v>
      </c>
    </row>
    <row r="1233" spans="2:5" x14ac:dyDescent="0.2">
      <c r="B1233" s="533">
        <v>1425</v>
      </c>
      <c r="C1233" s="541" t="s">
        <v>1644</v>
      </c>
      <c r="D1233" s="656" t="s">
        <v>413</v>
      </c>
      <c r="E1233" s="534">
        <v>629.32501200000002</v>
      </c>
    </row>
    <row r="1234" spans="2:5" x14ac:dyDescent="0.2">
      <c r="B1234" s="533">
        <v>1426</v>
      </c>
      <c r="C1234" s="541" t="s">
        <v>2171</v>
      </c>
      <c r="D1234" s="656" t="s">
        <v>408</v>
      </c>
      <c r="E1234" s="534">
        <v>652.16667700000005</v>
      </c>
    </row>
    <row r="1235" spans="2:5" x14ac:dyDescent="0.2">
      <c r="B1235" s="533">
        <v>1427</v>
      </c>
      <c r="C1235" s="541" t="s">
        <v>2091</v>
      </c>
      <c r="D1235" s="656" t="s">
        <v>413</v>
      </c>
      <c r="E1235" s="534">
        <v>648.09998800000005</v>
      </c>
    </row>
    <row r="1236" spans="2:5" x14ac:dyDescent="0.2">
      <c r="B1236" s="533">
        <v>1428</v>
      </c>
      <c r="C1236" s="541" t="s">
        <v>1972</v>
      </c>
      <c r="D1236" s="656" t="s">
        <v>408</v>
      </c>
      <c r="E1236" s="534">
        <v>785.94999700000005</v>
      </c>
    </row>
    <row r="1237" spans="2:5" x14ac:dyDescent="0.2">
      <c r="B1237" s="533">
        <v>1429</v>
      </c>
      <c r="C1237" s="541" t="s">
        <v>1071</v>
      </c>
      <c r="D1237" s="656" t="s">
        <v>408</v>
      </c>
      <c r="E1237" s="534">
        <v>626.02500899999995</v>
      </c>
    </row>
    <row r="1238" spans="2:5" x14ac:dyDescent="0.2">
      <c r="B1238" s="533">
        <v>1430</v>
      </c>
      <c r="C1238" s="541" t="s">
        <v>3006</v>
      </c>
      <c r="D1238" s="656" t="s">
        <v>408</v>
      </c>
      <c r="E1238" s="534">
        <v>691.5</v>
      </c>
    </row>
    <row r="1239" spans="2:5" x14ac:dyDescent="0.2">
      <c r="B1239" s="533">
        <v>1431</v>
      </c>
      <c r="C1239" s="541" t="s">
        <v>1446</v>
      </c>
      <c r="D1239" s="656" t="s">
        <v>408</v>
      </c>
      <c r="E1239" s="534">
        <v>617.93998999999997</v>
      </c>
    </row>
    <row r="1240" spans="2:5" x14ac:dyDescent="0.2">
      <c r="B1240" s="533">
        <v>1432</v>
      </c>
      <c r="C1240" s="541" t="s">
        <v>1924</v>
      </c>
      <c r="D1240" s="656" t="s">
        <v>408</v>
      </c>
      <c r="E1240" s="534">
        <v>641.30001800000002</v>
      </c>
    </row>
    <row r="1241" spans="2:5" x14ac:dyDescent="0.2">
      <c r="B1241" s="533">
        <v>1433</v>
      </c>
      <c r="C1241" s="541" t="s">
        <v>3907</v>
      </c>
      <c r="D1241" s="656" t="s">
        <v>408</v>
      </c>
      <c r="E1241" s="534">
        <v>739.92856300000005</v>
      </c>
    </row>
    <row r="1242" spans="2:5" x14ac:dyDescent="0.2">
      <c r="B1242" s="533">
        <v>1434</v>
      </c>
      <c r="C1242" s="541" t="s">
        <v>4977</v>
      </c>
      <c r="D1242" s="656" t="s">
        <v>408</v>
      </c>
      <c r="E1242" s="534">
        <v>821.05001800000002</v>
      </c>
    </row>
    <row r="1243" spans="2:5" x14ac:dyDescent="0.2">
      <c r="B1243" s="533">
        <v>1435</v>
      </c>
      <c r="C1243" s="541" t="s">
        <v>3151</v>
      </c>
      <c r="D1243" s="656" t="s">
        <v>408</v>
      </c>
      <c r="E1243" s="534">
        <v>699.43335000000002</v>
      </c>
    </row>
    <row r="1244" spans="2:5" x14ac:dyDescent="0.2">
      <c r="B1244" s="533">
        <v>1436</v>
      </c>
      <c r="C1244" s="541" t="s">
        <v>7241</v>
      </c>
      <c r="D1244" s="656" t="s">
        <v>408</v>
      </c>
      <c r="E1244" s="534">
        <v>670.73333700000001</v>
      </c>
    </row>
    <row r="1245" spans="2:5" x14ac:dyDescent="0.2">
      <c r="B1245" s="533">
        <v>1437</v>
      </c>
      <c r="C1245" s="541" t="s">
        <v>1506</v>
      </c>
      <c r="D1245" s="656" t="s">
        <v>413</v>
      </c>
      <c r="E1245" s="534">
        <v>621.45001200000002</v>
      </c>
    </row>
    <row r="1246" spans="2:5" x14ac:dyDescent="0.2">
      <c r="B1246" s="533">
        <v>1438</v>
      </c>
      <c r="C1246" s="541" t="s">
        <v>1632</v>
      </c>
      <c r="D1246" s="656" t="s">
        <v>408</v>
      </c>
      <c r="E1246" s="534">
        <v>628.59999600000003</v>
      </c>
    </row>
    <row r="1247" spans="2:5" x14ac:dyDescent="0.2">
      <c r="B1247" s="533">
        <v>1439</v>
      </c>
      <c r="C1247" s="541" t="s">
        <v>7266</v>
      </c>
      <c r="D1247" s="656" t="s">
        <v>413</v>
      </c>
      <c r="E1247" s="534">
        <v>737.759998</v>
      </c>
    </row>
    <row r="1248" spans="2:5" x14ac:dyDescent="0.2">
      <c r="B1248" s="533">
        <v>1440</v>
      </c>
      <c r="C1248" s="541" t="s">
        <v>7259</v>
      </c>
      <c r="D1248" s="656" t="s">
        <v>408</v>
      </c>
      <c r="E1248" s="534">
        <v>688.30000800000005</v>
      </c>
    </row>
    <row r="1249" spans="2:5" x14ac:dyDescent="0.2">
      <c r="B1249" s="533">
        <v>1441</v>
      </c>
      <c r="C1249" s="541" t="s">
        <v>3456</v>
      </c>
      <c r="D1249" s="656" t="s">
        <v>413</v>
      </c>
      <c r="E1249" s="534">
        <v>714.13999000000001</v>
      </c>
    </row>
    <row r="1250" spans="2:5" x14ac:dyDescent="0.2">
      <c r="B1250" s="533">
        <v>1442</v>
      </c>
      <c r="C1250" s="541" t="s">
        <v>3279</v>
      </c>
      <c r="D1250" s="656" t="s">
        <v>408</v>
      </c>
      <c r="E1250" s="534">
        <v>705.12498500000004</v>
      </c>
    </row>
    <row r="1251" spans="2:5" x14ac:dyDescent="0.2">
      <c r="B1251" s="533">
        <v>1443</v>
      </c>
      <c r="C1251" s="541" t="s">
        <v>1758</v>
      </c>
      <c r="D1251" s="656" t="s">
        <v>413</v>
      </c>
      <c r="E1251" s="534">
        <v>634.84286099999997</v>
      </c>
    </row>
    <row r="1252" spans="2:5" x14ac:dyDescent="0.2">
      <c r="B1252" s="533">
        <v>1444</v>
      </c>
      <c r="C1252" s="541" t="s">
        <v>2002</v>
      </c>
      <c r="D1252" s="656" t="s">
        <v>408</v>
      </c>
      <c r="E1252" s="534">
        <v>643.76668299999994</v>
      </c>
    </row>
    <row r="1253" spans="2:5" x14ac:dyDescent="0.2">
      <c r="B1253" s="533">
        <v>1445</v>
      </c>
      <c r="C1253" s="541" t="s">
        <v>3319</v>
      </c>
      <c r="D1253" s="656" t="s">
        <v>408</v>
      </c>
      <c r="E1253" s="534">
        <v>707.44998199999998</v>
      </c>
    </row>
    <row r="1254" spans="2:5" x14ac:dyDescent="0.2">
      <c r="B1254" s="533">
        <v>1446</v>
      </c>
      <c r="C1254" s="541" t="s">
        <v>2102</v>
      </c>
      <c r="D1254" s="656" t="s">
        <v>413</v>
      </c>
      <c r="E1254" s="534">
        <v>649.08000500000003</v>
      </c>
    </row>
    <row r="1255" spans="2:5" x14ac:dyDescent="0.2">
      <c r="B1255" s="533">
        <v>1447</v>
      </c>
      <c r="C1255" s="541" t="s">
        <v>3745</v>
      </c>
      <c r="D1255" s="656" t="s">
        <v>408</v>
      </c>
      <c r="E1255" s="534">
        <v>730</v>
      </c>
    </row>
    <row r="1256" spans="2:5" x14ac:dyDescent="0.2">
      <c r="B1256" s="533">
        <v>1448</v>
      </c>
      <c r="C1256" s="541" t="s">
        <v>2331</v>
      </c>
      <c r="D1256" s="656" t="s">
        <v>408</v>
      </c>
      <c r="E1256" s="534">
        <v>659.19999199999995</v>
      </c>
    </row>
    <row r="1257" spans="2:5" x14ac:dyDescent="0.2">
      <c r="B1257" s="533">
        <v>1449</v>
      </c>
      <c r="C1257" s="541" t="s">
        <v>2725</v>
      </c>
      <c r="D1257" s="656" t="s">
        <v>408</v>
      </c>
      <c r="E1257" s="534">
        <v>677.375</v>
      </c>
    </row>
    <row r="1258" spans="2:5" x14ac:dyDescent="0.2">
      <c r="B1258" s="533">
        <v>1450</v>
      </c>
      <c r="C1258" s="541" t="s">
        <v>3684</v>
      </c>
      <c r="D1258" s="656" t="s">
        <v>408</v>
      </c>
      <c r="E1258" s="534">
        <v>726.75454400000001</v>
      </c>
    </row>
    <row r="1259" spans="2:5" x14ac:dyDescent="0.2">
      <c r="B1259" s="533">
        <v>1451</v>
      </c>
      <c r="C1259" s="541" t="s">
        <v>3848</v>
      </c>
      <c r="D1259" s="656" t="s">
        <v>408</v>
      </c>
      <c r="E1259" s="534">
        <v>736.04998799999998</v>
      </c>
    </row>
    <row r="1260" spans="2:5" x14ac:dyDescent="0.2">
      <c r="B1260" s="533">
        <v>1452</v>
      </c>
      <c r="C1260" s="541" t="s">
        <v>7317</v>
      </c>
      <c r="D1260" s="656" t="s">
        <v>413</v>
      </c>
      <c r="E1260" s="534">
        <v>632.83998999999994</v>
      </c>
    </row>
    <row r="1261" spans="2:5" x14ac:dyDescent="0.2">
      <c r="B1261" s="533">
        <v>1453</v>
      </c>
      <c r="C1261" s="541" t="s">
        <v>1652</v>
      </c>
      <c r="D1261" s="656" t="s">
        <v>413</v>
      </c>
      <c r="E1261" s="534">
        <v>630.31426999999996</v>
      </c>
    </row>
    <row r="1262" spans="2:5" x14ac:dyDescent="0.2">
      <c r="B1262" s="533">
        <v>1454</v>
      </c>
      <c r="C1262" s="541" t="s">
        <v>817</v>
      </c>
      <c r="D1262" s="656" t="s">
        <v>413</v>
      </c>
      <c r="E1262" s="534">
        <v>572.14999399999999</v>
      </c>
    </row>
    <row r="1263" spans="2:5" x14ac:dyDescent="0.2">
      <c r="B1263" s="533">
        <v>1455</v>
      </c>
      <c r="C1263" s="541" t="s">
        <v>2247</v>
      </c>
      <c r="D1263" s="656" t="s">
        <v>408</v>
      </c>
      <c r="E1263" s="534">
        <v>655.536833</v>
      </c>
    </row>
    <row r="1264" spans="2:5" x14ac:dyDescent="0.2">
      <c r="B1264" s="533">
        <v>1456</v>
      </c>
      <c r="C1264" s="541" t="s">
        <v>7356</v>
      </c>
      <c r="D1264" s="656" t="s">
        <v>408</v>
      </c>
      <c r="E1264" s="534">
        <v>714.5</v>
      </c>
    </row>
    <row r="1265" spans="2:5" x14ac:dyDescent="0.2">
      <c r="B1265" s="533">
        <v>1457</v>
      </c>
      <c r="C1265" s="541" t="s">
        <v>2077</v>
      </c>
      <c r="D1265" s="656" t="s">
        <v>408</v>
      </c>
      <c r="E1265" s="534">
        <v>681.25</v>
      </c>
    </row>
    <row r="1266" spans="2:5" x14ac:dyDescent="0.2">
      <c r="B1266" s="533">
        <v>1458</v>
      </c>
      <c r="C1266" s="541" t="s">
        <v>751</v>
      </c>
      <c r="D1266" s="656" t="s">
        <v>408</v>
      </c>
      <c r="E1266" s="534">
        <v>560.57499700000005</v>
      </c>
    </row>
    <row r="1267" spans="2:5" x14ac:dyDescent="0.2">
      <c r="B1267" s="533">
        <v>1459</v>
      </c>
      <c r="C1267" s="541" t="s">
        <v>7372</v>
      </c>
      <c r="D1267" s="656" t="s">
        <v>408</v>
      </c>
      <c r="E1267" s="534">
        <v>659.77000699999996</v>
      </c>
    </row>
    <row r="1268" spans="2:5" x14ac:dyDescent="0.2">
      <c r="B1268" s="533">
        <v>1460</v>
      </c>
      <c r="C1268" s="541" t="s">
        <v>427</v>
      </c>
      <c r="D1268" s="656" t="s">
        <v>413</v>
      </c>
      <c r="E1268" s="534">
        <v>630.25</v>
      </c>
    </row>
    <row r="1269" spans="2:5" x14ac:dyDescent="0.2">
      <c r="B1269" s="533">
        <v>1461</v>
      </c>
      <c r="C1269" s="541" t="s">
        <v>1804</v>
      </c>
      <c r="D1269" s="656" t="s">
        <v>408</v>
      </c>
      <c r="E1269" s="534">
        <v>636.60000600000001</v>
      </c>
    </row>
    <row r="1270" spans="2:5" x14ac:dyDescent="0.2">
      <c r="B1270" s="533">
        <v>1462</v>
      </c>
      <c r="C1270" s="541" t="s">
        <v>1304</v>
      </c>
      <c r="D1270" s="656" t="s">
        <v>408</v>
      </c>
      <c r="E1270" s="534">
        <v>610.35000600000001</v>
      </c>
    </row>
    <row r="1271" spans="2:5" x14ac:dyDescent="0.2">
      <c r="B1271" s="533">
        <v>1463</v>
      </c>
      <c r="C1271" s="541" t="s">
        <v>3544</v>
      </c>
      <c r="D1271" s="656" t="s">
        <v>408</v>
      </c>
      <c r="E1271" s="534">
        <v>718.86665900000003</v>
      </c>
    </row>
    <row r="1272" spans="2:5" x14ac:dyDescent="0.2">
      <c r="B1272" s="533">
        <v>1464</v>
      </c>
      <c r="C1272" s="541" t="s">
        <v>4348</v>
      </c>
      <c r="D1272" s="656" t="s">
        <v>413</v>
      </c>
      <c r="E1272" s="534">
        <v>768.625</v>
      </c>
    </row>
    <row r="1273" spans="2:5" x14ac:dyDescent="0.2">
      <c r="B1273" s="533">
        <v>1465</v>
      </c>
      <c r="C1273" s="541" t="s">
        <v>4645</v>
      </c>
      <c r="D1273" s="656" t="s">
        <v>408</v>
      </c>
      <c r="E1273" s="534">
        <v>792.61664800000005</v>
      </c>
    </row>
    <row r="1274" spans="2:5" x14ac:dyDescent="0.2">
      <c r="B1274" s="533">
        <v>1466</v>
      </c>
      <c r="C1274" s="541" t="s">
        <v>7409</v>
      </c>
      <c r="D1274" s="656" t="s">
        <v>408</v>
      </c>
      <c r="E1274" s="534">
        <v>802</v>
      </c>
    </row>
    <row r="1275" spans="2:5" x14ac:dyDescent="0.2">
      <c r="B1275" s="533">
        <v>1467</v>
      </c>
      <c r="C1275" s="541" t="s">
        <v>2166</v>
      </c>
      <c r="D1275" s="656" t="s">
        <v>408</v>
      </c>
      <c r="E1275" s="534">
        <v>652</v>
      </c>
    </row>
    <row r="1276" spans="2:5" x14ac:dyDescent="0.2">
      <c r="B1276" s="533">
        <v>1468</v>
      </c>
      <c r="C1276" s="541" t="s">
        <v>3152</v>
      </c>
      <c r="D1276" s="656" t="s">
        <v>408</v>
      </c>
      <c r="E1276" s="534">
        <v>699.45001200000002</v>
      </c>
    </row>
    <row r="1277" spans="2:5" x14ac:dyDescent="0.2">
      <c r="B1277" s="533">
        <v>1469</v>
      </c>
      <c r="C1277" s="541" t="s">
        <v>1640</v>
      </c>
      <c r="D1277" s="656" t="s">
        <v>408</v>
      </c>
      <c r="E1277" s="534">
        <v>629.07499700000005</v>
      </c>
    </row>
    <row r="1278" spans="2:5" x14ac:dyDescent="0.2">
      <c r="B1278" s="533">
        <v>1470</v>
      </c>
      <c r="C1278" s="541" t="s">
        <v>3421</v>
      </c>
      <c r="D1278" s="656" t="s">
        <v>408</v>
      </c>
      <c r="E1278" s="534">
        <v>712.47999300000004</v>
      </c>
    </row>
    <row r="1279" spans="2:5" x14ac:dyDescent="0.2">
      <c r="B1279" s="533">
        <v>1471</v>
      </c>
      <c r="C1279" s="541" t="s">
        <v>1324</v>
      </c>
      <c r="D1279" s="656" t="s">
        <v>413</v>
      </c>
      <c r="E1279" s="534">
        <v>611.6875</v>
      </c>
    </row>
    <row r="1280" spans="2:5" x14ac:dyDescent="0.2">
      <c r="B1280" s="533">
        <v>1472</v>
      </c>
      <c r="C1280" s="541" t="s">
        <v>7430</v>
      </c>
      <c r="D1280" s="656" t="s">
        <v>413</v>
      </c>
      <c r="E1280" s="534">
        <v>575.69999700000005</v>
      </c>
    </row>
    <row r="1281" spans="2:5" x14ac:dyDescent="0.2">
      <c r="B1281" s="533">
        <v>1473</v>
      </c>
      <c r="C1281" s="541" t="s">
        <v>7448</v>
      </c>
      <c r="D1281" s="656" t="s">
        <v>408</v>
      </c>
      <c r="E1281" s="534">
        <v>757.79998799999998</v>
      </c>
    </row>
    <row r="1282" spans="2:5" x14ac:dyDescent="0.2">
      <c r="B1282" s="533">
        <v>1474</v>
      </c>
      <c r="C1282" s="541" t="s">
        <v>761</v>
      </c>
      <c r="D1282" s="656" t="s">
        <v>408</v>
      </c>
      <c r="E1282" s="534">
        <v>562.26363300000003</v>
      </c>
    </row>
    <row r="1283" spans="2:5" x14ac:dyDescent="0.2">
      <c r="B1283" s="533">
        <v>1475</v>
      </c>
      <c r="C1283" s="541" t="s">
        <v>2949</v>
      </c>
      <c r="D1283" s="656" t="s">
        <v>408</v>
      </c>
      <c r="E1283" s="534">
        <v>688.30000800000005</v>
      </c>
    </row>
    <row r="1284" spans="2:5" x14ac:dyDescent="0.2">
      <c r="B1284" s="533">
        <v>1476</v>
      </c>
      <c r="C1284" s="541" t="s">
        <v>3846</v>
      </c>
      <c r="D1284" s="656" t="s">
        <v>413</v>
      </c>
      <c r="E1284" s="534">
        <v>735.96923400000003</v>
      </c>
    </row>
    <row r="1285" spans="2:5" x14ac:dyDescent="0.2">
      <c r="B1285" s="533">
        <v>1477</v>
      </c>
      <c r="C1285" s="541" t="s">
        <v>7456</v>
      </c>
      <c r="D1285" s="656" t="s">
        <v>413</v>
      </c>
      <c r="E1285" s="534">
        <v>624.46667500000001</v>
      </c>
    </row>
    <row r="1286" spans="2:5" x14ac:dyDescent="0.2">
      <c r="B1286" s="533">
        <v>1478</v>
      </c>
      <c r="C1286" s="541" t="s">
        <v>3080</v>
      </c>
      <c r="D1286" s="656" t="s">
        <v>408</v>
      </c>
      <c r="E1286" s="534">
        <v>695.5</v>
      </c>
    </row>
    <row r="1287" spans="2:5" x14ac:dyDescent="0.2">
      <c r="B1287" s="533">
        <v>1479</v>
      </c>
      <c r="C1287" s="541" t="s">
        <v>6520</v>
      </c>
      <c r="D1287" s="656" t="s">
        <v>408</v>
      </c>
      <c r="E1287" s="534">
        <v>625.72941000000003</v>
      </c>
    </row>
    <row r="1288" spans="2:5" x14ac:dyDescent="0.2">
      <c r="B1288" s="533">
        <v>1480</v>
      </c>
      <c r="C1288" s="541" t="s">
        <v>1416</v>
      </c>
      <c r="D1288" s="656" t="s">
        <v>413</v>
      </c>
      <c r="E1288" s="534">
        <v>616.63332100000002</v>
      </c>
    </row>
    <row r="1289" spans="2:5" x14ac:dyDescent="0.2">
      <c r="B1289" s="533">
        <v>1481</v>
      </c>
      <c r="C1289" s="541" t="s">
        <v>2678</v>
      </c>
      <c r="D1289" s="656" t="s">
        <v>408</v>
      </c>
      <c r="E1289" s="534">
        <v>675.42857100000003</v>
      </c>
    </row>
    <row r="1290" spans="2:5" x14ac:dyDescent="0.2">
      <c r="B1290" s="533">
        <v>1482</v>
      </c>
      <c r="C1290" s="541" t="s">
        <v>3685</v>
      </c>
      <c r="D1290" s="656" t="s">
        <v>408</v>
      </c>
      <c r="E1290" s="534">
        <v>726.79998799999998</v>
      </c>
    </row>
    <row r="1291" spans="2:5" x14ac:dyDescent="0.2">
      <c r="B1291" s="533">
        <v>1483</v>
      </c>
      <c r="C1291" s="541" t="s">
        <v>7468</v>
      </c>
      <c r="D1291" s="656" t="s">
        <v>408</v>
      </c>
      <c r="E1291" s="534">
        <v>673.29998799999998</v>
      </c>
    </row>
    <row r="1292" spans="2:5" x14ac:dyDescent="0.2">
      <c r="B1292" s="533">
        <v>1484</v>
      </c>
      <c r="C1292" s="541" t="s">
        <v>2664</v>
      </c>
      <c r="D1292" s="656" t="s">
        <v>408</v>
      </c>
      <c r="E1292" s="534">
        <v>674.70001200000002</v>
      </c>
    </row>
    <row r="1293" spans="2:5" x14ac:dyDescent="0.2">
      <c r="B1293" s="533">
        <v>1485</v>
      </c>
      <c r="C1293" s="541" t="s">
        <v>3127</v>
      </c>
      <c r="D1293" s="656" t="s">
        <v>408</v>
      </c>
      <c r="E1293" s="534">
        <v>698.15002400000003</v>
      </c>
    </row>
    <row r="1294" spans="2:5" x14ac:dyDescent="0.2">
      <c r="B1294" s="533">
        <v>1486</v>
      </c>
      <c r="C1294" s="541" t="s">
        <v>760</v>
      </c>
      <c r="D1294" s="656" t="s">
        <v>413</v>
      </c>
      <c r="E1294" s="534">
        <v>562.03333499999997</v>
      </c>
    </row>
    <row r="1295" spans="2:5" x14ac:dyDescent="0.2">
      <c r="B1295" s="533">
        <v>1487</v>
      </c>
      <c r="C1295" s="541" t="s">
        <v>800</v>
      </c>
      <c r="D1295" s="656" t="s">
        <v>413</v>
      </c>
      <c r="E1295" s="534">
        <v>568.71250899999995</v>
      </c>
    </row>
    <row r="1296" spans="2:5" x14ac:dyDescent="0.2">
      <c r="B1296" s="533">
        <v>1488</v>
      </c>
      <c r="C1296" s="541" t="s">
        <v>1860</v>
      </c>
      <c r="D1296" s="656" t="s">
        <v>413</v>
      </c>
      <c r="E1296" s="534">
        <v>643.62499200000002</v>
      </c>
    </row>
    <row r="1297" spans="2:5" x14ac:dyDescent="0.2">
      <c r="B1297" s="533">
        <v>1489</v>
      </c>
      <c r="C1297" s="541" t="s">
        <v>7481</v>
      </c>
      <c r="D1297" s="656" t="s">
        <v>408</v>
      </c>
      <c r="E1297" s="534">
        <v>661.97500600000001</v>
      </c>
    </row>
    <row r="1298" spans="2:5" x14ac:dyDescent="0.2">
      <c r="B1298" s="533">
        <v>1490</v>
      </c>
      <c r="C1298" s="541" t="s">
        <v>3073</v>
      </c>
      <c r="D1298" s="656" t="s">
        <v>413</v>
      </c>
      <c r="E1298" s="534">
        <v>695.20000500000003</v>
      </c>
    </row>
    <row r="1299" spans="2:5" x14ac:dyDescent="0.2">
      <c r="B1299" s="533">
        <v>1491</v>
      </c>
      <c r="C1299" s="541" t="s">
        <v>7495</v>
      </c>
      <c r="D1299" s="656" t="s">
        <v>408</v>
      </c>
      <c r="E1299" s="534">
        <v>654.15000899999995</v>
      </c>
    </row>
    <row r="1300" spans="2:5" x14ac:dyDescent="0.2">
      <c r="B1300" s="533">
        <v>1492</v>
      </c>
      <c r="C1300" s="541" t="s">
        <v>1007</v>
      </c>
      <c r="D1300" s="656" t="s">
        <v>408</v>
      </c>
      <c r="E1300" s="534">
        <v>633.25</v>
      </c>
    </row>
    <row r="1301" spans="2:5" x14ac:dyDescent="0.2">
      <c r="B1301" s="533">
        <v>1494</v>
      </c>
      <c r="C1301" s="541" t="s">
        <v>1328</v>
      </c>
      <c r="D1301" s="656" t="s">
        <v>408</v>
      </c>
      <c r="E1301" s="534">
        <v>743.08000500000003</v>
      </c>
    </row>
    <row r="1302" spans="2:5" x14ac:dyDescent="0.2">
      <c r="B1302" s="533">
        <v>1495</v>
      </c>
      <c r="C1302" s="541" t="s">
        <v>3695</v>
      </c>
      <c r="D1302" s="656" t="s">
        <v>408</v>
      </c>
      <c r="E1302" s="534">
        <v>727.38000499999998</v>
      </c>
    </row>
    <row r="1303" spans="2:5" x14ac:dyDescent="0.2">
      <c r="B1303" s="533">
        <v>1496</v>
      </c>
      <c r="C1303" s="541" t="s">
        <v>2189</v>
      </c>
      <c r="D1303" s="656" t="s">
        <v>413</v>
      </c>
      <c r="E1303" s="534">
        <v>652.73333700000001</v>
      </c>
    </row>
    <row r="1304" spans="2:5" x14ac:dyDescent="0.2">
      <c r="B1304" s="533">
        <v>1497</v>
      </c>
      <c r="C1304" s="541" t="s">
        <v>4605</v>
      </c>
      <c r="D1304" s="656" t="s">
        <v>408</v>
      </c>
      <c r="E1304" s="534">
        <v>788.97500600000001</v>
      </c>
    </row>
    <row r="1305" spans="2:5" x14ac:dyDescent="0.2">
      <c r="B1305" s="533">
        <v>1498</v>
      </c>
      <c r="C1305" s="541" t="s">
        <v>1377</v>
      </c>
      <c r="D1305" s="656" t="s">
        <v>413</v>
      </c>
      <c r="E1305" s="534">
        <v>614.35999800000002</v>
      </c>
    </row>
    <row r="1306" spans="2:5" x14ac:dyDescent="0.2">
      <c r="B1306" s="533">
        <v>1499</v>
      </c>
      <c r="C1306" s="541" t="s">
        <v>7525</v>
      </c>
      <c r="D1306" s="656" t="s">
        <v>408</v>
      </c>
      <c r="E1306" s="534">
        <v>645.32499700000005</v>
      </c>
    </row>
    <row r="1307" spans="2:5" x14ac:dyDescent="0.2">
      <c r="B1307" s="533">
        <v>1500</v>
      </c>
      <c r="C1307" s="541" t="s">
        <v>3179</v>
      </c>
      <c r="D1307" s="656" t="s">
        <v>413</v>
      </c>
      <c r="E1307" s="534">
        <v>700.36922000000004</v>
      </c>
    </row>
    <row r="1308" spans="2:5" x14ac:dyDescent="0.2">
      <c r="B1308" s="533">
        <v>1501</v>
      </c>
      <c r="C1308" s="541" t="s">
        <v>1113</v>
      </c>
      <c r="D1308" s="656" t="s">
        <v>413</v>
      </c>
      <c r="E1308" s="534">
        <v>599.09999100000005</v>
      </c>
    </row>
    <row r="1309" spans="2:5" x14ac:dyDescent="0.2">
      <c r="B1309" s="533">
        <v>1502</v>
      </c>
      <c r="C1309" s="541" t="s">
        <v>1148</v>
      </c>
      <c r="D1309" s="656" t="s">
        <v>413</v>
      </c>
      <c r="E1309" s="534">
        <v>601.40002400000003</v>
      </c>
    </row>
    <row r="1310" spans="2:5" x14ac:dyDescent="0.2">
      <c r="B1310" s="533">
        <v>1503</v>
      </c>
      <c r="C1310" s="541" t="s">
        <v>1456</v>
      </c>
      <c r="D1310" s="656" t="s">
        <v>408</v>
      </c>
      <c r="E1310" s="534">
        <v>618.39998400000002</v>
      </c>
    </row>
    <row r="1311" spans="2:5" x14ac:dyDescent="0.2">
      <c r="B1311" s="533">
        <v>1504</v>
      </c>
      <c r="C1311" s="541" t="s">
        <v>1759</v>
      </c>
      <c r="D1311" s="656" t="s">
        <v>413</v>
      </c>
      <c r="E1311" s="534">
        <v>634.86667899999998</v>
      </c>
    </row>
    <row r="1312" spans="2:5" x14ac:dyDescent="0.2">
      <c r="B1312" s="533">
        <v>1505</v>
      </c>
      <c r="C1312" s="541" t="s">
        <v>1948</v>
      </c>
      <c r="D1312" s="656" t="s">
        <v>408</v>
      </c>
      <c r="E1312" s="534">
        <v>642.03332499999999</v>
      </c>
    </row>
    <row r="1313" spans="2:5" x14ac:dyDescent="0.2">
      <c r="B1313" s="533">
        <v>1506</v>
      </c>
      <c r="C1313" s="541" t="s">
        <v>942</v>
      </c>
      <c r="D1313" s="656" t="s">
        <v>413</v>
      </c>
      <c r="E1313" s="534">
        <v>584.28332499999999</v>
      </c>
    </row>
    <row r="1314" spans="2:5" x14ac:dyDescent="0.2">
      <c r="B1314" s="533">
        <v>1507</v>
      </c>
      <c r="C1314" s="541" t="s">
        <v>1582</v>
      </c>
      <c r="D1314" s="656" t="s">
        <v>408</v>
      </c>
      <c r="E1314" s="534">
        <v>625.97499100000005</v>
      </c>
    </row>
    <row r="1315" spans="2:5" x14ac:dyDescent="0.2">
      <c r="B1315" s="533">
        <v>1508</v>
      </c>
      <c r="C1315" s="541" t="s">
        <v>3431</v>
      </c>
      <c r="D1315" s="656" t="s">
        <v>408</v>
      </c>
      <c r="E1315" s="534">
        <v>712.89999399999999</v>
      </c>
    </row>
    <row r="1316" spans="2:5" x14ac:dyDescent="0.2">
      <c r="B1316" s="533">
        <v>1509</v>
      </c>
      <c r="C1316" s="541" t="s">
        <v>2332</v>
      </c>
      <c r="D1316" s="656" t="s">
        <v>408</v>
      </c>
      <c r="E1316" s="534">
        <v>659.20001200000002</v>
      </c>
    </row>
    <row r="1317" spans="2:5" x14ac:dyDescent="0.2">
      <c r="B1317" s="533">
        <v>1510</v>
      </c>
      <c r="C1317" s="541" t="s">
        <v>813</v>
      </c>
      <c r="D1317" s="656" t="s">
        <v>413</v>
      </c>
      <c r="E1317" s="534">
        <v>571.27499399999999</v>
      </c>
    </row>
    <row r="1318" spans="2:5" x14ac:dyDescent="0.2">
      <c r="B1318" s="533">
        <v>1511</v>
      </c>
      <c r="C1318" s="541" t="s">
        <v>2111</v>
      </c>
      <c r="D1318" s="656" t="s">
        <v>408</v>
      </c>
      <c r="E1318" s="534">
        <v>649.5</v>
      </c>
    </row>
    <row r="1319" spans="2:5" x14ac:dyDescent="0.2">
      <c r="B1319" s="533">
        <v>1512</v>
      </c>
      <c r="C1319" s="541" t="s">
        <v>4008</v>
      </c>
      <c r="D1319" s="656" t="s">
        <v>408</v>
      </c>
      <c r="E1319" s="534">
        <v>746.04998799999998</v>
      </c>
    </row>
    <row r="1320" spans="2:5" x14ac:dyDescent="0.2">
      <c r="B1320" s="533">
        <v>1513</v>
      </c>
      <c r="C1320" s="541" t="s">
        <v>2165</v>
      </c>
      <c r="D1320" s="656" t="s">
        <v>408</v>
      </c>
      <c r="E1320" s="534">
        <v>651.90000899999995</v>
      </c>
    </row>
    <row r="1321" spans="2:5" x14ac:dyDescent="0.2">
      <c r="B1321" s="533">
        <v>1514</v>
      </c>
      <c r="C1321" s="541" t="s">
        <v>3924</v>
      </c>
      <c r="D1321" s="656" t="s">
        <v>408</v>
      </c>
      <c r="E1321" s="534">
        <v>740.70001200000002</v>
      </c>
    </row>
    <row r="1322" spans="2:5" x14ac:dyDescent="0.2">
      <c r="B1322" s="533">
        <v>1515</v>
      </c>
      <c r="C1322" s="541" t="s">
        <v>3546</v>
      </c>
      <c r="D1322" s="656" t="s">
        <v>408</v>
      </c>
      <c r="E1322" s="534">
        <v>718.90000399999997</v>
      </c>
    </row>
    <row r="1323" spans="2:5" x14ac:dyDescent="0.2">
      <c r="B1323" s="533">
        <v>1516</v>
      </c>
      <c r="C1323" s="541" t="s">
        <v>2381</v>
      </c>
      <c r="D1323" s="656" t="s">
        <v>408</v>
      </c>
      <c r="E1323" s="534">
        <v>661.57499700000005</v>
      </c>
    </row>
    <row r="1324" spans="2:5" x14ac:dyDescent="0.2">
      <c r="B1324" s="533">
        <v>1517</v>
      </c>
      <c r="C1324" s="541" t="s">
        <v>4693</v>
      </c>
      <c r="D1324" s="656" t="s">
        <v>408</v>
      </c>
      <c r="E1324" s="534">
        <v>796</v>
      </c>
    </row>
    <row r="1325" spans="2:5" x14ac:dyDescent="0.2">
      <c r="B1325" s="533">
        <v>1518</v>
      </c>
      <c r="C1325" s="541" t="s">
        <v>993</v>
      </c>
      <c r="D1325" s="656" t="s">
        <v>413</v>
      </c>
      <c r="E1325" s="534">
        <v>589.30001800000002</v>
      </c>
    </row>
    <row r="1326" spans="2:5" x14ac:dyDescent="0.2">
      <c r="B1326" s="533">
        <v>1519</v>
      </c>
      <c r="C1326" s="541" t="s">
        <v>3327</v>
      </c>
      <c r="D1326" s="656" t="s">
        <v>408</v>
      </c>
      <c r="E1326" s="534">
        <v>707.64999399999999</v>
      </c>
    </row>
    <row r="1327" spans="2:5" x14ac:dyDescent="0.2">
      <c r="B1327" s="533">
        <v>1520</v>
      </c>
      <c r="C1327" s="541" t="s">
        <v>2651</v>
      </c>
      <c r="D1327" s="656" t="s">
        <v>408</v>
      </c>
      <c r="E1327" s="534">
        <v>674.30667300000005</v>
      </c>
    </row>
    <row r="1328" spans="2:5" x14ac:dyDescent="0.2">
      <c r="B1328" s="533">
        <v>1521</v>
      </c>
      <c r="C1328" s="541" t="s">
        <v>7577</v>
      </c>
      <c r="D1328" s="656" t="s">
        <v>408</v>
      </c>
      <c r="E1328" s="534">
        <v>656.5</v>
      </c>
    </row>
    <row r="1329" spans="2:5" x14ac:dyDescent="0.2">
      <c r="B1329" s="533">
        <v>1522</v>
      </c>
      <c r="C1329" s="541" t="s">
        <v>7578</v>
      </c>
      <c r="D1329" s="656" t="s">
        <v>408</v>
      </c>
      <c r="E1329" s="534">
        <v>771</v>
      </c>
    </row>
    <row r="1330" spans="2:5" x14ac:dyDescent="0.2">
      <c r="B1330" s="533">
        <v>1523</v>
      </c>
      <c r="C1330" s="541" t="s">
        <v>3971</v>
      </c>
      <c r="D1330" s="656" t="s">
        <v>408</v>
      </c>
      <c r="E1330" s="534">
        <v>743.94999700000005</v>
      </c>
    </row>
    <row r="1331" spans="2:5" x14ac:dyDescent="0.2">
      <c r="B1331" s="533">
        <v>1524</v>
      </c>
      <c r="C1331" s="541" t="s">
        <v>1030</v>
      </c>
      <c r="D1331" s="656" t="s">
        <v>408</v>
      </c>
      <c r="E1331" s="534">
        <v>592.45001200000002</v>
      </c>
    </row>
    <row r="1332" spans="2:5" x14ac:dyDescent="0.2">
      <c r="B1332" s="533">
        <v>1525</v>
      </c>
      <c r="C1332" s="541" t="s">
        <v>1102</v>
      </c>
      <c r="D1332" s="656" t="s">
        <v>413</v>
      </c>
      <c r="E1332" s="534">
        <v>598.49998000000005</v>
      </c>
    </row>
    <row r="1333" spans="2:5" x14ac:dyDescent="0.2">
      <c r="B1333" s="533">
        <v>1526</v>
      </c>
      <c r="C1333" s="541" t="s">
        <v>1986</v>
      </c>
      <c r="D1333" s="656" t="s">
        <v>408</v>
      </c>
      <c r="E1333" s="534">
        <v>643.18001700000002</v>
      </c>
    </row>
    <row r="1334" spans="2:5" x14ac:dyDescent="0.2">
      <c r="B1334" s="533">
        <v>1527</v>
      </c>
      <c r="C1334" s="541" t="s">
        <v>3977</v>
      </c>
      <c r="D1334" s="656" t="s">
        <v>408</v>
      </c>
      <c r="E1334" s="534">
        <v>744.20001200000002</v>
      </c>
    </row>
    <row r="1335" spans="2:5" x14ac:dyDescent="0.2">
      <c r="B1335" s="533">
        <v>1528</v>
      </c>
      <c r="C1335" s="541" t="s">
        <v>2881</v>
      </c>
      <c r="D1335" s="656" t="s">
        <v>408</v>
      </c>
      <c r="E1335" s="534">
        <v>685.52499399999999</v>
      </c>
    </row>
    <row r="1336" spans="2:5" x14ac:dyDescent="0.2">
      <c r="B1336" s="533">
        <v>1529</v>
      </c>
      <c r="C1336" s="541" t="s">
        <v>7599</v>
      </c>
      <c r="D1336" s="656" t="s">
        <v>408</v>
      </c>
      <c r="E1336" s="534">
        <v>725.35000600000001</v>
      </c>
    </row>
    <row r="1337" spans="2:5" x14ac:dyDescent="0.2">
      <c r="B1337" s="533">
        <v>1530</v>
      </c>
      <c r="C1337" s="541" t="s">
        <v>2309</v>
      </c>
      <c r="D1337" s="656" t="s">
        <v>408</v>
      </c>
      <c r="E1337" s="534">
        <v>658.19999199999995</v>
      </c>
    </row>
    <row r="1338" spans="2:5" x14ac:dyDescent="0.2">
      <c r="B1338" s="533">
        <v>1531</v>
      </c>
      <c r="C1338" s="541" t="s">
        <v>1870</v>
      </c>
      <c r="D1338" s="656" t="s">
        <v>413</v>
      </c>
      <c r="E1338" s="534">
        <v>639.18750799999998</v>
      </c>
    </row>
    <row r="1339" spans="2:5" x14ac:dyDescent="0.2">
      <c r="B1339" s="533">
        <v>1532</v>
      </c>
      <c r="C1339" s="541" t="s">
        <v>2202</v>
      </c>
      <c r="D1339" s="656" t="s">
        <v>413</v>
      </c>
      <c r="E1339" s="534">
        <v>653.39999399999999</v>
      </c>
    </row>
    <row r="1340" spans="2:5" x14ac:dyDescent="0.2">
      <c r="B1340" s="533">
        <v>1533</v>
      </c>
      <c r="C1340" s="541" t="s">
        <v>7614</v>
      </c>
      <c r="D1340" s="656" t="s">
        <v>408</v>
      </c>
      <c r="E1340" s="534">
        <v>725.43330900000001</v>
      </c>
    </row>
    <row r="1341" spans="2:5" x14ac:dyDescent="0.2">
      <c r="B1341" s="533">
        <v>1534</v>
      </c>
      <c r="C1341" s="541" t="s">
        <v>3807</v>
      </c>
      <c r="D1341" s="656" t="s">
        <v>408</v>
      </c>
      <c r="E1341" s="534">
        <v>733.79998799999998</v>
      </c>
    </row>
    <row r="1342" spans="2:5" x14ac:dyDescent="0.2">
      <c r="B1342" s="533">
        <v>1535</v>
      </c>
      <c r="C1342" s="541" t="s">
        <v>2521</v>
      </c>
      <c r="D1342" s="656" t="s">
        <v>408</v>
      </c>
      <c r="E1342" s="534">
        <v>667.79998799999998</v>
      </c>
    </row>
    <row r="1343" spans="2:5" x14ac:dyDescent="0.2">
      <c r="B1343" s="533">
        <v>1536</v>
      </c>
      <c r="C1343" s="541" t="s">
        <v>1309</v>
      </c>
      <c r="D1343" s="656" t="s">
        <v>413</v>
      </c>
      <c r="E1343" s="534">
        <v>610.64999399999999</v>
      </c>
    </row>
    <row r="1344" spans="2:5" x14ac:dyDescent="0.2">
      <c r="B1344" s="533">
        <v>1537</v>
      </c>
      <c r="C1344" s="541" t="s">
        <v>2007</v>
      </c>
      <c r="D1344" s="656" t="s">
        <v>408</v>
      </c>
      <c r="E1344" s="534">
        <v>643.90002400000003</v>
      </c>
    </row>
    <row r="1345" spans="2:5" x14ac:dyDescent="0.2">
      <c r="B1345" s="533">
        <v>1551</v>
      </c>
      <c r="C1345" s="541" t="s">
        <v>4106</v>
      </c>
      <c r="D1345" s="656" t="s">
        <v>411</v>
      </c>
      <c r="E1345" s="534">
        <v>751.78333499999997</v>
      </c>
    </row>
    <row r="1346" spans="2:5" x14ac:dyDescent="0.2">
      <c r="B1346" s="533">
        <v>1552</v>
      </c>
      <c r="C1346" s="541" t="s">
        <v>4589</v>
      </c>
      <c r="D1346" s="656" t="s">
        <v>411</v>
      </c>
      <c r="E1346" s="534">
        <v>787.81664999999998</v>
      </c>
    </row>
    <row r="1347" spans="2:5" x14ac:dyDescent="0.2">
      <c r="B1347" s="533">
        <v>1553</v>
      </c>
      <c r="C1347" s="541" t="s">
        <v>815</v>
      </c>
      <c r="D1347" s="656" t="s">
        <v>411</v>
      </c>
      <c r="E1347" s="534">
        <v>824.93570799999998</v>
      </c>
    </row>
    <row r="1348" spans="2:5" x14ac:dyDescent="0.2">
      <c r="B1348" s="533">
        <v>1554</v>
      </c>
      <c r="C1348" s="541" t="s">
        <v>5160</v>
      </c>
      <c r="D1348" s="656" t="s">
        <v>411</v>
      </c>
      <c r="E1348" s="534">
        <v>840.53333499999997</v>
      </c>
    </row>
    <row r="1349" spans="2:5" x14ac:dyDescent="0.2">
      <c r="B1349" s="533">
        <v>1555</v>
      </c>
      <c r="C1349" s="541" t="s">
        <v>877</v>
      </c>
      <c r="D1349" s="656" t="s">
        <v>411</v>
      </c>
      <c r="E1349" s="534">
        <v>798.67500299999995</v>
      </c>
    </row>
    <row r="1350" spans="2:5" x14ac:dyDescent="0.2">
      <c r="B1350" s="533">
        <v>1556</v>
      </c>
      <c r="C1350" s="541" t="s">
        <v>5584</v>
      </c>
      <c r="D1350" s="656" t="s">
        <v>411</v>
      </c>
      <c r="E1350" s="534">
        <v>910.39999799999998</v>
      </c>
    </row>
    <row r="1351" spans="2:5" x14ac:dyDescent="0.2">
      <c r="B1351" s="533">
        <v>1557</v>
      </c>
      <c r="C1351" s="541" t="s">
        <v>5721</v>
      </c>
      <c r="D1351" s="656" t="s">
        <v>411</v>
      </c>
      <c r="E1351" s="534">
        <v>947.95000100000004</v>
      </c>
    </row>
    <row r="1352" spans="2:5" x14ac:dyDescent="0.2">
      <c r="B1352" s="533">
        <v>1558</v>
      </c>
      <c r="C1352" s="541" t="s">
        <v>5642</v>
      </c>
      <c r="D1352" s="656" t="s">
        <v>411</v>
      </c>
      <c r="E1352" s="534">
        <v>925.32000700000003</v>
      </c>
    </row>
    <row r="1353" spans="2:5" x14ac:dyDescent="0.2">
      <c r="B1353" s="533">
        <v>1559</v>
      </c>
      <c r="C1353" s="541" t="s">
        <v>5774</v>
      </c>
      <c r="D1353" s="656" t="s">
        <v>411</v>
      </c>
      <c r="E1353" s="534">
        <v>961.64445000000001</v>
      </c>
    </row>
    <row r="1354" spans="2:5" x14ac:dyDescent="0.2">
      <c r="B1354" s="533">
        <v>1560</v>
      </c>
      <c r="C1354" s="541" t="s">
        <v>5650</v>
      </c>
      <c r="D1354" s="656" t="s">
        <v>411</v>
      </c>
      <c r="E1354" s="534">
        <v>927.16250600000001</v>
      </c>
    </row>
    <row r="1355" spans="2:5" x14ac:dyDescent="0.2">
      <c r="B1355" s="533">
        <v>1561</v>
      </c>
      <c r="C1355" s="541" t="s">
        <v>3196</v>
      </c>
      <c r="D1355" s="656" t="s">
        <v>411</v>
      </c>
      <c r="E1355" s="534">
        <v>932.54999499999997</v>
      </c>
    </row>
    <row r="1356" spans="2:5" x14ac:dyDescent="0.2">
      <c r="B1356" s="533">
        <v>1562</v>
      </c>
      <c r="C1356" s="541" t="s">
        <v>5599</v>
      </c>
      <c r="D1356" s="656" t="s">
        <v>411</v>
      </c>
      <c r="E1356" s="534">
        <v>914.08890099999996</v>
      </c>
    </row>
    <row r="1357" spans="2:5" x14ac:dyDescent="0.2">
      <c r="B1357" s="533">
        <v>1563</v>
      </c>
      <c r="C1357" s="541" t="s">
        <v>3084</v>
      </c>
      <c r="D1357" s="656" t="s">
        <v>411</v>
      </c>
      <c r="E1357" s="534">
        <v>914.53333499999997</v>
      </c>
    </row>
    <row r="1358" spans="2:5" x14ac:dyDescent="0.2">
      <c r="B1358" s="533">
        <v>1564</v>
      </c>
      <c r="C1358" s="541" t="s">
        <v>683</v>
      </c>
      <c r="D1358" s="656" t="s">
        <v>411</v>
      </c>
      <c r="E1358" s="534">
        <v>917.31427900000006</v>
      </c>
    </row>
    <row r="1359" spans="2:5" x14ac:dyDescent="0.2">
      <c r="B1359" s="533">
        <v>1565</v>
      </c>
      <c r="C1359" s="541" t="s">
        <v>6968</v>
      </c>
      <c r="D1359" s="656" t="s">
        <v>411</v>
      </c>
      <c r="E1359" s="534">
        <v>915.366669</v>
      </c>
    </row>
    <row r="1360" spans="2:5" x14ac:dyDescent="0.2">
      <c r="B1360" s="533">
        <v>1566</v>
      </c>
      <c r="C1360" s="541" t="s">
        <v>2231</v>
      </c>
      <c r="D1360" s="656" t="s">
        <v>411</v>
      </c>
      <c r="E1360" s="534">
        <v>917.41111899999999</v>
      </c>
    </row>
    <row r="1361" spans="2:5" x14ac:dyDescent="0.2">
      <c r="B1361" s="533">
        <v>1567</v>
      </c>
      <c r="C1361" s="541" t="s">
        <v>5480</v>
      </c>
      <c r="D1361" s="656" t="s">
        <v>411</v>
      </c>
      <c r="E1361" s="534">
        <v>894.01874199999997</v>
      </c>
    </row>
    <row r="1362" spans="2:5" x14ac:dyDescent="0.2">
      <c r="B1362" s="533">
        <v>1568</v>
      </c>
      <c r="C1362" s="541" t="s">
        <v>7334</v>
      </c>
      <c r="D1362" s="656" t="s">
        <v>411</v>
      </c>
      <c r="E1362" s="534">
        <v>890.92500299999995</v>
      </c>
    </row>
    <row r="1363" spans="2:5" x14ac:dyDescent="0.2">
      <c r="B1363" s="533">
        <v>1569</v>
      </c>
      <c r="C1363" s="541" t="s">
        <v>5572</v>
      </c>
      <c r="D1363" s="656" t="s">
        <v>411</v>
      </c>
      <c r="E1363" s="534">
        <v>908.10000300000002</v>
      </c>
    </row>
    <row r="1364" spans="2:5" x14ac:dyDescent="0.2">
      <c r="B1364" s="533">
        <v>1570</v>
      </c>
      <c r="C1364" s="541" t="s">
        <v>5594</v>
      </c>
      <c r="D1364" s="656" t="s">
        <v>411</v>
      </c>
      <c r="E1364" s="534">
        <v>912.427775</v>
      </c>
    </row>
    <row r="1365" spans="2:5" x14ac:dyDescent="0.2">
      <c r="B1365" s="533">
        <v>1571</v>
      </c>
      <c r="C1365" s="541" t="s">
        <v>6742</v>
      </c>
      <c r="D1365" s="656" t="s">
        <v>411</v>
      </c>
      <c r="E1365" s="534">
        <v>922.89999399999999</v>
      </c>
    </row>
    <row r="1366" spans="2:5" x14ac:dyDescent="0.2">
      <c r="B1366" s="533">
        <v>1572</v>
      </c>
      <c r="C1366" s="541" t="s">
        <v>5755</v>
      </c>
      <c r="D1366" s="656" t="s">
        <v>411</v>
      </c>
      <c r="E1366" s="534">
        <v>957.009998</v>
      </c>
    </row>
    <row r="1367" spans="2:5" x14ac:dyDescent="0.2">
      <c r="B1367" s="533">
        <v>1573</v>
      </c>
      <c r="C1367" s="541" t="s">
        <v>5770</v>
      </c>
      <c r="D1367" s="656" t="s">
        <v>411</v>
      </c>
      <c r="E1367" s="534">
        <v>960.93748500000004</v>
      </c>
    </row>
    <row r="1368" spans="2:5" x14ac:dyDescent="0.2">
      <c r="B1368" s="533">
        <v>1574</v>
      </c>
      <c r="C1368" s="541" t="s">
        <v>5657</v>
      </c>
      <c r="D1368" s="656" t="s">
        <v>411</v>
      </c>
      <c r="E1368" s="534">
        <v>930.22500600000001</v>
      </c>
    </row>
    <row r="1369" spans="2:5" x14ac:dyDescent="0.2">
      <c r="B1369" s="533">
        <v>1575</v>
      </c>
      <c r="C1369" s="541" t="s">
        <v>5483</v>
      </c>
      <c r="D1369" s="656" t="s">
        <v>411</v>
      </c>
      <c r="E1369" s="534">
        <v>894.27999299999999</v>
      </c>
    </row>
    <row r="1370" spans="2:5" x14ac:dyDescent="0.2">
      <c r="B1370" s="533">
        <v>1576</v>
      </c>
      <c r="C1370" s="541" t="s">
        <v>5674</v>
      </c>
      <c r="D1370" s="656" t="s">
        <v>411</v>
      </c>
      <c r="E1370" s="534">
        <v>934.46667500000001</v>
      </c>
    </row>
    <row r="1371" spans="2:5" x14ac:dyDescent="0.2">
      <c r="B1371" s="533">
        <v>1577</v>
      </c>
      <c r="C1371" s="541" t="s">
        <v>5707</v>
      </c>
      <c r="D1371" s="656" t="s">
        <v>411</v>
      </c>
      <c r="E1371" s="534">
        <v>943.89999399999999</v>
      </c>
    </row>
    <row r="1372" spans="2:5" x14ac:dyDescent="0.2">
      <c r="B1372" s="533">
        <v>1578</v>
      </c>
      <c r="C1372" s="541" t="s">
        <v>5156</v>
      </c>
      <c r="D1372" s="656" t="s">
        <v>411</v>
      </c>
      <c r="E1372" s="534">
        <v>839.85000600000001</v>
      </c>
    </row>
    <row r="1373" spans="2:5" x14ac:dyDescent="0.2">
      <c r="B1373" s="533">
        <v>1579</v>
      </c>
      <c r="C1373" s="541" t="s">
        <v>5431</v>
      </c>
      <c r="D1373" s="656" t="s">
        <v>411</v>
      </c>
      <c r="E1373" s="534">
        <v>886.0625</v>
      </c>
    </row>
    <row r="1374" spans="2:5" x14ac:dyDescent="0.2">
      <c r="B1374" s="533">
        <v>1580</v>
      </c>
      <c r="C1374" s="541" t="s">
        <v>6849</v>
      </c>
      <c r="D1374" s="656" t="s">
        <v>411</v>
      </c>
      <c r="E1374" s="534">
        <v>840.66666699999996</v>
      </c>
    </row>
    <row r="1375" spans="2:5" x14ac:dyDescent="0.2">
      <c r="B1375" s="533">
        <v>1581</v>
      </c>
      <c r="C1375" s="541" t="s">
        <v>5452</v>
      </c>
      <c r="D1375" s="656" t="s">
        <v>411</v>
      </c>
      <c r="E1375" s="534">
        <v>890.22666400000003</v>
      </c>
    </row>
    <row r="1376" spans="2:5" x14ac:dyDescent="0.2">
      <c r="B1376" s="533">
        <v>1582</v>
      </c>
      <c r="C1376" s="541" t="s">
        <v>748</v>
      </c>
      <c r="D1376" s="656" t="s">
        <v>411</v>
      </c>
      <c r="E1376" s="534">
        <v>851.616669</v>
      </c>
    </row>
    <row r="1377" spans="2:5" x14ac:dyDescent="0.2">
      <c r="B1377" s="533">
        <v>1583</v>
      </c>
      <c r="C1377" s="541" t="s">
        <v>4960</v>
      </c>
      <c r="D1377" s="656" t="s">
        <v>411</v>
      </c>
      <c r="E1377" s="534">
        <v>818.90000399999997</v>
      </c>
    </row>
    <row r="1378" spans="2:5" x14ac:dyDescent="0.2">
      <c r="B1378" s="533">
        <v>1584</v>
      </c>
      <c r="C1378" s="541" t="s">
        <v>2260</v>
      </c>
      <c r="D1378" s="656" t="s">
        <v>411</v>
      </c>
      <c r="E1378" s="534">
        <v>802.17143899999996</v>
      </c>
    </row>
    <row r="1379" spans="2:5" x14ac:dyDescent="0.2">
      <c r="B1379" s="533">
        <v>1585</v>
      </c>
      <c r="C1379" s="541" t="s">
        <v>5463</v>
      </c>
      <c r="D1379" s="656" t="s">
        <v>411</v>
      </c>
      <c r="E1379" s="534">
        <v>892</v>
      </c>
    </row>
    <row r="1380" spans="2:5" x14ac:dyDescent="0.2">
      <c r="B1380" s="533">
        <v>1586</v>
      </c>
      <c r="C1380" s="541" t="s">
        <v>1562</v>
      </c>
      <c r="D1380" s="656" t="s">
        <v>411</v>
      </c>
      <c r="E1380" s="534">
        <v>833.184617</v>
      </c>
    </row>
    <row r="1381" spans="2:5" x14ac:dyDescent="0.2">
      <c r="B1381" s="533">
        <v>1587</v>
      </c>
      <c r="C1381" s="541" t="s">
        <v>5105</v>
      </c>
      <c r="D1381" s="656" t="s">
        <v>411</v>
      </c>
      <c r="E1381" s="534">
        <v>834.75</v>
      </c>
    </row>
    <row r="1382" spans="2:5" x14ac:dyDescent="0.2">
      <c r="B1382" s="533">
        <v>1588</v>
      </c>
      <c r="C1382" s="541" t="s">
        <v>7375</v>
      </c>
      <c r="D1382" s="656" t="s">
        <v>411</v>
      </c>
      <c r="E1382" s="534">
        <v>825.116669</v>
      </c>
    </row>
    <row r="1383" spans="2:5" x14ac:dyDescent="0.2">
      <c r="B1383" s="533">
        <v>1589</v>
      </c>
      <c r="C1383" s="541" t="s">
        <v>5347</v>
      </c>
      <c r="D1383" s="656" t="s">
        <v>411</v>
      </c>
      <c r="E1383" s="534">
        <v>871.33157500000004</v>
      </c>
    </row>
    <row r="1384" spans="2:5" x14ac:dyDescent="0.2">
      <c r="B1384" s="533">
        <v>1590</v>
      </c>
      <c r="C1384" s="541" t="s">
        <v>5221</v>
      </c>
      <c r="D1384" s="656" t="s">
        <v>411</v>
      </c>
      <c r="E1384" s="534">
        <v>850.63334099999997</v>
      </c>
    </row>
    <row r="1385" spans="2:5" x14ac:dyDescent="0.2">
      <c r="B1385" s="533">
        <v>1591</v>
      </c>
      <c r="C1385" s="541" t="s">
        <v>5256</v>
      </c>
      <c r="D1385" s="656" t="s">
        <v>411</v>
      </c>
      <c r="E1385" s="534">
        <v>856.27142800000001</v>
      </c>
    </row>
    <row r="1386" spans="2:5" x14ac:dyDescent="0.2">
      <c r="B1386" s="533">
        <v>1592</v>
      </c>
      <c r="C1386" s="541" t="s">
        <v>1013</v>
      </c>
      <c r="D1386" s="656" t="s">
        <v>411</v>
      </c>
      <c r="E1386" s="534">
        <v>881.19999800000005</v>
      </c>
    </row>
    <row r="1387" spans="2:5" x14ac:dyDescent="0.2">
      <c r="B1387" s="533">
        <v>1593</v>
      </c>
      <c r="C1387" s="541" t="s">
        <v>5418</v>
      </c>
      <c r="D1387" s="656" t="s">
        <v>411</v>
      </c>
      <c r="E1387" s="534">
        <v>884.05554900000004</v>
      </c>
    </row>
    <row r="1388" spans="2:5" x14ac:dyDescent="0.2">
      <c r="B1388" s="533">
        <v>1594</v>
      </c>
      <c r="C1388" s="541" t="s">
        <v>5190</v>
      </c>
      <c r="D1388" s="656" t="s">
        <v>411</v>
      </c>
      <c r="E1388" s="534">
        <v>852.59000900000001</v>
      </c>
    </row>
    <row r="1389" spans="2:5" x14ac:dyDescent="0.2">
      <c r="B1389" s="533">
        <v>1595</v>
      </c>
      <c r="C1389" s="541" t="s">
        <v>5308</v>
      </c>
      <c r="D1389" s="656" t="s">
        <v>411</v>
      </c>
      <c r="E1389" s="534">
        <v>865.15199500000006</v>
      </c>
    </row>
    <row r="1390" spans="2:5" x14ac:dyDescent="0.2">
      <c r="B1390" s="533">
        <v>1596</v>
      </c>
      <c r="C1390" s="541" t="s">
        <v>5045</v>
      </c>
      <c r="D1390" s="656" t="s">
        <v>411</v>
      </c>
      <c r="E1390" s="534">
        <v>828.614284</v>
      </c>
    </row>
    <row r="1391" spans="2:5" x14ac:dyDescent="0.2">
      <c r="B1391" s="533">
        <v>1597</v>
      </c>
      <c r="C1391" s="541" t="s">
        <v>1338</v>
      </c>
      <c r="D1391" s="656" t="s">
        <v>411</v>
      </c>
      <c r="E1391" s="534">
        <v>809.40000399999997</v>
      </c>
    </row>
    <row r="1392" spans="2:5" x14ac:dyDescent="0.2">
      <c r="B1392" s="533">
        <v>1598</v>
      </c>
      <c r="C1392" s="541" t="s">
        <v>3124</v>
      </c>
      <c r="D1392" s="656" t="s">
        <v>411</v>
      </c>
      <c r="E1392" s="534">
        <v>835.45001200000002</v>
      </c>
    </row>
    <row r="1393" spans="2:5" x14ac:dyDescent="0.2">
      <c r="B1393" s="533">
        <v>1599</v>
      </c>
      <c r="C1393" s="541" t="s">
        <v>2088</v>
      </c>
      <c r="D1393" s="656" t="s">
        <v>411</v>
      </c>
      <c r="E1393" s="534">
        <v>758.10000600000001</v>
      </c>
    </row>
    <row r="1394" spans="2:5" x14ac:dyDescent="0.2">
      <c r="B1394" s="533">
        <v>1600</v>
      </c>
      <c r="C1394" s="541" t="s">
        <v>4617</v>
      </c>
      <c r="D1394" s="656" t="s">
        <v>411</v>
      </c>
      <c r="E1394" s="534">
        <v>790.78000499999996</v>
      </c>
    </row>
    <row r="1395" spans="2:5" x14ac:dyDescent="0.2">
      <c r="B1395" s="533">
        <v>1601</v>
      </c>
      <c r="C1395" s="541" t="s">
        <v>6969</v>
      </c>
      <c r="D1395" s="656" t="s">
        <v>411</v>
      </c>
      <c r="E1395" s="534">
        <v>763</v>
      </c>
    </row>
    <row r="1396" spans="2:5" x14ac:dyDescent="0.2">
      <c r="B1396" s="533">
        <v>1602</v>
      </c>
      <c r="C1396" s="541" t="s">
        <v>3888</v>
      </c>
      <c r="D1396" s="656" t="s">
        <v>411</v>
      </c>
      <c r="E1396" s="534">
        <v>738.5</v>
      </c>
    </row>
    <row r="1397" spans="2:5" x14ac:dyDescent="0.2">
      <c r="B1397" s="533">
        <v>1603</v>
      </c>
      <c r="C1397" s="541" t="s">
        <v>4601</v>
      </c>
      <c r="D1397" s="656" t="s">
        <v>411</v>
      </c>
      <c r="E1397" s="534">
        <v>788.63749700000005</v>
      </c>
    </row>
    <row r="1398" spans="2:5" x14ac:dyDescent="0.2">
      <c r="B1398" s="533">
        <v>1604</v>
      </c>
      <c r="C1398" s="541" t="s">
        <v>3847</v>
      </c>
      <c r="D1398" s="656" t="s">
        <v>411</v>
      </c>
      <c r="E1398" s="534">
        <v>736</v>
      </c>
    </row>
    <row r="1399" spans="2:5" x14ac:dyDescent="0.2">
      <c r="B1399" s="533">
        <v>1605</v>
      </c>
      <c r="C1399" s="541" t="s">
        <v>4681</v>
      </c>
      <c r="D1399" s="656" t="s">
        <v>411</v>
      </c>
      <c r="E1399" s="534">
        <v>795.18749200000002</v>
      </c>
    </row>
    <row r="1400" spans="2:5" x14ac:dyDescent="0.2">
      <c r="B1400" s="533">
        <v>1606</v>
      </c>
      <c r="C1400" s="541" t="s">
        <v>2244</v>
      </c>
      <c r="D1400" s="656" t="s">
        <v>411</v>
      </c>
      <c r="E1400" s="534">
        <v>782.29999799999996</v>
      </c>
    </row>
    <row r="1401" spans="2:5" x14ac:dyDescent="0.2">
      <c r="B1401" s="533">
        <v>1607</v>
      </c>
      <c r="C1401" s="541" t="s">
        <v>6645</v>
      </c>
      <c r="D1401" s="656" t="s">
        <v>411</v>
      </c>
      <c r="E1401" s="534">
        <v>756.25</v>
      </c>
    </row>
    <row r="1402" spans="2:5" x14ac:dyDescent="0.2">
      <c r="B1402" s="533">
        <v>1608</v>
      </c>
      <c r="C1402" s="541" t="s">
        <v>4775</v>
      </c>
      <c r="D1402" s="656" t="s">
        <v>411</v>
      </c>
      <c r="E1402" s="534">
        <v>802.29998799999998</v>
      </c>
    </row>
    <row r="1403" spans="2:5" x14ac:dyDescent="0.2">
      <c r="B1403" s="533">
        <v>1609</v>
      </c>
      <c r="C1403" s="541" t="s">
        <v>4838</v>
      </c>
      <c r="D1403" s="656" t="s">
        <v>411</v>
      </c>
      <c r="E1403" s="534">
        <v>807.03332499999999</v>
      </c>
    </row>
    <row r="1404" spans="2:5" x14ac:dyDescent="0.2">
      <c r="B1404" s="533">
        <v>1610</v>
      </c>
      <c r="C1404" s="541" t="s">
        <v>6779</v>
      </c>
      <c r="D1404" s="656" t="s">
        <v>411</v>
      </c>
      <c r="E1404" s="534">
        <v>837.60000600000001</v>
      </c>
    </row>
    <row r="1405" spans="2:5" x14ac:dyDescent="0.2">
      <c r="B1405" s="533">
        <v>1611</v>
      </c>
      <c r="C1405" s="541" t="s">
        <v>411</v>
      </c>
      <c r="D1405" s="656" t="s">
        <v>411</v>
      </c>
      <c r="E1405" s="534">
        <v>763.10000600000001</v>
      </c>
    </row>
    <row r="1406" spans="2:5" x14ac:dyDescent="0.2">
      <c r="B1406" s="533">
        <v>1612</v>
      </c>
      <c r="C1406" s="541" t="s">
        <v>4808</v>
      </c>
      <c r="D1406" s="656" t="s">
        <v>411</v>
      </c>
      <c r="E1406" s="534">
        <v>804.79998799999998</v>
      </c>
    </row>
    <row r="1407" spans="2:5" x14ac:dyDescent="0.2">
      <c r="B1407" s="533">
        <v>1613</v>
      </c>
      <c r="C1407" s="541" t="s">
        <v>5119</v>
      </c>
      <c r="D1407" s="656" t="s">
        <v>411</v>
      </c>
      <c r="E1407" s="534">
        <v>836.5</v>
      </c>
    </row>
    <row r="1408" spans="2:5" x14ac:dyDescent="0.2">
      <c r="B1408" s="533">
        <v>1614</v>
      </c>
      <c r="C1408" s="541" t="s">
        <v>1280</v>
      </c>
      <c r="D1408" s="656" t="s">
        <v>411</v>
      </c>
      <c r="E1408" s="534">
        <v>739.37501499999996</v>
      </c>
    </row>
    <row r="1409" spans="2:5" x14ac:dyDescent="0.2">
      <c r="B1409" s="533">
        <v>1615</v>
      </c>
      <c r="C1409" s="541" t="s">
        <v>4191</v>
      </c>
      <c r="D1409" s="656" t="s">
        <v>411</v>
      </c>
      <c r="E1409" s="534">
        <v>757.75</v>
      </c>
    </row>
    <row r="1410" spans="2:5" x14ac:dyDescent="0.2">
      <c r="B1410" s="533">
        <v>1616</v>
      </c>
      <c r="C1410" s="541" t="s">
        <v>6993</v>
      </c>
      <c r="D1410" s="656" t="s">
        <v>411</v>
      </c>
      <c r="E1410" s="534">
        <v>777.94998199999998</v>
      </c>
    </row>
    <row r="1411" spans="2:5" x14ac:dyDescent="0.2">
      <c r="B1411" s="533">
        <v>1617</v>
      </c>
      <c r="C1411" s="541" t="s">
        <v>1219</v>
      </c>
      <c r="D1411" s="656" t="s">
        <v>411</v>
      </c>
      <c r="E1411" s="534">
        <v>772.82223199999999</v>
      </c>
    </row>
    <row r="1412" spans="2:5" x14ac:dyDescent="0.2">
      <c r="B1412" s="533">
        <v>1618</v>
      </c>
      <c r="C1412" s="541" t="s">
        <v>7607</v>
      </c>
      <c r="D1412" s="656" t="s">
        <v>411</v>
      </c>
      <c r="E1412" s="534">
        <v>760.44000200000005</v>
      </c>
    </row>
    <row r="1413" spans="2:5" x14ac:dyDescent="0.2">
      <c r="B1413" s="533">
        <v>1619</v>
      </c>
      <c r="C1413" s="541" t="s">
        <v>7593</v>
      </c>
      <c r="D1413" s="656" t="s">
        <v>411</v>
      </c>
      <c r="E1413" s="534">
        <v>915.23333700000001</v>
      </c>
    </row>
    <row r="1414" spans="2:5" x14ac:dyDescent="0.2">
      <c r="B1414" s="533">
        <v>1620</v>
      </c>
      <c r="C1414" s="541" t="s">
        <v>7230</v>
      </c>
      <c r="D1414" s="656" t="s">
        <v>411</v>
      </c>
      <c r="E1414" s="534">
        <v>921.385716</v>
      </c>
    </row>
    <row r="1415" spans="2:5" x14ac:dyDescent="0.2">
      <c r="B1415" s="533">
        <v>1621</v>
      </c>
      <c r="C1415" s="541" t="s">
        <v>1880</v>
      </c>
      <c r="D1415" s="656" t="s">
        <v>411</v>
      </c>
      <c r="E1415" s="534">
        <v>893.34000200000003</v>
      </c>
    </row>
    <row r="1416" spans="2:5" x14ac:dyDescent="0.2">
      <c r="B1416" s="533">
        <v>1622</v>
      </c>
      <c r="C1416" s="541" t="s">
        <v>5282</v>
      </c>
      <c r="D1416" s="656" t="s">
        <v>411</v>
      </c>
      <c r="E1416" s="534">
        <v>859.86818300000004</v>
      </c>
    </row>
    <row r="1417" spans="2:5" x14ac:dyDescent="0.2">
      <c r="B1417" s="533">
        <v>1623</v>
      </c>
      <c r="C1417" s="541" t="s">
        <v>6650</v>
      </c>
      <c r="D1417" s="656" t="s">
        <v>411</v>
      </c>
      <c r="E1417" s="534">
        <v>869.08571099999995</v>
      </c>
    </row>
    <row r="1418" spans="2:5" x14ac:dyDescent="0.2">
      <c r="B1418" s="533">
        <v>1624</v>
      </c>
      <c r="C1418" s="541" t="s">
        <v>5627</v>
      </c>
      <c r="D1418" s="656" t="s">
        <v>411</v>
      </c>
      <c r="E1418" s="534">
        <v>920.41666699999996</v>
      </c>
    </row>
    <row r="1419" spans="2:5" x14ac:dyDescent="0.2">
      <c r="B1419" s="533">
        <v>1625</v>
      </c>
      <c r="C1419" s="541" t="s">
        <v>5275</v>
      </c>
      <c r="D1419" s="656" t="s">
        <v>411</v>
      </c>
      <c r="E1419" s="534">
        <v>858.74165900000003</v>
      </c>
    </row>
    <row r="1420" spans="2:5" x14ac:dyDescent="0.2">
      <c r="B1420" s="533">
        <v>1626</v>
      </c>
      <c r="C1420" s="541" t="s">
        <v>3988</v>
      </c>
      <c r="D1420" s="656" t="s">
        <v>411</v>
      </c>
      <c r="E1420" s="534">
        <v>744.73333700000001</v>
      </c>
    </row>
    <row r="1421" spans="2:5" x14ac:dyDescent="0.2">
      <c r="B1421" s="533">
        <v>1627</v>
      </c>
      <c r="C1421" s="541" t="s">
        <v>4435</v>
      </c>
      <c r="D1421" s="656" t="s">
        <v>411</v>
      </c>
      <c r="E1421" s="534">
        <v>776.46001000000001</v>
      </c>
    </row>
    <row r="1422" spans="2:5" x14ac:dyDescent="0.2">
      <c r="B1422" s="533">
        <v>1628</v>
      </c>
      <c r="C1422" s="541" t="s">
        <v>6909</v>
      </c>
      <c r="D1422" s="656" t="s">
        <v>411</v>
      </c>
      <c r="E1422" s="534">
        <v>775.06667100000004</v>
      </c>
    </row>
    <row r="1423" spans="2:5" x14ac:dyDescent="0.2">
      <c r="B1423" s="533">
        <v>1629</v>
      </c>
      <c r="C1423" s="541" t="s">
        <v>4849</v>
      </c>
      <c r="D1423" s="656" t="s">
        <v>411</v>
      </c>
      <c r="E1423" s="534">
        <v>807.71999500000004</v>
      </c>
    </row>
    <row r="1424" spans="2:5" x14ac:dyDescent="0.2">
      <c r="B1424" s="533">
        <v>1630</v>
      </c>
      <c r="C1424" s="541" t="s">
        <v>7453</v>
      </c>
      <c r="D1424" s="656" t="s">
        <v>411</v>
      </c>
      <c r="E1424" s="534">
        <v>706.02500899999995</v>
      </c>
    </row>
    <row r="1425" spans="2:5" x14ac:dyDescent="0.2">
      <c r="B1425" s="533">
        <v>1631</v>
      </c>
      <c r="C1425" s="541" t="s">
        <v>1071</v>
      </c>
      <c r="D1425" s="656" t="s">
        <v>411</v>
      </c>
      <c r="E1425" s="534">
        <v>700.66666699999996</v>
      </c>
    </row>
    <row r="1426" spans="2:5" x14ac:dyDescent="0.2">
      <c r="B1426" s="533">
        <v>1632</v>
      </c>
      <c r="C1426" s="541" t="s">
        <v>2897</v>
      </c>
      <c r="D1426" s="656" t="s">
        <v>411</v>
      </c>
      <c r="E1426" s="534">
        <v>686.09997599999997</v>
      </c>
    </row>
    <row r="1427" spans="2:5" x14ac:dyDescent="0.2">
      <c r="B1427" s="533">
        <v>1633</v>
      </c>
      <c r="C1427" s="541" t="s">
        <v>3699</v>
      </c>
      <c r="D1427" s="656" t="s">
        <v>411</v>
      </c>
      <c r="E1427" s="534">
        <v>727.62498500000004</v>
      </c>
    </row>
    <row r="1428" spans="2:5" x14ac:dyDescent="0.2">
      <c r="B1428" s="533">
        <v>1634</v>
      </c>
      <c r="C1428" s="541" t="s">
        <v>713</v>
      </c>
      <c r="D1428" s="656" t="s">
        <v>411</v>
      </c>
      <c r="E1428" s="534">
        <v>736.00001699999996</v>
      </c>
    </row>
    <row r="1429" spans="2:5" x14ac:dyDescent="0.2">
      <c r="B1429" s="533">
        <v>1635</v>
      </c>
      <c r="C1429" s="541" t="s">
        <v>1331</v>
      </c>
      <c r="D1429" s="656" t="s">
        <v>411</v>
      </c>
      <c r="E1429" s="534">
        <v>782.23333700000001</v>
      </c>
    </row>
    <row r="1430" spans="2:5" x14ac:dyDescent="0.2">
      <c r="B1430" s="533">
        <v>1636</v>
      </c>
      <c r="C1430" s="541" t="s">
        <v>2916</v>
      </c>
      <c r="D1430" s="656" t="s">
        <v>411</v>
      </c>
      <c r="E1430" s="534">
        <v>686.90002400000003</v>
      </c>
    </row>
    <row r="1431" spans="2:5" x14ac:dyDescent="0.2">
      <c r="B1431" s="533">
        <v>1637</v>
      </c>
      <c r="C1431" s="541" t="s">
        <v>3578</v>
      </c>
      <c r="D1431" s="656" t="s">
        <v>411</v>
      </c>
      <c r="E1431" s="534">
        <v>720.63334099999997</v>
      </c>
    </row>
    <row r="1432" spans="2:5" x14ac:dyDescent="0.2">
      <c r="B1432" s="533">
        <v>1638</v>
      </c>
      <c r="C1432" s="541" t="s">
        <v>3956</v>
      </c>
      <c r="D1432" s="656" t="s">
        <v>411</v>
      </c>
      <c r="E1432" s="534">
        <v>742.5</v>
      </c>
    </row>
    <row r="1433" spans="2:5" x14ac:dyDescent="0.2">
      <c r="B1433" s="533">
        <v>1639</v>
      </c>
      <c r="C1433" s="541" t="s">
        <v>7162</v>
      </c>
      <c r="D1433" s="656" t="s">
        <v>411</v>
      </c>
      <c r="E1433" s="534">
        <v>688.43335000000002</v>
      </c>
    </row>
    <row r="1434" spans="2:5" x14ac:dyDescent="0.2">
      <c r="B1434" s="533">
        <v>1640</v>
      </c>
      <c r="C1434" s="541" t="s">
        <v>2511</v>
      </c>
      <c r="D1434" s="656" t="s">
        <v>411</v>
      </c>
      <c r="E1434" s="534">
        <v>666.76666299999999</v>
      </c>
    </row>
    <row r="1435" spans="2:5" x14ac:dyDescent="0.2">
      <c r="B1435" s="533">
        <v>1641</v>
      </c>
      <c r="C1435" s="541" t="s">
        <v>3011</v>
      </c>
      <c r="D1435" s="656" t="s">
        <v>411</v>
      </c>
      <c r="E1435" s="534">
        <v>691.90000399999997</v>
      </c>
    </row>
    <row r="1436" spans="2:5" x14ac:dyDescent="0.2">
      <c r="B1436" s="533">
        <v>1642</v>
      </c>
      <c r="C1436" s="541" t="s">
        <v>4438</v>
      </c>
      <c r="D1436" s="656" t="s">
        <v>411</v>
      </c>
      <c r="E1436" s="534">
        <v>776.7</v>
      </c>
    </row>
    <row r="1437" spans="2:5" x14ac:dyDescent="0.2">
      <c r="B1437" s="533">
        <v>1643</v>
      </c>
      <c r="C1437" s="541" t="s">
        <v>7419</v>
      </c>
      <c r="D1437" s="656" t="s">
        <v>411</v>
      </c>
      <c r="E1437" s="534">
        <v>747.54999799999996</v>
      </c>
    </row>
    <row r="1438" spans="2:5" x14ac:dyDescent="0.2">
      <c r="B1438" s="533">
        <v>1644</v>
      </c>
      <c r="C1438" s="541" t="s">
        <v>3092</v>
      </c>
      <c r="D1438" s="656" t="s">
        <v>411</v>
      </c>
      <c r="E1438" s="534">
        <v>696</v>
      </c>
    </row>
    <row r="1439" spans="2:5" x14ac:dyDescent="0.2">
      <c r="B1439" s="533">
        <v>1645</v>
      </c>
      <c r="C1439" s="541" t="s">
        <v>7531</v>
      </c>
      <c r="D1439" s="656" t="s">
        <v>411</v>
      </c>
      <c r="E1439" s="534">
        <v>679.73333700000001</v>
      </c>
    </row>
    <row r="1440" spans="2:5" x14ac:dyDescent="0.2">
      <c r="B1440" s="533">
        <v>1646</v>
      </c>
      <c r="C1440" s="541" t="s">
        <v>1732</v>
      </c>
      <c r="D1440" s="656" t="s">
        <v>411</v>
      </c>
      <c r="E1440" s="534">
        <v>688.80001800000002</v>
      </c>
    </row>
    <row r="1441" spans="2:5" x14ac:dyDescent="0.2">
      <c r="B1441" s="533">
        <v>1647</v>
      </c>
      <c r="C1441" s="541" t="s">
        <v>2115</v>
      </c>
      <c r="D1441" s="656" t="s">
        <v>411</v>
      </c>
      <c r="E1441" s="534">
        <v>649.67500299999995</v>
      </c>
    </row>
    <row r="1442" spans="2:5" x14ac:dyDescent="0.2">
      <c r="B1442" s="533">
        <v>1648</v>
      </c>
      <c r="C1442" s="541" t="s">
        <v>6509</v>
      </c>
      <c r="D1442" s="656" t="s">
        <v>411</v>
      </c>
      <c r="E1442" s="534">
        <v>675.59999600000003</v>
      </c>
    </row>
    <row r="1443" spans="2:5" x14ac:dyDescent="0.2">
      <c r="B1443" s="533">
        <v>1649</v>
      </c>
      <c r="C1443" s="541" t="s">
        <v>3115</v>
      </c>
      <c r="D1443" s="656" t="s">
        <v>411</v>
      </c>
      <c r="E1443" s="534">
        <v>697.47999300000004</v>
      </c>
    </row>
    <row r="1444" spans="2:5" x14ac:dyDescent="0.2">
      <c r="B1444" s="533">
        <v>1650</v>
      </c>
      <c r="C1444" s="541" t="s">
        <v>1046</v>
      </c>
      <c r="D1444" s="656" t="s">
        <v>411</v>
      </c>
      <c r="E1444" s="534">
        <v>734.43998999999997</v>
      </c>
    </row>
    <row r="1445" spans="2:5" x14ac:dyDescent="0.2">
      <c r="B1445" s="533">
        <v>1651</v>
      </c>
      <c r="C1445" s="541" t="s">
        <v>5008</v>
      </c>
      <c r="D1445" s="656" t="s">
        <v>411</v>
      </c>
      <c r="E1445" s="534">
        <v>824.20001200000002</v>
      </c>
    </row>
    <row r="1446" spans="2:5" x14ac:dyDescent="0.2">
      <c r="B1446" s="533">
        <v>1652</v>
      </c>
      <c r="C1446" s="541" t="s">
        <v>3019</v>
      </c>
      <c r="D1446" s="656" t="s">
        <v>411</v>
      </c>
      <c r="E1446" s="534">
        <v>692.35000600000001</v>
      </c>
    </row>
    <row r="1447" spans="2:5" x14ac:dyDescent="0.2">
      <c r="B1447" s="533">
        <v>1653</v>
      </c>
      <c r="C1447" s="541" t="s">
        <v>2640</v>
      </c>
      <c r="D1447" s="656" t="s">
        <v>411</v>
      </c>
      <c r="E1447" s="534">
        <v>759.10000600000001</v>
      </c>
    </row>
    <row r="1448" spans="2:5" x14ac:dyDescent="0.2">
      <c r="B1448" s="533">
        <v>1654</v>
      </c>
      <c r="C1448" s="541" t="s">
        <v>6693</v>
      </c>
      <c r="D1448" s="656" t="s">
        <v>411</v>
      </c>
      <c r="E1448" s="534">
        <v>721.24286800000004</v>
      </c>
    </row>
    <row r="1449" spans="2:5" x14ac:dyDescent="0.2">
      <c r="B1449" s="533">
        <v>1655</v>
      </c>
      <c r="C1449" s="541" t="s">
        <v>6694</v>
      </c>
      <c r="D1449" s="656" t="s">
        <v>411</v>
      </c>
      <c r="E1449" s="534">
        <v>731.40000399999997</v>
      </c>
    </row>
    <row r="1450" spans="2:5" x14ac:dyDescent="0.2">
      <c r="B1450" s="533">
        <v>1656</v>
      </c>
      <c r="C1450" s="541" t="s">
        <v>3359</v>
      </c>
      <c r="D1450" s="656" t="s">
        <v>411</v>
      </c>
      <c r="E1450" s="534">
        <v>759.02000699999996</v>
      </c>
    </row>
    <row r="1451" spans="2:5" x14ac:dyDescent="0.2">
      <c r="B1451" s="533">
        <v>1657</v>
      </c>
      <c r="C1451" s="541" t="s">
        <v>6811</v>
      </c>
      <c r="D1451" s="656" t="s">
        <v>411</v>
      </c>
      <c r="E1451" s="534">
        <v>758.44286199999999</v>
      </c>
    </row>
    <row r="1452" spans="2:5" x14ac:dyDescent="0.2">
      <c r="B1452" s="533">
        <v>1701</v>
      </c>
      <c r="C1452" s="541" t="s">
        <v>2231</v>
      </c>
      <c r="D1452" s="656" t="s">
        <v>412</v>
      </c>
      <c r="E1452" s="534">
        <v>906.13749700000005</v>
      </c>
    </row>
    <row r="1453" spans="2:5" x14ac:dyDescent="0.2">
      <c r="B1453" s="533">
        <v>1702</v>
      </c>
      <c r="C1453" s="541" t="s">
        <v>7089</v>
      </c>
      <c r="D1453" s="656" t="s">
        <v>412</v>
      </c>
      <c r="E1453" s="534">
        <v>871.29998799999998</v>
      </c>
    </row>
    <row r="1454" spans="2:5" x14ac:dyDescent="0.2">
      <c r="B1454" s="533">
        <v>1703</v>
      </c>
      <c r="C1454" s="541" t="s">
        <v>1859</v>
      </c>
      <c r="D1454" s="656" t="s">
        <v>412</v>
      </c>
      <c r="E1454" s="534">
        <v>871.17000700000006</v>
      </c>
    </row>
    <row r="1455" spans="2:5" x14ac:dyDescent="0.2">
      <c r="B1455" s="533">
        <v>1704</v>
      </c>
      <c r="C1455" s="541" t="s">
        <v>5858</v>
      </c>
      <c r="D1455" s="656" t="s">
        <v>412</v>
      </c>
      <c r="E1455" s="534">
        <v>987.09997599999997</v>
      </c>
    </row>
    <row r="1456" spans="2:5" x14ac:dyDescent="0.2">
      <c r="B1456" s="533">
        <v>1705</v>
      </c>
      <c r="C1456" s="541" t="s">
        <v>5471</v>
      </c>
      <c r="D1456" s="656" t="s">
        <v>412</v>
      </c>
      <c r="E1456" s="534">
        <v>893.26250500000003</v>
      </c>
    </row>
    <row r="1457" spans="2:5" x14ac:dyDescent="0.2">
      <c r="B1457" s="533">
        <v>1706</v>
      </c>
      <c r="C1457" s="541" t="s">
        <v>5634</v>
      </c>
      <c r="D1457" s="656" t="s">
        <v>412</v>
      </c>
      <c r="E1457" s="534">
        <v>923.44999700000005</v>
      </c>
    </row>
    <row r="1458" spans="2:5" x14ac:dyDescent="0.2">
      <c r="B1458" s="533">
        <v>1707</v>
      </c>
      <c r="C1458" s="541" t="s">
        <v>5573</v>
      </c>
      <c r="D1458" s="656" t="s">
        <v>412</v>
      </c>
      <c r="E1458" s="534">
        <v>908.25</v>
      </c>
    </row>
    <row r="1459" spans="2:5" x14ac:dyDescent="0.2">
      <c r="B1459" s="533">
        <v>1708</v>
      </c>
      <c r="C1459" s="541" t="s">
        <v>5400</v>
      </c>
      <c r="D1459" s="656" t="s">
        <v>412</v>
      </c>
      <c r="E1459" s="534">
        <v>880.20001200000002</v>
      </c>
    </row>
    <row r="1460" spans="2:5" x14ac:dyDescent="0.2">
      <c r="B1460" s="533">
        <v>1709</v>
      </c>
      <c r="C1460" s="541" t="s">
        <v>1855</v>
      </c>
      <c r="D1460" s="656" t="s">
        <v>412</v>
      </c>
      <c r="E1460" s="534">
        <v>841.41665599999999</v>
      </c>
    </row>
    <row r="1461" spans="2:5" x14ac:dyDescent="0.2">
      <c r="B1461" s="533">
        <v>1710</v>
      </c>
      <c r="C1461" s="541" t="s">
        <v>5394</v>
      </c>
      <c r="D1461" s="656" t="s">
        <v>412</v>
      </c>
      <c r="E1461" s="534">
        <v>879.66666699999996</v>
      </c>
    </row>
    <row r="1462" spans="2:5" x14ac:dyDescent="0.2">
      <c r="B1462" s="533">
        <v>1711</v>
      </c>
      <c r="C1462" s="541" t="s">
        <v>4834</v>
      </c>
      <c r="D1462" s="656" t="s">
        <v>412</v>
      </c>
      <c r="E1462" s="534">
        <v>806.76666599999999</v>
      </c>
    </row>
    <row r="1463" spans="2:5" x14ac:dyDescent="0.2">
      <c r="B1463" s="533">
        <v>1712</v>
      </c>
      <c r="C1463" s="541" t="s">
        <v>3299</v>
      </c>
      <c r="D1463" s="656" t="s">
        <v>412</v>
      </c>
      <c r="E1463" s="534">
        <v>865.94444099999998</v>
      </c>
    </row>
    <row r="1464" spans="2:5" x14ac:dyDescent="0.2">
      <c r="B1464" s="533">
        <v>1713</v>
      </c>
      <c r="C1464" s="541" t="s">
        <v>4100</v>
      </c>
      <c r="D1464" s="656" t="s">
        <v>412</v>
      </c>
      <c r="E1464" s="534">
        <v>751.28333499999997</v>
      </c>
    </row>
    <row r="1465" spans="2:5" x14ac:dyDescent="0.2">
      <c r="B1465" s="533">
        <v>1714</v>
      </c>
      <c r="C1465" s="541" t="s">
        <v>4640</v>
      </c>
      <c r="D1465" s="656" t="s">
        <v>412</v>
      </c>
      <c r="E1465" s="534">
        <v>792.46665399999995</v>
      </c>
    </row>
    <row r="1466" spans="2:5" x14ac:dyDescent="0.2">
      <c r="B1466" s="533">
        <v>1715</v>
      </c>
      <c r="C1466" s="541" t="s">
        <v>5117</v>
      </c>
      <c r="D1466" s="656" t="s">
        <v>412</v>
      </c>
      <c r="E1466" s="534">
        <v>836.46665399999995</v>
      </c>
    </row>
    <row r="1467" spans="2:5" x14ac:dyDescent="0.2">
      <c r="B1467" s="533">
        <v>1716</v>
      </c>
      <c r="C1467" s="541" t="s">
        <v>4470</v>
      </c>
      <c r="D1467" s="656" t="s">
        <v>412</v>
      </c>
      <c r="E1467" s="534">
        <v>778.59285599999998</v>
      </c>
    </row>
    <row r="1468" spans="2:5" x14ac:dyDescent="0.2">
      <c r="B1468" s="533">
        <v>1717</v>
      </c>
      <c r="C1468" s="541" t="s">
        <v>4191</v>
      </c>
      <c r="D1468" s="656" t="s">
        <v>412</v>
      </c>
      <c r="E1468" s="534">
        <v>871.70001200000002</v>
      </c>
    </row>
    <row r="1469" spans="2:5" x14ac:dyDescent="0.2">
      <c r="B1469" s="533">
        <v>1718</v>
      </c>
      <c r="C1469" s="541" t="s">
        <v>5219</v>
      </c>
      <c r="D1469" s="656" t="s">
        <v>412</v>
      </c>
      <c r="E1469" s="534">
        <v>850.15999799999997</v>
      </c>
    </row>
    <row r="1470" spans="2:5" x14ac:dyDescent="0.2">
      <c r="B1470" s="533">
        <v>1719</v>
      </c>
      <c r="C1470" s="541" t="s">
        <v>2930</v>
      </c>
      <c r="D1470" s="656" t="s">
        <v>412</v>
      </c>
      <c r="E1470" s="534">
        <v>867.32499700000005</v>
      </c>
    </row>
    <row r="1471" spans="2:5" x14ac:dyDescent="0.2">
      <c r="B1471" s="533">
        <v>1720</v>
      </c>
      <c r="C1471" s="541" t="s">
        <v>5374</v>
      </c>
      <c r="D1471" s="656" t="s">
        <v>412</v>
      </c>
      <c r="E1471" s="534">
        <v>875.70001200000002</v>
      </c>
    </row>
    <row r="1472" spans="2:5" x14ac:dyDescent="0.2">
      <c r="B1472" s="533">
        <v>1721</v>
      </c>
      <c r="C1472" s="541" t="s">
        <v>7563</v>
      </c>
      <c r="D1472" s="656" t="s">
        <v>412</v>
      </c>
      <c r="E1472" s="534">
        <v>885.63334099999997</v>
      </c>
    </row>
    <row r="1473" spans="2:5" x14ac:dyDescent="0.2">
      <c r="B1473" s="533">
        <v>1722</v>
      </c>
      <c r="C1473" s="541" t="s">
        <v>835</v>
      </c>
      <c r="D1473" s="656" t="s">
        <v>412</v>
      </c>
      <c r="E1473" s="534">
        <v>889.15002400000003</v>
      </c>
    </row>
    <row r="1474" spans="2:5" x14ac:dyDescent="0.2">
      <c r="B1474" s="533">
        <v>1723</v>
      </c>
      <c r="C1474" s="541" t="s">
        <v>5549</v>
      </c>
      <c r="D1474" s="656" t="s">
        <v>412</v>
      </c>
      <c r="E1474" s="534">
        <v>906</v>
      </c>
    </row>
    <row r="1475" spans="2:5" x14ac:dyDescent="0.2">
      <c r="B1475" s="533">
        <v>1724</v>
      </c>
      <c r="C1475" s="541" t="s">
        <v>6924</v>
      </c>
      <c r="D1475" s="656" t="s">
        <v>412</v>
      </c>
      <c r="E1475" s="534">
        <v>863.09997599999997</v>
      </c>
    </row>
    <row r="1476" spans="2:5" x14ac:dyDescent="0.2">
      <c r="B1476" s="533">
        <v>1725</v>
      </c>
      <c r="C1476" s="541" t="s">
        <v>4903</v>
      </c>
      <c r="D1476" s="656" t="s">
        <v>412</v>
      </c>
      <c r="E1476" s="534">
        <v>813.35000600000001</v>
      </c>
    </row>
    <row r="1477" spans="2:5" x14ac:dyDescent="0.2">
      <c r="B1477" s="533">
        <v>1726</v>
      </c>
      <c r="C1477" s="541" t="s">
        <v>2171</v>
      </c>
      <c r="D1477" s="656" t="s">
        <v>412</v>
      </c>
      <c r="E1477" s="534">
        <v>835.83333300000004</v>
      </c>
    </row>
    <row r="1478" spans="2:5" x14ac:dyDescent="0.2">
      <c r="B1478" s="533">
        <v>1727</v>
      </c>
      <c r="C1478" s="541" t="s">
        <v>1896</v>
      </c>
      <c r="D1478" s="656" t="s">
        <v>412</v>
      </c>
      <c r="E1478" s="534">
        <v>846.92500299999995</v>
      </c>
    </row>
    <row r="1479" spans="2:5" x14ac:dyDescent="0.2">
      <c r="B1479" s="533">
        <v>1728</v>
      </c>
      <c r="C1479" s="541" t="s">
        <v>4996</v>
      </c>
      <c r="D1479" s="656" t="s">
        <v>412</v>
      </c>
      <c r="E1479" s="534">
        <v>823.36154899999997</v>
      </c>
    </row>
    <row r="1480" spans="2:5" x14ac:dyDescent="0.2">
      <c r="B1480" s="533">
        <v>1729</v>
      </c>
      <c r="C1480" s="541" t="s">
        <v>5153</v>
      </c>
      <c r="D1480" s="656" t="s">
        <v>412</v>
      </c>
      <c r="E1480" s="534">
        <v>839.59997599999997</v>
      </c>
    </row>
    <row r="1481" spans="2:5" x14ac:dyDescent="0.2">
      <c r="B1481" s="533">
        <v>1730</v>
      </c>
      <c r="C1481" s="541" t="s">
        <v>5171</v>
      </c>
      <c r="D1481" s="656" t="s">
        <v>412</v>
      </c>
      <c r="E1481" s="534">
        <v>842.59998800000005</v>
      </c>
    </row>
    <row r="1482" spans="2:5" x14ac:dyDescent="0.2">
      <c r="B1482" s="533">
        <v>1731</v>
      </c>
      <c r="C1482" s="541" t="s">
        <v>3722</v>
      </c>
      <c r="D1482" s="656" t="s">
        <v>412</v>
      </c>
      <c r="E1482" s="534">
        <v>728.740002</v>
      </c>
    </row>
    <row r="1483" spans="2:5" x14ac:dyDescent="0.2">
      <c r="B1483" s="533">
        <v>1732</v>
      </c>
      <c r="C1483" s="541" t="s">
        <v>2983</v>
      </c>
      <c r="D1483" s="656" t="s">
        <v>412</v>
      </c>
      <c r="E1483" s="534">
        <v>690.25998500000003</v>
      </c>
    </row>
    <row r="1484" spans="2:5" x14ac:dyDescent="0.2">
      <c r="B1484" s="533">
        <v>1733</v>
      </c>
      <c r="C1484" s="541" t="s">
        <v>2312</v>
      </c>
      <c r="D1484" s="656" t="s">
        <v>412</v>
      </c>
      <c r="E1484" s="534">
        <v>658.30001800000002</v>
      </c>
    </row>
    <row r="1485" spans="2:5" x14ac:dyDescent="0.2">
      <c r="B1485" s="533">
        <v>1734</v>
      </c>
      <c r="C1485" s="541" t="s">
        <v>2123</v>
      </c>
      <c r="D1485" s="656" t="s">
        <v>412</v>
      </c>
      <c r="E1485" s="534">
        <v>650.02499399999999</v>
      </c>
    </row>
    <row r="1486" spans="2:5" x14ac:dyDescent="0.2">
      <c r="B1486" s="533">
        <v>1735</v>
      </c>
      <c r="C1486" s="541" t="s">
        <v>1659</v>
      </c>
      <c r="D1486" s="656" t="s">
        <v>412</v>
      </c>
      <c r="E1486" s="534">
        <v>630.67999299999997</v>
      </c>
    </row>
    <row r="1487" spans="2:5" x14ac:dyDescent="0.2">
      <c r="B1487" s="533">
        <v>1736</v>
      </c>
      <c r="C1487" s="541" t="s">
        <v>1602</v>
      </c>
      <c r="D1487" s="656" t="s">
        <v>412</v>
      </c>
      <c r="E1487" s="534">
        <v>627.09997599999997</v>
      </c>
    </row>
    <row r="1488" spans="2:5" x14ac:dyDescent="0.2">
      <c r="B1488" s="533">
        <v>1737</v>
      </c>
      <c r="C1488" s="541" t="s">
        <v>1973</v>
      </c>
      <c r="D1488" s="656" t="s">
        <v>412</v>
      </c>
      <c r="E1488" s="534">
        <v>642.76666299999999</v>
      </c>
    </row>
    <row r="1489" spans="2:5" x14ac:dyDescent="0.2">
      <c r="B1489" s="533">
        <v>1738</v>
      </c>
      <c r="C1489" s="541" t="s">
        <v>1658</v>
      </c>
      <c r="D1489" s="656" t="s">
        <v>412</v>
      </c>
      <c r="E1489" s="534">
        <v>630.63332100000002</v>
      </c>
    </row>
    <row r="1490" spans="2:5" x14ac:dyDescent="0.2">
      <c r="B1490" s="533">
        <v>1739</v>
      </c>
      <c r="C1490" s="541" t="s">
        <v>1329</v>
      </c>
      <c r="D1490" s="656" t="s">
        <v>412</v>
      </c>
      <c r="E1490" s="534">
        <v>611.95999800000004</v>
      </c>
    </row>
    <row r="1491" spans="2:5" x14ac:dyDescent="0.2">
      <c r="B1491" s="533">
        <v>1740</v>
      </c>
      <c r="C1491" s="541" t="s">
        <v>6645</v>
      </c>
      <c r="D1491" s="656" t="s">
        <v>412</v>
      </c>
      <c r="E1491" s="534">
        <v>694.79998799999998</v>
      </c>
    </row>
    <row r="1492" spans="2:5" x14ac:dyDescent="0.2">
      <c r="B1492" s="533">
        <v>1741</v>
      </c>
      <c r="C1492" s="541" t="s">
        <v>2756</v>
      </c>
      <c r="D1492" s="656" t="s">
        <v>412</v>
      </c>
      <c r="E1492" s="534">
        <v>678.98332700000003</v>
      </c>
    </row>
    <row r="1493" spans="2:5" x14ac:dyDescent="0.2">
      <c r="B1493" s="533">
        <v>1742</v>
      </c>
      <c r="C1493" s="541" t="s">
        <v>7615</v>
      </c>
      <c r="D1493" s="656" t="s">
        <v>412</v>
      </c>
      <c r="E1493" s="534">
        <v>684.5</v>
      </c>
    </row>
    <row r="1494" spans="2:5" x14ac:dyDescent="0.2">
      <c r="B1494" s="533">
        <v>1743</v>
      </c>
      <c r="C1494" s="541" t="s">
        <v>7322</v>
      </c>
      <c r="D1494" s="656" t="s">
        <v>412</v>
      </c>
      <c r="E1494" s="534">
        <v>667.240002</v>
      </c>
    </row>
    <row r="1495" spans="2:5" x14ac:dyDescent="0.2">
      <c r="B1495" s="533">
        <v>1744</v>
      </c>
      <c r="C1495" s="541" t="s">
        <v>4283</v>
      </c>
      <c r="D1495" s="656" t="s">
        <v>412</v>
      </c>
      <c r="E1495" s="534">
        <v>764.01667299999997</v>
      </c>
    </row>
    <row r="1496" spans="2:5" x14ac:dyDescent="0.2">
      <c r="B1496" s="533">
        <v>1745</v>
      </c>
      <c r="C1496" s="541" t="s">
        <v>7132</v>
      </c>
      <c r="D1496" s="656" t="s">
        <v>412</v>
      </c>
      <c r="E1496" s="534">
        <v>736.17999299999997</v>
      </c>
    </row>
    <row r="1497" spans="2:5" x14ac:dyDescent="0.2">
      <c r="B1497" s="533">
        <v>1746</v>
      </c>
      <c r="C1497" s="541" t="s">
        <v>4373</v>
      </c>
      <c r="D1497" s="656" t="s">
        <v>412</v>
      </c>
      <c r="E1497" s="534">
        <v>770.77691200000004</v>
      </c>
    </row>
    <row r="1498" spans="2:5" x14ac:dyDescent="0.2">
      <c r="B1498" s="533">
        <v>1747</v>
      </c>
      <c r="C1498" s="541" t="s">
        <v>3914</v>
      </c>
      <c r="D1498" s="656" t="s">
        <v>412</v>
      </c>
      <c r="E1498" s="534">
        <v>740.18331899999998</v>
      </c>
    </row>
    <row r="1499" spans="2:5" x14ac:dyDescent="0.2">
      <c r="B1499" s="533">
        <v>1748</v>
      </c>
      <c r="C1499" s="541" t="s">
        <v>7621</v>
      </c>
      <c r="D1499" s="656" t="s">
        <v>412</v>
      </c>
      <c r="E1499" s="534">
        <v>744.96666500000003</v>
      </c>
    </row>
    <row r="1500" spans="2:5" x14ac:dyDescent="0.2">
      <c r="B1500" s="533">
        <v>1749</v>
      </c>
      <c r="C1500" s="541" t="s">
        <v>6991</v>
      </c>
      <c r="D1500" s="656" t="s">
        <v>412</v>
      </c>
      <c r="E1500" s="534">
        <v>676.96667500000001</v>
      </c>
    </row>
    <row r="1501" spans="2:5" x14ac:dyDescent="0.2">
      <c r="B1501" s="533">
        <v>1750</v>
      </c>
      <c r="C1501" s="541" t="s">
        <v>1455</v>
      </c>
      <c r="D1501" s="656" t="s">
        <v>412</v>
      </c>
      <c r="E1501" s="534">
        <v>618.37999300000001</v>
      </c>
    </row>
    <row r="1502" spans="2:5" x14ac:dyDescent="0.2">
      <c r="B1502" s="533">
        <v>1751</v>
      </c>
      <c r="C1502" s="541" t="s">
        <v>1882</v>
      </c>
      <c r="D1502" s="656" t="s">
        <v>412</v>
      </c>
      <c r="E1502" s="534">
        <v>639.53332499999999</v>
      </c>
    </row>
    <row r="1503" spans="2:5" x14ac:dyDescent="0.2">
      <c r="B1503" s="533">
        <v>1752</v>
      </c>
      <c r="C1503" s="541" t="s">
        <v>3621</v>
      </c>
      <c r="D1503" s="656" t="s">
        <v>412</v>
      </c>
      <c r="E1503" s="534">
        <v>723.6</v>
      </c>
    </row>
    <row r="1504" spans="2:5" x14ac:dyDescent="0.2">
      <c r="B1504" s="533">
        <v>1753</v>
      </c>
      <c r="C1504" s="541" t="s">
        <v>3076</v>
      </c>
      <c r="D1504" s="656" t="s">
        <v>412</v>
      </c>
      <c r="E1504" s="534">
        <v>695.26668299999994</v>
      </c>
    </row>
    <row r="1505" spans="2:5" x14ac:dyDescent="0.2">
      <c r="B1505" s="533">
        <v>1754</v>
      </c>
      <c r="C1505" s="541" t="s">
        <v>412</v>
      </c>
      <c r="D1505" s="656" t="s">
        <v>412</v>
      </c>
      <c r="E1505" s="534">
        <v>657.17999299999997</v>
      </c>
    </row>
    <row r="1506" spans="2:5" x14ac:dyDescent="0.2">
      <c r="B1506" s="533">
        <v>1755</v>
      </c>
      <c r="C1506" s="541" t="s">
        <v>1343</v>
      </c>
      <c r="D1506" s="656" t="s">
        <v>412</v>
      </c>
      <c r="E1506" s="534">
        <v>612.59998800000005</v>
      </c>
    </row>
    <row r="1507" spans="2:5" x14ac:dyDescent="0.2">
      <c r="B1507" s="533">
        <v>1756</v>
      </c>
      <c r="C1507" s="541" t="s">
        <v>2294</v>
      </c>
      <c r="D1507" s="656" t="s">
        <v>412</v>
      </c>
      <c r="E1507" s="534">
        <v>657.54998799999998</v>
      </c>
    </row>
    <row r="1508" spans="2:5" x14ac:dyDescent="0.2">
      <c r="B1508" s="533">
        <v>1757</v>
      </c>
      <c r="C1508" s="541" t="s">
        <v>3746</v>
      </c>
      <c r="D1508" s="656" t="s">
        <v>412</v>
      </c>
      <c r="E1508" s="534">
        <v>730.23331700000006</v>
      </c>
    </row>
    <row r="1509" spans="2:5" x14ac:dyDescent="0.2">
      <c r="B1509" s="533">
        <v>1758</v>
      </c>
      <c r="C1509" s="541" t="s">
        <v>1984</v>
      </c>
      <c r="D1509" s="656" t="s">
        <v>412</v>
      </c>
      <c r="E1509" s="534">
        <v>643.16666699999996</v>
      </c>
    </row>
    <row r="1510" spans="2:5" x14ac:dyDescent="0.2">
      <c r="B1510" s="533">
        <v>1759</v>
      </c>
      <c r="C1510" s="541" t="s">
        <v>2006</v>
      </c>
      <c r="D1510" s="656" t="s">
        <v>412</v>
      </c>
      <c r="E1510" s="534">
        <v>643.88571999999999</v>
      </c>
    </row>
    <row r="1511" spans="2:5" x14ac:dyDescent="0.2">
      <c r="B1511" s="533">
        <v>1760</v>
      </c>
      <c r="C1511" s="541" t="s">
        <v>2426</v>
      </c>
      <c r="D1511" s="656" t="s">
        <v>412</v>
      </c>
      <c r="E1511" s="534">
        <v>749.60909200000003</v>
      </c>
    </row>
    <row r="1512" spans="2:5" x14ac:dyDescent="0.2">
      <c r="B1512" s="533">
        <v>1761</v>
      </c>
      <c r="C1512" s="541" t="s">
        <v>4303</v>
      </c>
      <c r="D1512" s="656" t="s">
        <v>412</v>
      </c>
      <c r="E1512" s="534">
        <v>826.71539299999995</v>
      </c>
    </row>
    <row r="1513" spans="2:5" x14ac:dyDescent="0.2">
      <c r="B1513" s="533">
        <v>1762</v>
      </c>
      <c r="C1513" s="541" t="s">
        <v>5215</v>
      </c>
      <c r="D1513" s="656" t="s">
        <v>412</v>
      </c>
      <c r="E1513" s="534">
        <v>849.65000599999996</v>
      </c>
    </row>
    <row r="1514" spans="2:5" x14ac:dyDescent="0.2">
      <c r="B1514" s="533">
        <v>1763</v>
      </c>
      <c r="C1514" s="541" t="s">
        <v>4177</v>
      </c>
      <c r="D1514" s="656" t="s">
        <v>412</v>
      </c>
      <c r="E1514" s="534">
        <v>756.23334799999998</v>
      </c>
    </row>
    <row r="1515" spans="2:5" x14ac:dyDescent="0.2">
      <c r="B1515" s="533">
        <v>1764</v>
      </c>
      <c r="C1515" s="541" t="s">
        <v>3784</v>
      </c>
      <c r="D1515" s="656" t="s">
        <v>412</v>
      </c>
      <c r="E1515" s="534">
        <v>732.25</v>
      </c>
    </row>
    <row r="1516" spans="2:5" x14ac:dyDescent="0.2">
      <c r="B1516" s="533">
        <v>1765</v>
      </c>
      <c r="C1516" s="541" t="s">
        <v>7051</v>
      </c>
      <c r="D1516" s="656" t="s">
        <v>412</v>
      </c>
      <c r="E1516" s="534">
        <v>769.47647300000006</v>
      </c>
    </row>
    <row r="1517" spans="2:5" x14ac:dyDescent="0.2">
      <c r="B1517" s="533">
        <v>1766</v>
      </c>
      <c r="C1517" s="541" t="s">
        <v>4361</v>
      </c>
      <c r="D1517" s="656" t="s">
        <v>412</v>
      </c>
      <c r="E1517" s="534">
        <v>769.86665900000003</v>
      </c>
    </row>
    <row r="1518" spans="2:5" x14ac:dyDescent="0.2">
      <c r="B1518" s="533">
        <v>1767</v>
      </c>
      <c r="C1518" s="541" t="s">
        <v>2829</v>
      </c>
      <c r="D1518" s="656" t="s">
        <v>412</v>
      </c>
      <c r="E1518" s="534">
        <v>683.32499700000005</v>
      </c>
    </row>
    <row r="1519" spans="2:5" x14ac:dyDescent="0.2">
      <c r="B1519" s="533">
        <v>1768</v>
      </c>
      <c r="C1519" s="541" t="s">
        <v>3775</v>
      </c>
      <c r="D1519" s="656" t="s">
        <v>412</v>
      </c>
      <c r="E1519" s="534">
        <v>731.89000199999998</v>
      </c>
    </row>
    <row r="1520" spans="2:5" x14ac:dyDescent="0.2">
      <c r="B1520" s="533">
        <v>1769</v>
      </c>
      <c r="C1520" s="541" t="s">
        <v>3698</v>
      </c>
      <c r="D1520" s="656" t="s">
        <v>412</v>
      </c>
      <c r="E1520" s="534">
        <v>727.6</v>
      </c>
    </row>
    <row r="1521" spans="2:5" x14ac:dyDescent="0.2">
      <c r="B1521" s="533">
        <v>1770</v>
      </c>
      <c r="C1521" s="541" t="s">
        <v>4039</v>
      </c>
      <c r="D1521" s="656" t="s">
        <v>412</v>
      </c>
      <c r="E1521" s="534">
        <v>748.01249700000005</v>
      </c>
    </row>
    <row r="1522" spans="2:5" x14ac:dyDescent="0.2">
      <c r="B1522" s="533">
        <v>1771</v>
      </c>
      <c r="C1522" s="541" t="s">
        <v>4150</v>
      </c>
      <c r="D1522" s="656" t="s">
        <v>412</v>
      </c>
      <c r="E1522" s="534">
        <v>754.50000599999998</v>
      </c>
    </row>
    <row r="1523" spans="2:5" x14ac:dyDescent="0.2">
      <c r="B1523" s="533">
        <v>1772</v>
      </c>
      <c r="C1523" s="541" t="s">
        <v>5190</v>
      </c>
      <c r="D1523" s="656" t="s">
        <v>412</v>
      </c>
      <c r="E1523" s="534">
        <v>845.55454299999997</v>
      </c>
    </row>
    <row r="1524" spans="2:5" x14ac:dyDescent="0.2">
      <c r="B1524" s="533">
        <v>1773</v>
      </c>
      <c r="C1524" s="541" t="s">
        <v>4726</v>
      </c>
      <c r="D1524" s="656" t="s">
        <v>412</v>
      </c>
      <c r="E1524" s="534">
        <v>799.16666699999996</v>
      </c>
    </row>
    <row r="1525" spans="2:5" x14ac:dyDescent="0.2">
      <c r="B1525" s="533">
        <v>1774</v>
      </c>
      <c r="C1525" s="541" t="s">
        <v>5306</v>
      </c>
      <c r="D1525" s="656" t="s">
        <v>412</v>
      </c>
      <c r="E1525" s="534">
        <v>864.90002400000003</v>
      </c>
    </row>
    <row r="1526" spans="2:5" x14ac:dyDescent="0.2">
      <c r="B1526" s="533">
        <v>1775</v>
      </c>
      <c r="C1526" s="541" t="s">
        <v>5185</v>
      </c>
      <c r="D1526" s="656" t="s">
        <v>412</v>
      </c>
      <c r="E1526" s="534">
        <v>844.97776999999996</v>
      </c>
    </row>
    <row r="1527" spans="2:5" x14ac:dyDescent="0.2">
      <c r="B1527" s="533">
        <v>1776</v>
      </c>
      <c r="C1527" s="541" t="s">
        <v>5218</v>
      </c>
      <c r="D1527" s="656" t="s">
        <v>412</v>
      </c>
      <c r="E1527" s="534">
        <v>850.13999000000001</v>
      </c>
    </row>
    <row r="1528" spans="2:5" x14ac:dyDescent="0.2">
      <c r="B1528" s="533">
        <v>1777</v>
      </c>
      <c r="C1528" s="541" t="s">
        <v>4718</v>
      </c>
      <c r="D1528" s="656" t="s">
        <v>412</v>
      </c>
      <c r="E1528" s="534">
        <v>798.25001499999996</v>
      </c>
    </row>
    <row r="1529" spans="2:5" x14ac:dyDescent="0.2">
      <c r="B1529" s="533">
        <v>1778</v>
      </c>
      <c r="C1529" s="541" t="s">
        <v>3633</v>
      </c>
      <c r="D1529" s="656" t="s">
        <v>412</v>
      </c>
      <c r="E1529" s="534">
        <v>724.00001199999997</v>
      </c>
    </row>
    <row r="1530" spans="2:5" x14ac:dyDescent="0.2">
      <c r="B1530" s="533">
        <v>1779</v>
      </c>
      <c r="C1530" s="541" t="s">
        <v>6810</v>
      </c>
      <c r="D1530" s="656" t="s">
        <v>412</v>
      </c>
      <c r="E1530" s="534">
        <v>762.41665599999999</v>
      </c>
    </row>
    <row r="1531" spans="2:5" x14ac:dyDescent="0.2">
      <c r="B1531" s="533">
        <v>1780</v>
      </c>
      <c r="C1531" s="541" t="s">
        <v>3947</v>
      </c>
      <c r="D1531" s="656" t="s">
        <v>412</v>
      </c>
      <c r="E1531" s="534">
        <v>742.19999900000005</v>
      </c>
    </row>
    <row r="1532" spans="2:5" x14ac:dyDescent="0.2">
      <c r="B1532" s="533">
        <v>1781</v>
      </c>
      <c r="C1532" s="541" t="s">
        <v>2706</v>
      </c>
      <c r="D1532" s="656" t="s">
        <v>412</v>
      </c>
      <c r="E1532" s="534">
        <v>676.57499700000005</v>
      </c>
    </row>
    <row r="1533" spans="2:5" x14ac:dyDescent="0.2">
      <c r="B1533" s="533">
        <v>1782</v>
      </c>
      <c r="C1533" s="541" t="s">
        <v>3047</v>
      </c>
      <c r="D1533" s="656" t="s">
        <v>412</v>
      </c>
      <c r="E1533" s="534">
        <v>693.79998799999998</v>
      </c>
    </row>
    <row r="1534" spans="2:5" x14ac:dyDescent="0.2">
      <c r="B1534" s="533">
        <v>1783</v>
      </c>
      <c r="C1534" s="541" t="s">
        <v>6635</v>
      </c>
      <c r="D1534" s="656" t="s">
        <v>412</v>
      </c>
      <c r="E1534" s="534">
        <v>673.80000800000005</v>
      </c>
    </row>
    <row r="1535" spans="2:5" x14ac:dyDescent="0.2">
      <c r="B1535" s="533">
        <v>1784</v>
      </c>
      <c r="C1535" s="541" t="s">
        <v>4335</v>
      </c>
      <c r="D1535" s="656" t="s">
        <v>412</v>
      </c>
      <c r="E1535" s="534">
        <v>767.72499600000003</v>
      </c>
    </row>
    <row r="1536" spans="2:5" x14ac:dyDescent="0.2">
      <c r="B1536" s="533">
        <v>1785</v>
      </c>
      <c r="C1536" s="541" t="s">
        <v>3913</v>
      </c>
      <c r="D1536" s="656" t="s">
        <v>412</v>
      </c>
      <c r="E1536" s="534">
        <v>740.177775</v>
      </c>
    </row>
    <row r="1537" spans="2:5" x14ac:dyDescent="0.2">
      <c r="B1537" s="533">
        <v>1786</v>
      </c>
      <c r="C1537" s="541" t="s">
        <v>2948</v>
      </c>
      <c r="D1537" s="656" t="s">
        <v>412</v>
      </c>
      <c r="E1537" s="534">
        <v>688.29998799999998</v>
      </c>
    </row>
    <row r="1538" spans="2:5" x14ac:dyDescent="0.2">
      <c r="B1538" s="533">
        <v>1787</v>
      </c>
      <c r="C1538" s="541" t="s">
        <v>4068</v>
      </c>
      <c r="D1538" s="656" t="s">
        <v>412</v>
      </c>
      <c r="E1538" s="534">
        <v>749.86922500000003</v>
      </c>
    </row>
    <row r="1539" spans="2:5" x14ac:dyDescent="0.2">
      <c r="B1539" s="533">
        <v>1788</v>
      </c>
      <c r="C1539" s="541" t="s">
        <v>4242</v>
      </c>
      <c r="D1539" s="656" t="s">
        <v>412</v>
      </c>
      <c r="E1539" s="534">
        <v>761.06152799999995</v>
      </c>
    </row>
    <row r="1540" spans="2:5" x14ac:dyDescent="0.2">
      <c r="B1540" s="533">
        <v>1789</v>
      </c>
      <c r="C1540" s="541" t="s">
        <v>4528</v>
      </c>
      <c r="D1540" s="656" t="s">
        <v>412</v>
      </c>
      <c r="E1540" s="534">
        <v>782.84375399999999</v>
      </c>
    </row>
    <row r="1541" spans="2:5" x14ac:dyDescent="0.2">
      <c r="B1541" s="533">
        <v>1790</v>
      </c>
      <c r="C1541" s="541" t="s">
        <v>2503</v>
      </c>
      <c r="D1541" s="656" t="s">
        <v>412</v>
      </c>
      <c r="E1541" s="534">
        <v>666.31250799999998</v>
      </c>
    </row>
    <row r="1542" spans="2:5" x14ac:dyDescent="0.2">
      <c r="B1542" s="533">
        <v>1791</v>
      </c>
      <c r="C1542" s="541" t="s">
        <v>3105</v>
      </c>
      <c r="D1542" s="656" t="s">
        <v>412</v>
      </c>
      <c r="E1542" s="534">
        <v>696.81667100000004</v>
      </c>
    </row>
    <row r="1543" spans="2:5" x14ac:dyDescent="0.2">
      <c r="B1543" s="533">
        <v>1792</v>
      </c>
      <c r="C1543" s="541" t="s">
        <v>4109</v>
      </c>
      <c r="D1543" s="656" t="s">
        <v>412</v>
      </c>
      <c r="E1543" s="534">
        <v>752</v>
      </c>
    </row>
    <row r="1544" spans="2:5" x14ac:dyDescent="0.2">
      <c r="B1544" s="533">
        <v>1793</v>
      </c>
      <c r="C1544" s="541" t="s">
        <v>3407</v>
      </c>
      <c r="D1544" s="656" t="s">
        <v>412</v>
      </c>
      <c r="E1544" s="534">
        <v>725.41667700000005</v>
      </c>
    </row>
    <row r="1545" spans="2:5" x14ac:dyDescent="0.2">
      <c r="B1545" s="533">
        <v>1794</v>
      </c>
      <c r="C1545" s="541" t="s">
        <v>2556</v>
      </c>
      <c r="D1545" s="656" t="s">
        <v>412</v>
      </c>
      <c r="E1545" s="534">
        <v>668.95001200000002</v>
      </c>
    </row>
    <row r="1546" spans="2:5" x14ac:dyDescent="0.2">
      <c r="B1546" s="533">
        <v>1795</v>
      </c>
      <c r="C1546" s="541" t="s">
        <v>2697</v>
      </c>
      <c r="D1546" s="656" t="s">
        <v>412</v>
      </c>
      <c r="E1546" s="534">
        <v>676.09997599999997</v>
      </c>
    </row>
    <row r="1547" spans="2:5" x14ac:dyDescent="0.2">
      <c r="B1547" s="533">
        <v>1796</v>
      </c>
      <c r="C1547" s="541" t="s">
        <v>1879</v>
      </c>
      <c r="D1547" s="656" t="s">
        <v>412</v>
      </c>
      <c r="E1547" s="534">
        <v>639.45001200000002</v>
      </c>
    </row>
    <row r="1548" spans="2:5" x14ac:dyDescent="0.2">
      <c r="B1548" s="533">
        <v>1797</v>
      </c>
      <c r="C1548" s="541" t="s">
        <v>3795</v>
      </c>
      <c r="D1548" s="656" t="s">
        <v>412</v>
      </c>
      <c r="E1548" s="534">
        <v>733.14999399999999</v>
      </c>
    </row>
    <row r="1549" spans="2:5" x14ac:dyDescent="0.2">
      <c r="B1549" s="533">
        <v>1798</v>
      </c>
      <c r="C1549" s="541" t="s">
        <v>4004</v>
      </c>
      <c r="D1549" s="656" t="s">
        <v>412</v>
      </c>
      <c r="E1549" s="534">
        <v>745.80000500000006</v>
      </c>
    </row>
    <row r="1550" spans="2:5" x14ac:dyDescent="0.2">
      <c r="B1550" s="533">
        <v>1799</v>
      </c>
      <c r="C1550" s="541" t="s">
        <v>4048</v>
      </c>
      <c r="D1550" s="656" t="s">
        <v>412</v>
      </c>
      <c r="E1550" s="534">
        <v>748.67334000000005</v>
      </c>
    </row>
    <row r="1551" spans="2:5" x14ac:dyDescent="0.2">
      <c r="B1551" s="533">
        <v>1800</v>
      </c>
      <c r="C1551" s="541" t="s">
        <v>2173</v>
      </c>
      <c r="D1551" s="656" t="s">
        <v>412</v>
      </c>
      <c r="E1551" s="534">
        <v>652.27499899999998</v>
      </c>
    </row>
    <row r="1552" spans="2:5" x14ac:dyDescent="0.2">
      <c r="B1552" s="533">
        <v>1801</v>
      </c>
      <c r="C1552" s="541" t="s">
        <v>1629</v>
      </c>
      <c r="D1552" s="656" t="s">
        <v>412</v>
      </c>
      <c r="E1552" s="534">
        <v>628.32499700000005</v>
      </c>
    </row>
    <row r="1553" spans="2:5" x14ac:dyDescent="0.2">
      <c r="B1553" s="533">
        <v>1802</v>
      </c>
      <c r="C1553" s="541" t="s">
        <v>1016</v>
      </c>
      <c r="D1553" s="656" t="s">
        <v>412</v>
      </c>
      <c r="E1553" s="534">
        <v>591.79998799999998</v>
      </c>
    </row>
    <row r="1554" spans="2:5" x14ac:dyDescent="0.2">
      <c r="B1554" s="533">
        <v>1803</v>
      </c>
      <c r="C1554" s="541" t="s">
        <v>6578</v>
      </c>
      <c r="D1554" s="656" t="s">
        <v>412</v>
      </c>
      <c r="E1554" s="534">
        <v>635.43333900000005</v>
      </c>
    </row>
    <row r="1555" spans="2:5" x14ac:dyDescent="0.2">
      <c r="B1555" s="533">
        <v>1804</v>
      </c>
      <c r="C1555" s="541" t="s">
        <v>1252</v>
      </c>
      <c r="D1555" s="656" t="s">
        <v>412</v>
      </c>
      <c r="E1555" s="534">
        <v>607.14999399999999</v>
      </c>
    </row>
    <row r="1556" spans="2:5" x14ac:dyDescent="0.2">
      <c r="B1556" s="533">
        <v>1805</v>
      </c>
      <c r="C1556" s="541" t="s">
        <v>2517</v>
      </c>
      <c r="D1556" s="656" t="s">
        <v>412</v>
      </c>
      <c r="E1556" s="534">
        <v>667.46666100000004</v>
      </c>
    </row>
    <row r="1557" spans="2:5" x14ac:dyDescent="0.2">
      <c r="B1557" s="533">
        <v>1806</v>
      </c>
      <c r="C1557" s="541" t="s">
        <v>1290</v>
      </c>
      <c r="D1557" s="656" t="s">
        <v>412</v>
      </c>
      <c r="E1557" s="534">
        <v>609.69999199999995</v>
      </c>
    </row>
    <row r="1558" spans="2:5" x14ac:dyDescent="0.2">
      <c r="B1558" s="533">
        <v>1807</v>
      </c>
      <c r="C1558" s="541" t="s">
        <v>1128</v>
      </c>
      <c r="D1558" s="656" t="s">
        <v>412</v>
      </c>
      <c r="E1558" s="534">
        <v>599.74545000000001</v>
      </c>
    </row>
    <row r="1559" spans="2:5" x14ac:dyDescent="0.2">
      <c r="B1559" s="533">
        <v>1808</v>
      </c>
      <c r="C1559" s="541" t="s">
        <v>3411</v>
      </c>
      <c r="D1559" s="656" t="s">
        <v>413</v>
      </c>
      <c r="E1559" s="534">
        <v>712.26000999999997</v>
      </c>
    </row>
    <row r="1560" spans="2:5" x14ac:dyDescent="0.2">
      <c r="B1560" s="533">
        <v>1809</v>
      </c>
      <c r="C1560" s="541" t="s">
        <v>3389</v>
      </c>
      <c r="D1560" s="656" t="s">
        <v>413</v>
      </c>
      <c r="E1560" s="534">
        <v>710.83998999999994</v>
      </c>
    </row>
    <row r="1561" spans="2:5" x14ac:dyDescent="0.2">
      <c r="B1561" s="533">
        <v>1810</v>
      </c>
      <c r="C1561" s="541" t="s">
        <v>6776</v>
      </c>
      <c r="D1561" s="656" t="s">
        <v>413</v>
      </c>
      <c r="E1561" s="534">
        <v>704.16667700000005</v>
      </c>
    </row>
    <row r="1562" spans="2:5" x14ac:dyDescent="0.2">
      <c r="B1562" s="533">
        <v>1811</v>
      </c>
      <c r="C1562" s="541" t="s">
        <v>1585</v>
      </c>
      <c r="D1562" s="656" t="s">
        <v>413</v>
      </c>
      <c r="E1562" s="534">
        <v>626.14999399999999</v>
      </c>
    </row>
    <row r="1563" spans="2:5" x14ac:dyDescent="0.2">
      <c r="B1563" s="533">
        <v>1812</v>
      </c>
      <c r="C1563" s="541" t="s">
        <v>2097</v>
      </c>
      <c r="D1563" s="656" t="s">
        <v>413</v>
      </c>
      <c r="E1563" s="534">
        <v>648.79998799999998</v>
      </c>
    </row>
    <row r="1564" spans="2:5" x14ac:dyDescent="0.2">
      <c r="B1564" s="533">
        <v>1813</v>
      </c>
      <c r="C1564" s="541" t="s">
        <v>2203</v>
      </c>
      <c r="D1564" s="656" t="s">
        <v>413</v>
      </c>
      <c r="E1564" s="534">
        <v>653.41999499999997</v>
      </c>
    </row>
    <row r="1565" spans="2:5" x14ac:dyDescent="0.2">
      <c r="B1565" s="533">
        <v>1814</v>
      </c>
      <c r="C1565" s="541" t="s">
        <v>2137</v>
      </c>
      <c r="D1565" s="656" t="s">
        <v>413</v>
      </c>
      <c r="E1565" s="534">
        <v>650.60000600000001</v>
      </c>
    </row>
    <row r="1566" spans="2:5" x14ac:dyDescent="0.2">
      <c r="B1566" s="533">
        <v>1815</v>
      </c>
      <c r="C1566" s="541" t="s">
        <v>2211</v>
      </c>
      <c r="D1566" s="656" t="s">
        <v>413</v>
      </c>
      <c r="E1566" s="534">
        <v>653.88748899999996</v>
      </c>
    </row>
    <row r="1567" spans="2:5" x14ac:dyDescent="0.2">
      <c r="B1567" s="533">
        <v>1816</v>
      </c>
      <c r="C1567" s="541" t="s">
        <v>2069</v>
      </c>
      <c r="D1567" s="656" t="s">
        <v>413</v>
      </c>
      <c r="E1567" s="534">
        <v>647.20000000000005</v>
      </c>
    </row>
    <row r="1568" spans="2:5" x14ac:dyDescent="0.2">
      <c r="B1568" s="533">
        <v>1817</v>
      </c>
      <c r="C1568" s="541" t="s">
        <v>7489</v>
      </c>
      <c r="D1568" s="656" t="s">
        <v>413</v>
      </c>
      <c r="E1568" s="534">
        <v>653.75</v>
      </c>
    </row>
    <row r="1569" spans="2:5" x14ac:dyDescent="0.2">
      <c r="B1569" s="533">
        <v>1818</v>
      </c>
      <c r="C1569" s="541" t="s">
        <v>2142</v>
      </c>
      <c r="D1569" s="656" t="s">
        <v>413</v>
      </c>
      <c r="E1569" s="534">
        <v>650.83998999999994</v>
      </c>
    </row>
    <row r="1570" spans="2:5" x14ac:dyDescent="0.2">
      <c r="B1570" s="533">
        <v>1819</v>
      </c>
      <c r="C1570" s="541" t="s">
        <v>1063</v>
      </c>
      <c r="D1570" s="656" t="s">
        <v>413</v>
      </c>
      <c r="E1570" s="534">
        <v>723.65998500000001</v>
      </c>
    </row>
    <row r="1571" spans="2:5" x14ac:dyDescent="0.2">
      <c r="B1571" s="533">
        <v>1820</v>
      </c>
      <c r="C1571" s="541" t="s">
        <v>1890</v>
      </c>
      <c r="D1571" s="656" t="s">
        <v>413</v>
      </c>
      <c r="E1571" s="534">
        <v>639.79999499999997</v>
      </c>
    </row>
    <row r="1572" spans="2:5" x14ac:dyDescent="0.2">
      <c r="B1572" s="533">
        <v>1821</v>
      </c>
      <c r="C1572" s="541" t="s">
        <v>1793</v>
      </c>
      <c r="D1572" s="656" t="s">
        <v>413</v>
      </c>
      <c r="E1572" s="534">
        <v>636.16666699999996</v>
      </c>
    </row>
    <row r="1573" spans="2:5" x14ac:dyDescent="0.2">
      <c r="B1573" s="533">
        <v>1822</v>
      </c>
      <c r="C1573" s="541" t="s">
        <v>3318</v>
      </c>
      <c r="D1573" s="656" t="s">
        <v>413</v>
      </c>
      <c r="E1573" s="534">
        <v>707.40625</v>
      </c>
    </row>
    <row r="1574" spans="2:5" x14ac:dyDescent="0.2">
      <c r="B1574" s="533">
        <v>1823</v>
      </c>
      <c r="C1574" s="541" t="s">
        <v>3820</v>
      </c>
      <c r="D1574" s="656" t="s">
        <v>413</v>
      </c>
      <c r="E1574" s="534">
        <v>734.60001</v>
      </c>
    </row>
    <row r="1575" spans="2:5" x14ac:dyDescent="0.2">
      <c r="B1575" s="533">
        <v>1824</v>
      </c>
      <c r="C1575" s="541" t="s">
        <v>3686</v>
      </c>
      <c r="D1575" s="656" t="s">
        <v>413</v>
      </c>
      <c r="E1575" s="534">
        <v>726.81666600000005</v>
      </c>
    </row>
    <row r="1576" spans="2:5" x14ac:dyDescent="0.2">
      <c r="B1576" s="533">
        <v>1825</v>
      </c>
      <c r="C1576" s="541" t="s">
        <v>4131</v>
      </c>
      <c r="D1576" s="656" t="s">
        <v>413</v>
      </c>
      <c r="E1576" s="534">
        <v>753.5</v>
      </c>
    </row>
    <row r="1577" spans="2:5" x14ac:dyDescent="0.2">
      <c r="B1577" s="533">
        <v>1826</v>
      </c>
      <c r="C1577" s="541" t="s">
        <v>3843</v>
      </c>
      <c r="D1577" s="656" t="s">
        <v>413</v>
      </c>
      <c r="E1577" s="534">
        <v>735.70001200000002</v>
      </c>
    </row>
    <row r="1578" spans="2:5" x14ac:dyDescent="0.2">
      <c r="B1578" s="533">
        <v>1827</v>
      </c>
      <c r="C1578" s="541" t="s">
        <v>4232</v>
      </c>
      <c r="D1578" s="656" t="s">
        <v>413</v>
      </c>
      <c r="E1578" s="534">
        <v>760.46363399999996</v>
      </c>
    </row>
    <row r="1579" spans="2:5" x14ac:dyDescent="0.2">
      <c r="B1579" s="533">
        <v>1828</v>
      </c>
      <c r="C1579" s="541" t="s">
        <v>839</v>
      </c>
      <c r="D1579" s="656" t="s">
        <v>413</v>
      </c>
      <c r="E1579" s="534">
        <v>780.97272799999996</v>
      </c>
    </row>
    <row r="1580" spans="2:5" x14ac:dyDescent="0.2">
      <c r="B1580" s="533">
        <v>1829</v>
      </c>
      <c r="C1580" s="541" t="s">
        <v>1452</v>
      </c>
      <c r="D1580" s="656" t="s">
        <v>413</v>
      </c>
      <c r="E1580" s="534">
        <v>731.92500299999995</v>
      </c>
    </row>
    <row r="1581" spans="2:5" x14ac:dyDescent="0.2">
      <c r="B1581" s="533">
        <v>1830</v>
      </c>
      <c r="C1581" s="541" t="s">
        <v>4056</v>
      </c>
      <c r="D1581" s="656" t="s">
        <v>413</v>
      </c>
      <c r="E1581" s="534">
        <v>749.12856599999998</v>
      </c>
    </row>
    <row r="1582" spans="2:5" x14ac:dyDescent="0.2">
      <c r="B1582" s="533">
        <v>1831</v>
      </c>
      <c r="C1582" s="541" t="s">
        <v>6918</v>
      </c>
      <c r="D1582" s="656" t="s">
        <v>413</v>
      </c>
      <c r="E1582" s="534">
        <v>749.26667299999997</v>
      </c>
    </row>
    <row r="1583" spans="2:5" x14ac:dyDescent="0.2">
      <c r="B1583" s="533">
        <v>1832</v>
      </c>
      <c r="C1583" s="541" t="s">
        <v>3867</v>
      </c>
      <c r="D1583" s="656" t="s">
        <v>413</v>
      </c>
      <c r="E1583" s="534">
        <v>737.35000600000001</v>
      </c>
    </row>
    <row r="1584" spans="2:5" x14ac:dyDescent="0.2">
      <c r="B1584" s="533">
        <v>1833</v>
      </c>
      <c r="C1584" s="541" t="s">
        <v>4248</v>
      </c>
      <c r="D1584" s="656" t="s">
        <v>413</v>
      </c>
      <c r="E1584" s="534">
        <v>761.69999199999995</v>
      </c>
    </row>
    <row r="1585" spans="2:5" x14ac:dyDescent="0.2">
      <c r="B1585" s="533">
        <v>1834</v>
      </c>
      <c r="C1585" s="541" t="s">
        <v>4018</v>
      </c>
      <c r="D1585" s="656" t="s">
        <v>413</v>
      </c>
      <c r="E1585" s="534">
        <v>746.80000299999995</v>
      </c>
    </row>
    <row r="1586" spans="2:5" x14ac:dyDescent="0.2">
      <c r="B1586" s="533">
        <v>1837</v>
      </c>
      <c r="C1586" s="541" t="s">
        <v>1347</v>
      </c>
      <c r="D1586" s="656" t="s">
        <v>412</v>
      </c>
      <c r="E1586" s="534">
        <v>612.79998799999998</v>
      </c>
    </row>
    <row r="1587" spans="2:5" x14ac:dyDescent="0.2">
      <c r="B1587" s="533">
        <v>1851</v>
      </c>
      <c r="C1587" s="541" t="s">
        <v>6679</v>
      </c>
      <c r="D1587" s="656" t="s">
        <v>409</v>
      </c>
      <c r="E1587" s="534">
        <v>908.94000200000005</v>
      </c>
    </row>
    <row r="1588" spans="2:5" x14ac:dyDescent="0.2">
      <c r="B1588" s="533">
        <v>1852</v>
      </c>
      <c r="C1588" s="541" t="s">
        <v>6678</v>
      </c>
      <c r="D1588" s="656" t="s">
        <v>409</v>
      </c>
      <c r="E1588" s="534">
        <v>851.59997599999997</v>
      </c>
    </row>
    <row r="1589" spans="2:5" x14ac:dyDescent="0.2">
      <c r="B1589" s="533">
        <v>1853</v>
      </c>
      <c r="C1589" s="541" t="s">
        <v>7474</v>
      </c>
      <c r="D1589" s="656" t="s">
        <v>409</v>
      </c>
      <c r="E1589" s="534">
        <v>920.2</v>
      </c>
    </row>
    <row r="1590" spans="2:5" x14ac:dyDescent="0.2">
      <c r="B1590" s="533">
        <v>1854</v>
      </c>
      <c r="C1590" s="541" t="s">
        <v>4216</v>
      </c>
      <c r="D1590" s="656" t="s">
        <v>409</v>
      </c>
      <c r="E1590" s="534">
        <v>885.96001000000001</v>
      </c>
    </row>
    <row r="1591" spans="2:5" x14ac:dyDescent="0.2">
      <c r="B1591" s="533">
        <v>1855</v>
      </c>
      <c r="C1591" s="541" t="s">
        <v>4893</v>
      </c>
      <c r="D1591" s="656" t="s">
        <v>409</v>
      </c>
      <c r="E1591" s="534">
        <v>812.34286099999997</v>
      </c>
    </row>
    <row r="1592" spans="2:5" x14ac:dyDescent="0.2">
      <c r="B1592" s="533">
        <v>1856</v>
      </c>
      <c r="C1592" s="541" t="s">
        <v>4934</v>
      </c>
      <c r="D1592" s="656" t="s">
        <v>409</v>
      </c>
      <c r="E1592" s="534">
        <v>815.883331</v>
      </c>
    </row>
    <row r="1593" spans="2:5" x14ac:dyDescent="0.2">
      <c r="B1593" s="533">
        <v>1857</v>
      </c>
      <c r="C1593" s="541" t="s">
        <v>6558</v>
      </c>
      <c r="D1593" s="656" t="s">
        <v>409</v>
      </c>
      <c r="E1593" s="534">
        <v>834.21999500000004</v>
      </c>
    </row>
    <row r="1594" spans="2:5" x14ac:dyDescent="0.2">
      <c r="B1594" s="533">
        <v>1858</v>
      </c>
      <c r="C1594" s="541" t="s">
        <v>5330</v>
      </c>
      <c r="D1594" s="656" t="s">
        <v>409</v>
      </c>
      <c r="E1594" s="534">
        <v>869.31667100000004</v>
      </c>
    </row>
    <row r="1595" spans="2:5" x14ac:dyDescent="0.2">
      <c r="B1595" s="533">
        <v>1859</v>
      </c>
      <c r="C1595" s="541" t="s">
        <v>6610</v>
      </c>
      <c r="D1595" s="656" t="s">
        <v>409</v>
      </c>
      <c r="E1595" s="534">
        <v>818.13334099999997</v>
      </c>
    </row>
    <row r="1596" spans="2:5" x14ac:dyDescent="0.2">
      <c r="B1596" s="533">
        <v>1860</v>
      </c>
      <c r="C1596" s="541" t="s">
        <v>3583</v>
      </c>
      <c r="D1596" s="656" t="s">
        <v>409</v>
      </c>
      <c r="E1596" s="534">
        <v>720.86666500000001</v>
      </c>
    </row>
    <row r="1597" spans="2:5" x14ac:dyDescent="0.2">
      <c r="B1597" s="533">
        <v>1861</v>
      </c>
      <c r="C1597" s="541" t="s">
        <v>4081</v>
      </c>
      <c r="D1597" s="656" t="s">
        <v>409</v>
      </c>
      <c r="E1597" s="534">
        <v>750.54285500000003</v>
      </c>
    </row>
    <row r="1598" spans="2:5" x14ac:dyDescent="0.2">
      <c r="B1598" s="533">
        <v>1862</v>
      </c>
      <c r="C1598" s="541" t="s">
        <v>3316</v>
      </c>
      <c r="D1598" s="656" t="s">
        <v>409</v>
      </c>
      <c r="E1598" s="534">
        <v>707.31667100000004</v>
      </c>
    </row>
    <row r="1599" spans="2:5" x14ac:dyDescent="0.2">
      <c r="B1599" s="533">
        <v>1863</v>
      </c>
      <c r="C1599" s="541" t="s">
        <v>3443</v>
      </c>
      <c r="D1599" s="656" t="s">
        <v>409</v>
      </c>
      <c r="E1599" s="534">
        <v>713.40002400000003</v>
      </c>
    </row>
    <row r="1600" spans="2:5" x14ac:dyDescent="0.2">
      <c r="B1600" s="533">
        <v>1864</v>
      </c>
      <c r="C1600" s="541" t="s">
        <v>4217</v>
      </c>
      <c r="D1600" s="656" t="s">
        <v>409</v>
      </c>
      <c r="E1600" s="534">
        <v>759.60001199999999</v>
      </c>
    </row>
    <row r="1601" spans="2:5" x14ac:dyDescent="0.2">
      <c r="B1601" s="533">
        <v>1865</v>
      </c>
      <c r="C1601" s="541" t="s">
        <v>2696</v>
      </c>
      <c r="D1601" s="656" t="s">
        <v>409</v>
      </c>
      <c r="E1601" s="534">
        <v>758.21667500000001</v>
      </c>
    </row>
    <row r="1602" spans="2:5" x14ac:dyDescent="0.2">
      <c r="B1602" s="533">
        <v>1866</v>
      </c>
      <c r="C1602" s="541" t="s">
        <v>6953</v>
      </c>
      <c r="D1602" s="656" t="s">
        <v>409</v>
      </c>
      <c r="E1602" s="534">
        <v>755.85998500000005</v>
      </c>
    </row>
    <row r="1603" spans="2:5" x14ac:dyDescent="0.2">
      <c r="B1603" s="533">
        <v>1867</v>
      </c>
      <c r="C1603" s="541" t="s">
        <v>6698</v>
      </c>
      <c r="D1603" s="656" t="s">
        <v>409</v>
      </c>
      <c r="E1603" s="534">
        <v>716.94999700000005</v>
      </c>
    </row>
    <row r="1604" spans="2:5" x14ac:dyDescent="0.2">
      <c r="B1604" s="533">
        <v>1868</v>
      </c>
      <c r="C1604" s="541" t="s">
        <v>2999</v>
      </c>
      <c r="D1604" s="656" t="s">
        <v>409</v>
      </c>
      <c r="E1604" s="534">
        <v>691.15000899999995</v>
      </c>
    </row>
    <row r="1605" spans="2:5" x14ac:dyDescent="0.2">
      <c r="B1605" s="533">
        <v>1869</v>
      </c>
      <c r="C1605" s="541" t="s">
        <v>7510</v>
      </c>
      <c r="D1605" s="656" t="s">
        <v>409</v>
      </c>
      <c r="E1605" s="534">
        <v>653.67500299999995</v>
      </c>
    </row>
    <row r="1606" spans="2:5" x14ac:dyDescent="0.2">
      <c r="B1606" s="533">
        <v>1870</v>
      </c>
      <c r="C1606" s="541" t="s">
        <v>3893</v>
      </c>
      <c r="D1606" s="656" t="s">
        <v>409</v>
      </c>
      <c r="E1606" s="534">
        <v>739.19999199999995</v>
      </c>
    </row>
    <row r="1607" spans="2:5" x14ac:dyDescent="0.2">
      <c r="B1607" s="533">
        <v>1871</v>
      </c>
      <c r="C1607" s="541" t="s">
        <v>6819</v>
      </c>
      <c r="D1607" s="656" t="s">
        <v>409</v>
      </c>
      <c r="E1607" s="534">
        <v>695.69999199999995</v>
      </c>
    </row>
    <row r="1608" spans="2:5" x14ac:dyDescent="0.2">
      <c r="B1608" s="533">
        <v>1872</v>
      </c>
      <c r="C1608" s="541" t="s">
        <v>3857</v>
      </c>
      <c r="D1608" s="656" t="s">
        <v>409</v>
      </c>
      <c r="E1608" s="534">
        <v>736.61999500000002</v>
      </c>
    </row>
    <row r="1609" spans="2:5" x14ac:dyDescent="0.2">
      <c r="B1609" s="533">
        <v>1873</v>
      </c>
      <c r="C1609" s="541" t="s">
        <v>1417</v>
      </c>
      <c r="D1609" s="656" t="s">
        <v>409</v>
      </c>
      <c r="E1609" s="534">
        <v>760.15000899999995</v>
      </c>
    </row>
    <row r="1610" spans="2:5" x14ac:dyDescent="0.2">
      <c r="B1610" s="533">
        <v>1874</v>
      </c>
      <c r="C1610" s="541" t="s">
        <v>6582</v>
      </c>
      <c r="D1610" s="656" t="s">
        <v>409</v>
      </c>
      <c r="E1610" s="534">
        <v>699.78666599999997</v>
      </c>
    </row>
    <row r="1611" spans="2:5" x14ac:dyDescent="0.2">
      <c r="B1611" s="533">
        <v>1875</v>
      </c>
      <c r="C1611" s="541" t="s">
        <v>4164</v>
      </c>
      <c r="D1611" s="656" t="s">
        <v>409</v>
      </c>
      <c r="E1611" s="534">
        <v>755.59997599999997</v>
      </c>
    </row>
    <row r="1612" spans="2:5" x14ac:dyDescent="0.2">
      <c r="B1612" s="533">
        <v>1876</v>
      </c>
      <c r="C1612" s="541" t="s">
        <v>2540</v>
      </c>
      <c r="D1612" s="656" t="s">
        <v>409</v>
      </c>
      <c r="E1612" s="534">
        <v>668.59000200000003</v>
      </c>
    </row>
    <row r="1613" spans="2:5" x14ac:dyDescent="0.2">
      <c r="B1613" s="533">
        <v>1877</v>
      </c>
      <c r="C1613" s="541" t="s">
        <v>2353</v>
      </c>
      <c r="D1613" s="656" t="s">
        <v>409</v>
      </c>
      <c r="E1613" s="534">
        <v>660.30001800000002</v>
      </c>
    </row>
    <row r="1614" spans="2:5" x14ac:dyDescent="0.2">
      <c r="B1614" s="533">
        <v>1878</v>
      </c>
      <c r="C1614" s="541" t="s">
        <v>7043</v>
      </c>
      <c r="D1614" s="656" t="s">
        <v>409</v>
      </c>
      <c r="E1614" s="534">
        <v>666.02000699999996</v>
      </c>
    </row>
    <row r="1615" spans="2:5" x14ac:dyDescent="0.2">
      <c r="B1615" s="533">
        <v>1879</v>
      </c>
      <c r="C1615" s="541" t="s">
        <v>2363</v>
      </c>
      <c r="D1615" s="656" t="s">
        <v>409</v>
      </c>
      <c r="E1615" s="534">
        <v>660.67142200000001</v>
      </c>
    </row>
    <row r="1616" spans="2:5" x14ac:dyDescent="0.2">
      <c r="B1616" s="533">
        <v>1880</v>
      </c>
      <c r="C1616" s="541" t="s">
        <v>7211</v>
      </c>
      <c r="D1616" s="656" t="s">
        <v>409</v>
      </c>
      <c r="E1616" s="534">
        <v>688.11999500000002</v>
      </c>
    </row>
    <row r="1617" spans="2:5" x14ac:dyDescent="0.2">
      <c r="B1617" s="533">
        <v>1881</v>
      </c>
      <c r="C1617" s="541" t="s">
        <v>2386</v>
      </c>
      <c r="D1617" s="656" t="s">
        <v>409</v>
      </c>
      <c r="E1617" s="534">
        <v>661.91333399999996</v>
      </c>
    </row>
    <row r="1618" spans="2:5" x14ac:dyDescent="0.2">
      <c r="B1618" s="533">
        <v>1882</v>
      </c>
      <c r="C1618" s="541" t="s">
        <v>2327</v>
      </c>
      <c r="D1618" s="656" t="s">
        <v>409</v>
      </c>
      <c r="E1618" s="534">
        <v>659.04000199999996</v>
      </c>
    </row>
    <row r="1619" spans="2:5" x14ac:dyDescent="0.2">
      <c r="B1619" s="533">
        <v>1883</v>
      </c>
      <c r="C1619" s="541" t="s">
        <v>2936</v>
      </c>
      <c r="D1619" s="656" t="s">
        <v>409</v>
      </c>
      <c r="E1619" s="534">
        <v>687.54999199999997</v>
      </c>
    </row>
    <row r="1620" spans="2:5" x14ac:dyDescent="0.2">
      <c r="B1620" s="533">
        <v>1884</v>
      </c>
      <c r="C1620" s="541" t="s">
        <v>2972</v>
      </c>
      <c r="D1620" s="656" t="s">
        <v>409</v>
      </c>
      <c r="E1620" s="534">
        <v>689.5</v>
      </c>
    </row>
    <row r="1621" spans="2:5" x14ac:dyDescent="0.2">
      <c r="B1621" s="533">
        <v>1885</v>
      </c>
      <c r="C1621" s="541" t="s">
        <v>2649</v>
      </c>
      <c r="D1621" s="656" t="s">
        <v>409</v>
      </c>
      <c r="E1621" s="534">
        <v>674.19000200000005</v>
      </c>
    </row>
    <row r="1622" spans="2:5" x14ac:dyDescent="0.2">
      <c r="B1622" s="533">
        <v>1886</v>
      </c>
      <c r="C1622" s="541" t="s">
        <v>682</v>
      </c>
      <c r="D1622" s="656" t="s">
        <v>409</v>
      </c>
      <c r="E1622" s="534">
        <v>677.01000399999998</v>
      </c>
    </row>
    <row r="1623" spans="2:5" x14ac:dyDescent="0.2">
      <c r="B1623" s="533">
        <v>1887</v>
      </c>
      <c r="C1623" s="541" t="s">
        <v>409</v>
      </c>
      <c r="D1623" s="656" t="s">
        <v>409</v>
      </c>
      <c r="E1623" s="534">
        <v>646.17999899999995</v>
      </c>
    </row>
    <row r="1624" spans="2:5" x14ac:dyDescent="0.2">
      <c r="B1624" s="533">
        <v>1888</v>
      </c>
      <c r="C1624" s="541" t="s">
        <v>1981</v>
      </c>
      <c r="D1624" s="656" t="s">
        <v>409</v>
      </c>
      <c r="E1624" s="534">
        <v>643.05714599999999</v>
      </c>
    </row>
    <row r="1625" spans="2:5" x14ac:dyDescent="0.2">
      <c r="B1625" s="533">
        <v>1889</v>
      </c>
      <c r="C1625" s="541" t="s">
        <v>1922</v>
      </c>
      <c r="D1625" s="656" t="s">
        <v>409</v>
      </c>
      <c r="E1625" s="534">
        <v>641.29998799999998</v>
      </c>
    </row>
    <row r="1626" spans="2:5" x14ac:dyDescent="0.2">
      <c r="B1626" s="533">
        <v>1890</v>
      </c>
      <c r="C1626" s="541" t="s">
        <v>2055</v>
      </c>
      <c r="D1626" s="656" t="s">
        <v>409</v>
      </c>
      <c r="E1626" s="534">
        <v>646.05713800000001</v>
      </c>
    </row>
    <row r="1627" spans="2:5" x14ac:dyDescent="0.2">
      <c r="B1627" s="533">
        <v>1891</v>
      </c>
      <c r="C1627" s="541" t="s">
        <v>7592</v>
      </c>
      <c r="D1627" s="656" t="s">
        <v>409</v>
      </c>
      <c r="E1627" s="534">
        <v>680.76428199999998</v>
      </c>
    </row>
    <row r="1628" spans="2:5" x14ac:dyDescent="0.2">
      <c r="B1628" s="533">
        <v>1892</v>
      </c>
      <c r="C1628" s="541" t="s">
        <v>6726</v>
      </c>
      <c r="D1628" s="656" t="s">
        <v>409</v>
      </c>
      <c r="E1628" s="534">
        <v>746.46364000000005</v>
      </c>
    </row>
    <row r="1629" spans="2:5" x14ac:dyDescent="0.2">
      <c r="B1629" s="533">
        <v>1893</v>
      </c>
      <c r="C1629" s="541" t="s">
        <v>2690</v>
      </c>
      <c r="D1629" s="656" t="s">
        <v>409</v>
      </c>
      <c r="E1629" s="534">
        <v>675.71112100000005</v>
      </c>
    </row>
    <row r="1630" spans="2:5" x14ac:dyDescent="0.2">
      <c r="B1630" s="533">
        <v>1894</v>
      </c>
      <c r="C1630" s="541" t="s">
        <v>3724</v>
      </c>
      <c r="D1630" s="656" t="s">
        <v>409</v>
      </c>
      <c r="E1630" s="534">
        <v>728.84286099999997</v>
      </c>
    </row>
    <row r="1631" spans="2:5" x14ac:dyDescent="0.2">
      <c r="B1631" s="533">
        <v>1895</v>
      </c>
      <c r="C1631" s="541" t="s">
        <v>1489</v>
      </c>
      <c r="D1631" s="656" t="s">
        <v>409</v>
      </c>
      <c r="E1631" s="534">
        <v>733.79091000000005</v>
      </c>
    </row>
    <row r="1632" spans="2:5" x14ac:dyDescent="0.2">
      <c r="B1632" s="533">
        <v>1896</v>
      </c>
      <c r="C1632" s="541" t="s">
        <v>3994</v>
      </c>
      <c r="D1632" s="656" t="s">
        <v>409</v>
      </c>
      <c r="E1632" s="534">
        <v>744.91666699999996</v>
      </c>
    </row>
    <row r="1633" spans="2:5" x14ac:dyDescent="0.2">
      <c r="B1633" s="533">
        <v>1897</v>
      </c>
      <c r="C1633" s="541" t="s">
        <v>4399</v>
      </c>
      <c r="D1633" s="656" t="s">
        <v>409</v>
      </c>
      <c r="E1633" s="534">
        <v>773.33571500000005</v>
      </c>
    </row>
    <row r="1634" spans="2:5" x14ac:dyDescent="0.2">
      <c r="B1634" s="533">
        <v>1898</v>
      </c>
      <c r="C1634" s="541" t="s">
        <v>4976</v>
      </c>
      <c r="D1634" s="656" t="s">
        <v>409</v>
      </c>
      <c r="E1634" s="534">
        <v>820.67500299999995</v>
      </c>
    </row>
    <row r="1635" spans="2:5" x14ac:dyDescent="0.2">
      <c r="B1635" s="533">
        <v>1899</v>
      </c>
      <c r="C1635" s="541" t="s">
        <v>4843</v>
      </c>
      <c r="D1635" s="656" t="s">
        <v>409</v>
      </c>
      <c r="E1635" s="534">
        <v>859.61999500000002</v>
      </c>
    </row>
    <row r="1636" spans="2:5" x14ac:dyDescent="0.2">
      <c r="B1636" s="533">
        <v>1900</v>
      </c>
      <c r="C1636" s="541" t="s">
        <v>5266</v>
      </c>
      <c r="D1636" s="656" t="s">
        <v>409</v>
      </c>
      <c r="E1636" s="534">
        <v>857.34001499999999</v>
      </c>
    </row>
    <row r="1637" spans="2:5" x14ac:dyDescent="0.2">
      <c r="B1637" s="533">
        <v>1901</v>
      </c>
      <c r="C1637" s="541" t="s">
        <v>6529</v>
      </c>
      <c r="D1637" s="656" t="s">
        <v>409</v>
      </c>
      <c r="E1637" s="534">
        <v>844.771432</v>
      </c>
    </row>
    <row r="1638" spans="2:5" x14ac:dyDescent="0.2">
      <c r="B1638" s="533">
        <v>1902</v>
      </c>
      <c r="C1638" s="541" t="s">
        <v>5366</v>
      </c>
      <c r="D1638" s="656" t="s">
        <v>409</v>
      </c>
      <c r="E1638" s="534">
        <v>874.42499499999997</v>
      </c>
    </row>
    <row r="1639" spans="2:5" x14ac:dyDescent="0.2">
      <c r="B1639" s="533">
        <v>1903</v>
      </c>
      <c r="C1639" s="541" t="s">
        <v>6806</v>
      </c>
      <c r="D1639" s="656" t="s">
        <v>409</v>
      </c>
      <c r="E1639" s="534">
        <v>901.20001200000002</v>
      </c>
    </row>
    <row r="1640" spans="2:5" x14ac:dyDescent="0.2">
      <c r="B1640" s="533">
        <v>1904</v>
      </c>
      <c r="C1640" s="541" t="s">
        <v>7288</v>
      </c>
      <c r="D1640" s="656" t="s">
        <v>409</v>
      </c>
      <c r="E1640" s="534">
        <v>886.28462100000002</v>
      </c>
    </row>
    <row r="1641" spans="2:5" x14ac:dyDescent="0.2">
      <c r="B1641" s="533">
        <v>1905</v>
      </c>
      <c r="C1641" s="541" t="s">
        <v>7617</v>
      </c>
      <c r="D1641" s="656" t="s">
        <v>409</v>
      </c>
      <c r="E1641" s="534">
        <v>866.06154200000003</v>
      </c>
    </row>
    <row r="1642" spans="2:5" x14ac:dyDescent="0.2">
      <c r="B1642" s="533">
        <v>1906</v>
      </c>
      <c r="C1642" s="541" t="s">
        <v>6654</v>
      </c>
      <c r="D1642" s="656" t="s">
        <v>409</v>
      </c>
      <c r="E1642" s="534">
        <v>759.366669</v>
      </c>
    </row>
    <row r="1643" spans="2:5" x14ac:dyDescent="0.2">
      <c r="B1643" s="533">
        <v>1907</v>
      </c>
      <c r="C1643" s="541" t="s">
        <v>1005</v>
      </c>
      <c r="D1643" s="656" t="s">
        <v>409</v>
      </c>
      <c r="E1643" s="534">
        <v>775.26668299999994</v>
      </c>
    </row>
    <row r="1644" spans="2:5" x14ac:dyDescent="0.2">
      <c r="B1644" s="533">
        <v>1908</v>
      </c>
      <c r="C1644" s="541" t="s">
        <v>7352</v>
      </c>
      <c r="D1644" s="656" t="s">
        <v>409</v>
      </c>
      <c r="E1644" s="534">
        <v>786.39999399999999</v>
      </c>
    </row>
    <row r="1645" spans="2:5" x14ac:dyDescent="0.2">
      <c r="B1645" s="533">
        <v>1909</v>
      </c>
      <c r="C1645" s="541" t="s">
        <v>4267</v>
      </c>
      <c r="D1645" s="656" t="s">
        <v>409</v>
      </c>
      <c r="E1645" s="534">
        <v>763.29999299999997</v>
      </c>
    </row>
    <row r="1646" spans="2:5" x14ac:dyDescent="0.2">
      <c r="B1646" s="533">
        <v>1910</v>
      </c>
      <c r="C1646" s="541" t="s">
        <v>7569</v>
      </c>
      <c r="D1646" s="656" t="s">
        <v>409</v>
      </c>
      <c r="E1646" s="534">
        <v>775.90000399999997</v>
      </c>
    </row>
    <row r="1647" spans="2:5" x14ac:dyDescent="0.2">
      <c r="B1647" s="533">
        <v>1911</v>
      </c>
      <c r="C1647" s="541" t="s">
        <v>6749</v>
      </c>
      <c r="D1647" s="656" t="s">
        <v>409</v>
      </c>
      <c r="E1647" s="534">
        <v>775.63334099999997</v>
      </c>
    </row>
    <row r="1648" spans="2:5" x14ac:dyDescent="0.2">
      <c r="B1648" s="533">
        <v>1912</v>
      </c>
      <c r="C1648" s="541" t="s">
        <v>4698</v>
      </c>
      <c r="D1648" s="656" t="s">
        <v>409</v>
      </c>
      <c r="E1648" s="534">
        <v>796.64544699999999</v>
      </c>
    </row>
    <row r="1649" spans="2:5" x14ac:dyDescent="0.2">
      <c r="B1649" s="533">
        <v>1913</v>
      </c>
      <c r="C1649" s="541" t="s">
        <v>7150</v>
      </c>
      <c r="D1649" s="656" t="s">
        <v>409</v>
      </c>
      <c r="E1649" s="534">
        <v>748.7</v>
      </c>
    </row>
    <row r="1650" spans="2:5" x14ac:dyDescent="0.2">
      <c r="B1650" s="533">
        <v>1914</v>
      </c>
      <c r="C1650" s="541" t="s">
        <v>5066</v>
      </c>
      <c r="D1650" s="656" t="s">
        <v>409</v>
      </c>
      <c r="E1650" s="534">
        <v>830.92858000000001</v>
      </c>
    </row>
    <row r="1651" spans="2:5" x14ac:dyDescent="0.2">
      <c r="B1651" s="533">
        <v>1915</v>
      </c>
      <c r="C1651" s="541" t="s">
        <v>7125</v>
      </c>
      <c r="D1651" s="656" t="s">
        <v>409</v>
      </c>
      <c r="E1651" s="534">
        <v>879.15000899999995</v>
      </c>
    </row>
    <row r="1652" spans="2:5" x14ac:dyDescent="0.2">
      <c r="B1652" s="533">
        <v>1916</v>
      </c>
      <c r="C1652" s="541" t="s">
        <v>5025</v>
      </c>
      <c r="D1652" s="656" t="s">
        <v>409</v>
      </c>
      <c r="E1652" s="534">
        <v>826.29999799999996</v>
      </c>
    </row>
    <row r="1653" spans="2:5" x14ac:dyDescent="0.2">
      <c r="B1653" s="533">
        <v>1917</v>
      </c>
      <c r="C1653" s="541" t="s">
        <v>5407</v>
      </c>
      <c r="D1653" s="656" t="s">
        <v>409</v>
      </c>
      <c r="E1653" s="534">
        <v>881.580017</v>
      </c>
    </row>
    <row r="1654" spans="2:5" x14ac:dyDescent="0.2">
      <c r="B1654" s="533">
        <v>1918</v>
      </c>
      <c r="C1654" s="541" t="s">
        <v>7129</v>
      </c>
      <c r="D1654" s="656" t="s">
        <v>409</v>
      </c>
      <c r="E1654" s="534">
        <v>863.92498799999998</v>
      </c>
    </row>
    <row r="1655" spans="2:5" x14ac:dyDescent="0.2">
      <c r="B1655" s="533">
        <v>1919</v>
      </c>
      <c r="C1655" s="541" t="s">
        <v>7338</v>
      </c>
      <c r="D1655" s="656" t="s">
        <v>409</v>
      </c>
      <c r="E1655" s="534">
        <v>866.96665399999995</v>
      </c>
    </row>
    <row r="1656" spans="2:5" x14ac:dyDescent="0.2">
      <c r="B1656" s="533">
        <v>1920</v>
      </c>
      <c r="C1656" s="541" t="s">
        <v>5465</v>
      </c>
      <c r="D1656" s="656" t="s">
        <v>409</v>
      </c>
      <c r="E1656" s="534">
        <v>892.54998799999998</v>
      </c>
    </row>
    <row r="1657" spans="2:5" x14ac:dyDescent="0.2">
      <c r="B1657" s="533">
        <v>1921</v>
      </c>
      <c r="C1657" s="541" t="s">
        <v>5305</v>
      </c>
      <c r="D1657" s="656" t="s">
        <v>409</v>
      </c>
      <c r="E1657" s="534">
        <v>864</v>
      </c>
    </row>
    <row r="1658" spans="2:5" x14ac:dyDescent="0.2">
      <c r="B1658" s="533">
        <v>1922</v>
      </c>
      <c r="C1658" s="541" t="s">
        <v>7062</v>
      </c>
      <c r="D1658" s="656" t="s">
        <v>409</v>
      </c>
      <c r="E1658" s="534">
        <v>896.95001200000002</v>
      </c>
    </row>
    <row r="1659" spans="2:5" x14ac:dyDescent="0.2">
      <c r="B1659" s="533">
        <v>1923</v>
      </c>
      <c r="C1659" s="541" t="s">
        <v>5577</v>
      </c>
      <c r="D1659" s="656" t="s">
        <v>409</v>
      </c>
      <c r="E1659" s="534">
        <v>909.39999399999999</v>
      </c>
    </row>
    <row r="1660" spans="2:5" x14ac:dyDescent="0.2">
      <c r="B1660" s="533">
        <v>1924</v>
      </c>
      <c r="C1660" s="541" t="s">
        <v>7485</v>
      </c>
      <c r="D1660" s="656" t="s">
        <v>409</v>
      </c>
      <c r="E1660" s="534">
        <v>891.04999799999996</v>
      </c>
    </row>
    <row r="1661" spans="2:5" x14ac:dyDescent="0.2">
      <c r="B1661" s="533">
        <v>1925</v>
      </c>
      <c r="C1661" s="541" t="s">
        <v>5485</v>
      </c>
      <c r="D1661" s="656" t="s">
        <v>409</v>
      </c>
      <c r="E1661" s="534">
        <v>894.46666500000003</v>
      </c>
    </row>
    <row r="1662" spans="2:5" x14ac:dyDescent="0.2">
      <c r="B1662" s="533">
        <v>1926</v>
      </c>
      <c r="C1662" s="541" t="s">
        <v>6630</v>
      </c>
      <c r="D1662" s="656" t="s">
        <v>409</v>
      </c>
      <c r="E1662" s="534">
        <v>885.04286400000001</v>
      </c>
    </row>
    <row r="1663" spans="2:5" x14ac:dyDescent="0.2">
      <c r="B1663" s="533">
        <v>1927</v>
      </c>
      <c r="C1663" s="541" t="s">
        <v>5371</v>
      </c>
      <c r="D1663" s="656" t="s">
        <v>409</v>
      </c>
      <c r="E1663" s="534">
        <v>875.19998199999998</v>
      </c>
    </row>
    <row r="1664" spans="2:5" x14ac:dyDescent="0.2">
      <c r="B1664" s="533">
        <v>1928</v>
      </c>
      <c r="C1664" s="541" t="s">
        <v>5527</v>
      </c>
      <c r="D1664" s="656" t="s">
        <v>409</v>
      </c>
      <c r="E1664" s="534">
        <v>901.59997599999997</v>
      </c>
    </row>
    <row r="1665" spans="2:5" x14ac:dyDescent="0.2">
      <c r="B1665" s="533">
        <v>1929</v>
      </c>
      <c r="C1665" s="541" t="s">
        <v>7589</v>
      </c>
      <c r="D1665" s="656" t="s">
        <v>409</v>
      </c>
      <c r="E1665" s="534">
        <v>801.5</v>
      </c>
    </row>
    <row r="1666" spans="2:5" x14ac:dyDescent="0.2">
      <c r="B1666" s="533">
        <v>1930</v>
      </c>
      <c r="C1666" s="541" t="s">
        <v>7558</v>
      </c>
      <c r="D1666" s="656" t="s">
        <v>409</v>
      </c>
      <c r="E1666" s="534">
        <v>810.41999499999997</v>
      </c>
    </row>
    <row r="1667" spans="2:5" x14ac:dyDescent="0.2">
      <c r="B1667" s="533">
        <v>1931</v>
      </c>
      <c r="C1667" s="541" t="s">
        <v>4686</v>
      </c>
      <c r="D1667" s="656" t="s">
        <v>409</v>
      </c>
      <c r="E1667" s="534">
        <v>795.43332899999996</v>
      </c>
    </row>
    <row r="1668" spans="2:5" x14ac:dyDescent="0.2">
      <c r="B1668" s="533">
        <v>1932</v>
      </c>
      <c r="C1668" s="541" t="s">
        <v>839</v>
      </c>
      <c r="D1668" s="656" t="s">
        <v>409</v>
      </c>
      <c r="E1668" s="534">
        <v>801.21818399999995</v>
      </c>
    </row>
    <row r="1669" spans="2:5" x14ac:dyDescent="0.2">
      <c r="B1669" s="533">
        <v>1933</v>
      </c>
      <c r="C1669" s="541" t="s">
        <v>6957</v>
      </c>
      <c r="D1669" s="656" t="s">
        <v>409</v>
      </c>
      <c r="E1669" s="534">
        <v>844.96667500000001</v>
      </c>
    </row>
    <row r="1670" spans="2:5" x14ac:dyDescent="0.2">
      <c r="B1670" s="533">
        <v>1934</v>
      </c>
      <c r="C1670" s="541" t="s">
        <v>7122</v>
      </c>
      <c r="D1670" s="656" t="s">
        <v>409</v>
      </c>
      <c r="E1670" s="534">
        <v>783.92498799999998</v>
      </c>
    </row>
    <row r="1671" spans="2:5" x14ac:dyDescent="0.2">
      <c r="B1671" s="533">
        <v>1935</v>
      </c>
      <c r="C1671" s="541" t="s">
        <v>4300</v>
      </c>
      <c r="D1671" s="656" t="s">
        <v>409</v>
      </c>
      <c r="E1671" s="534">
        <v>765.30000800000005</v>
      </c>
    </row>
    <row r="1672" spans="2:5" x14ac:dyDescent="0.2">
      <c r="B1672" s="533">
        <v>1936</v>
      </c>
      <c r="C1672" s="541" t="s">
        <v>816</v>
      </c>
      <c r="D1672" s="656" t="s">
        <v>409</v>
      </c>
      <c r="E1672" s="534">
        <v>835.06250799999998</v>
      </c>
    </row>
    <row r="1673" spans="2:5" x14ac:dyDescent="0.2">
      <c r="B1673" s="533">
        <v>1937</v>
      </c>
      <c r="C1673" s="541" t="s">
        <v>7153</v>
      </c>
      <c r="D1673" s="656" t="s">
        <v>409</v>
      </c>
      <c r="E1673" s="534">
        <v>811.23500100000001</v>
      </c>
    </row>
    <row r="1674" spans="2:5" x14ac:dyDescent="0.2">
      <c r="B1674" s="533">
        <v>1938</v>
      </c>
      <c r="C1674" s="541" t="s">
        <v>7146</v>
      </c>
      <c r="D1674" s="656" t="s">
        <v>409</v>
      </c>
      <c r="E1674" s="534">
        <v>774.06667100000004</v>
      </c>
    </row>
    <row r="1675" spans="2:5" x14ac:dyDescent="0.2">
      <c r="B1675" s="533">
        <v>1939</v>
      </c>
      <c r="C1675" s="541" t="s">
        <v>4506</v>
      </c>
      <c r="D1675" s="656" t="s">
        <v>409</v>
      </c>
      <c r="E1675" s="534">
        <v>780.76999499999999</v>
      </c>
    </row>
    <row r="1676" spans="2:5" x14ac:dyDescent="0.2">
      <c r="B1676" s="533">
        <v>1940</v>
      </c>
      <c r="C1676" s="541" t="s">
        <v>5286</v>
      </c>
      <c r="D1676" s="656" t="s">
        <v>409</v>
      </c>
      <c r="E1676" s="534">
        <v>860.85000600000001</v>
      </c>
    </row>
    <row r="1677" spans="2:5" x14ac:dyDescent="0.2">
      <c r="B1677" s="533">
        <v>1941</v>
      </c>
      <c r="C1677" s="541" t="s">
        <v>5002</v>
      </c>
      <c r="D1677" s="656" t="s">
        <v>409</v>
      </c>
      <c r="E1677" s="534">
        <v>823.93500100000006</v>
      </c>
    </row>
    <row r="1678" spans="2:5" x14ac:dyDescent="0.2">
      <c r="B1678" s="533">
        <v>1942</v>
      </c>
      <c r="C1678" s="541" t="s">
        <v>5257</v>
      </c>
      <c r="D1678" s="656" t="s">
        <v>409</v>
      </c>
      <c r="E1678" s="534">
        <v>856.27500899999995</v>
      </c>
    </row>
    <row r="1679" spans="2:5" x14ac:dyDescent="0.2">
      <c r="B1679" s="533">
        <v>1943</v>
      </c>
      <c r="C1679" s="541" t="s">
        <v>5332</v>
      </c>
      <c r="D1679" s="656" t="s">
        <v>409</v>
      </c>
      <c r="E1679" s="534">
        <v>869.36998900000003</v>
      </c>
    </row>
    <row r="1680" spans="2:5" x14ac:dyDescent="0.2">
      <c r="B1680" s="533">
        <v>1944</v>
      </c>
      <c r="C1680" s="541" t="s">
        <v>4943</v>
      </c>
      <c r="D1680" s="656" t="s">
        <v>409</v>
      </c>
      <c r="E1680" s="534">
        <v>816.67142999999999</v>
      </c>
    </row>
    <row r="1681" spans="2:5" x14ac:dyDescent="0.2">
      <c r="B1681" s="533">
        <v>1945</v>
      </c>
      <c r="C1681" s="541" t="s">
        <v>6738</v>
      </c>
      <c r="D1681" s="656" t="s">
        <v>409</v>
      </c>
      <c r="E1681" s="534">
        <v>845.71250199999997</v>
      </c>
    </row>
    <row r="1682" spans="2:5" x14ac:dyDescent="0.2">
      <c r="B1682" s="533">
        <v>1946</v>
      </c>
      <c r="C1682" s="541" t="s">
        <v>4659</v>
      </c>
      <c r="D1682" s="656" t="s">
        <v>409</v>
      </c>
      <c r="E1682" s="534">
        <v>793.64999399999999</v>
      </c>
    </row>
    <row r="1683" spans="2:5" x14ac:dyDescent="0.2">
      <c r="B1683" s="533">
        <v>1947</v>
      </c>
      <c r="C1683" s="541" t="s">
        <v>5144</v>
      </c>
      <c r="D1683" s="656" t="s">
        <v>409</v>
      </c>
      <c r="E1683" s="534">
        <v>839.16666699999996</v>
      </c>
    </row>
    <row r="1684" spans="2:5" x14ac:dyDescent="0.2">
      <c r="B1684" s="533">
        <v>1948</v>
      </c>
      <c r="C1684" s="541" t="s">
        <v>4991</v>
      </c>
      <c r="D1684" s="656" t="s">
        <v>409</v>
      </c>
      <c r="E1684" s="534">
        <v>823.03333199999997</v>
      </c>
    </row>
    <row r="1685" spans="2:5" x14ac:dyDescent="0.2">
      <c r="B1685" s="533">
        <v>1949</v>
      </c>
      <c r="C1685" s="541" t="s">
        <v>4469</v>
      </c>
      <c r="D1685" s="656" t="s">
        <v>409</v>
      </c>
      <c r="E1685" s="534">
        <v>778.58333300000004</v>
      </c>
    </row>
    <row r="1686" spans="2:5" x14ac:dyDescent="0.2">
      <c r="B1686" s="533">
        <v>1950</v>
      </c>
      <c r="C1686" s="541" t="s">
        <v>4800</v>
      </c>
      <c r="D1686" s="656" t="s">
        <v>409</v>
      </c>
      <c r="E1686" s="534">
        <v>804.09999300000004</v>
      </c>
    </row>
    <row r="1687" spans="2:5" x14ac:dyDescent="0.2">
      <c r="B1687" s="533">
        <v>1951</v>
      </c>
      <c r="C1687" s="541" t="s">
        <v>4384</v>
      </c>
      <c r="D1687" s="656" t="s">
        <v>409</v>
      </c>
      <c r="E1687" s="534">
        <v>771.83635400000003</v>
      </c>
    </row>
    <row r="1688" spans="2:5" x14ac:dyDescent="0.2">
      <c r="B1688" s="533">
        <v>1952</v>
      </c>
      <c r="C1688" s="541" t="s">
        <v>6595</v>
      </c>
      <c r="D1688" s="656" t="s">
        <v>409</v>
      </c>
      <c r="E1688" s="534">
        <v>751.19998799999996</v>
      </c>
    </row>
    <row r="1689" spans="2:5" x14ac:dyDescent="0.2">
      <c r="B1689" s="533">
        <v>1953</v>
      </c>
      <c r="C1689" s="541" t="s">
        <v>1579</v>
      </c>
      <c r="D1689" s="656" t="s">
        <v>409</v>
      </c>
      <c r="E1689" s="534">
        <v>743.66668700000002</v>
      </c>
    </row>
    <row r="1690" spans="2:5" x14ac:dyDescent="0.2">
      <c r="B1690" s="533">
        <v>1954</v>
      </c>
      <c r="C1690" s="541" t="s">
        <v>4182</v>
      </c>
      <c r="D1690" s="656" t="s">
        <v>409</v>
      </c>
      <c r="E1690" s="534">
        <v>756.93330900000001</v>
      </c>
    </row>
    <row r="1691" spans="2:5" x14ac:dyDescent="0.2">
      <c r="B1691" s="533">
        <v>1955</v>
      </c>
      <c r="C1691" s="541" t="s">
        <v>3610</v>
      </c>
      <c r="D1691" s="656" t="s">
        <v>409</v>
      </c>
      <c r="E1691" s="534">
        <v>722.88888899999995</v>
      </c>
    </row>
    <row r="1692" spans="2:5" x14ac:dyDescent="0.2">
      <c r="B1692" s="533">
        <v>1956</v>
      </c>
      <c r="C1692" s="541" t="s">
        <v>4329</v>
      </c>
      <c r="D1692" s="656" t="s">
        <v>409</v>
      </c>
      <c r="E1692" s="534">
        <v>767.30713800000001</v>
      </c>
    </row>
    <row r="1693" spans="2:5" x14ac:dyDescent="0.2">
      <c r="B1693" s="533">
        <v>1957</v>
      </c>
      <c r="C1693" s="541" t="s">
        <v>3004</v>
      </c>
      <c r="D1693" s="656" t="s">
        <v>409</v>
      </c>
      <c r="E1693" s="534">
        <v>691.46000400000003</v>
      </c>
    </row>
    <row r="1694" spans="2:5" x14ac:dyDescent="0.2">
      <c r="B1694" s="533">
        <v>1958</v>
      </c>
      <c r="C1694" s="541" t="s">
        <v>3261</v>
      </c>
      <c r="D1694" s="656" t="s">
        <v>409</v>
      </c>
      <c r="E1694" s="534">
        <v>704.06000400000005</v>
      </c>
    </row>
    <row r="1695" spans="2:5" x14ac:dyDescent="0.2">
      <c r="B1695" s="533">
        <v>1959</v>
      </c>
      <c r="C1695" s="541" t="s">
        <v>3053</v>
      </c>
      <c r="D1695" s="656" t="s">
        <v>409</v>
      </c>
      <c r="E1695" s="534">
        <v>694.14999399999999</v>
      </c>
    </row>
    <row r="1696" spans="2:5" x14ac:dyDescent="0.2">
      <c r="B1696" s="533">
        <v>1960</v>
      </c>
      <c r="C1696" s="541" t="s">
        <v>3287</v>
      </c>
      <c r="D1696" s="656" t="s">
        <v>409</v>
      </c>
      <c r="E1696" s="534">
        <v>705.57999299999994</v>
      </c>
    </row>
    <row r="1697" spans="2:5" x14ac:dyDescent="0.2">
      <c r="B1697" s="533">
        <v>1961</v>
      </c>
      <c r="C1697" s="541" t="s">
        <v>6727</v>
      </c>
      <c r="D1697" s="656" t="s">
        <v>409</v>
      </c>
      <c r="E1697" s="534">
        <v>717.77500199999997</v>
      </c>
    </row>
    <row r="1698" spans="2:5" x14ac:dyDescent="0.2">
      <c r="B1698" s="533">
        <v>1962</v>
      </c>
      <c r="C1698" s="541" t="s">
        <v>4987</v>
      </c>
      <c r="D1698" s="656" t="s">
        <v>409</v>
      </c>
      <c r="E1698" s="534">
        <v>822.66666699999996</v>
      </c>
    </row>
    <row r="1699" spans="2:5" x14ac:dyDescent="0.2">
      <c r="B1699" s="533">
        <v>1963</v>
      </c>
      <c r="C1699" s="541" t="s">
        <v>2329</v>
      </c>
      <c r="D1699" s="656" t="s">
        <v>409</v>
      </c>
      <c r="E1699" s="534">
        <v>659.13332100000002</v>
      </c>
    </row>
    <row r="1700" spans="2:5" x14ac:dyDescent="0.2">
      <c r="B1700" s="533">
        <v>1964</v>
      </c>
      <c r="C1700" s="541" t="s">
        <v>6519</v>
      </c>
      <c r="D1700" s="656" t="s">
        <v>409</v>
      </c>
      <c r="E1700" s="534">
        <v>695</v>
      </c>
    </row>
    <row r="1701" spans="2:5" x14ac:dyDescent="0.2">
      <c r="B1701" s="533">
        <v>1965</v>
      </c>
      <c r="C1701" s="541" t="s">
        <v>2616</v>
      </c>
      <c r="D1701" s="656" t="s">
        <v>409</v>
      </c>
      <c r="E1701" s="534">
        <v>672.61764700000003</v>
      </c>
    </row>
    <row r="1702" spans="2:5" x14ac:dyDescent="0.2">
      <c r="B1702" s="533">
        <v>1966</v>
      </c>
      <c r="C1702" s="541" t="s">
        <v>4388</v>
      </c>
      <c r="D1702" s="656" t="s">
        <v>409</v>
      </c>
      <c r="E1702" s="534">
        <v>772.01249700000005</v>
      </c>
    </row>
    <row r="1703" spans="2:5" x14ac:dyDescent="0.2">
      <c r="B1703" s="533">
        <v>1967</v>
      </c>
      <c r="C1703" s="541" t="s">
        <v>2563</v>
      </c>
      <c r="D1703" s="656" t="s">
        <v>409</v>
      </c>
      <c r="E1703" s="534">
        <v>683.47142699999995</v>
      </c>
    </row>
    <row r="1704" spans="2:5" x14ac:dyDescent="0.2">
      <c r="B1704" s="533">
        <v>1968</v>
      </c>
      <c r="C1704" s="541" t="s">
        <v>2750</v>
      </c>
      <c r="D1704" s="656" t="s">
        <v>409</v>
      </c>
      <c r="E1704" s="534">
        <v>678.70001200000002</v>
      </c>
    </row>
    <row r="1705" spans="2:5" x14ac:dyDescent="0.2">
      <c r="B1705" s="533">
        <v>1969</v>
      </c>
      <c r="C1705" s="541" t="s">
        <v>3344</v>
      </c>
      <c r="D1705" s="656" t="s">
        <v>409</v>
      </c>
      <c r="E1705" s="534">
        <v>708.73333700000001</v>
      </c>
    </row>
    <row r="1706" spans="2:5" x14ac:dyDescent="0.2">
      <c r="B1706" s="533">
        <v>1970</v>
      </c>
      <c r="C1706" s="541" t="s">
        <v>2701</v>
      </c>
      <c r="D1706" s="656" t="s">
        <v>409</v>
      </c>
      <c r="E1706" s="534">
        <v>676.18823199999997</v>
      </c>
    </row>
    <row r="1707" spans="2:5" x14ac:dyDescent="0.2">
      <c r="B1707" s="533">
        <v>1971</v>
      </c>
      <c r="C1707" s="541" t="s">
        <v>2792</v>
      </c>
      <c r="D1707" s="656" t="s">
        <v>409</v>
      </c>
      <c r="E1707" s="534">
        <v>681.10000300000002</v>
      </c>
    </row>
    <row r="1708" spans="2:5" x14ac:dyDescent="0.2">
      <c r="B1708" s="533">
        <v>1972</v>
      </c>
      <c r="C1708" s="541" t="s">
        <v>6715</v>
      </c>
      <c r="D1708" s="656" t="s">
        <v>409</v>
      </c>
      <c r="E1708" s="534">
        <v>711.63334099999997</v>
      </c>
    </row>
    <row r="1709" spans="2:5" x14ac:dyDescent="0.2">
      <c r="B1709" s="533">
        <v>1973</v>
      </c>
      <c r="C1709" s="541" t="s">
        <v>2926</v>
      </c>
      <c r="D1709" s="656" t="s">
        <v>409</v>
      </c>
      <c r="E1709" s="534">
        <v>687.29000499999995</v>
      </c>
    </row>
    <row r="1710" spans="2:5" x14ac:dyDescent="0.2">
      <c r="B1710" s="533">
        <v>1974</v>
      </c>
      <c r="C1710" s="541" t="s">
        <v>2603</v>
      </c>
      <c r="D1710" s="656" t="s">
        <v>409</v>
      </c>
      <c r="E1710" s="534">
        <v>671.43333900000005</v>
      </c>
    </row>
    <row r="1711" spans="2:5" x14ac:dyDescent="0.2">
      <c r="B1711" s="533">
        <v>1975</v>
      </c>
      <c r="C1711" s="541" t="s">
        <v>6634</v>
      </c>
      <c r="D1711" s="656" t="s">
        <v>409</v>
      </c>
      <c r="E1711" s="534">
        <v>654.19999700000005</v>
      </c>
    </row>
    <row r="1712" spans="2:5" x14ac:dyDescent="0.2">
      <c r="B1712" s="533">
        <v>1976</v>
      </c>
      <c r="C1712" s="541" t="s">
        <v>2272</v>
      </c>
      <c r="D1712" s="656" t="s">
        <v>409</v>
      </c>
      <c r="E1712" s="534">
        <v>656.5</v>
      </c>
    </row>
    <row r="1713" spans="2:5" x14ac:dyDescent="0.2">
      <c r="B1713" s="533">
        <v>1977</v>
      </c>
      <c r="C1713" s="541" t="s">
        <v>2763</v>
      </c>
      <c r="D1713" s="656" t="s">
        <v>409</v>
      </c>
      <c r="E1713" s="534">
        <v>679.36666500000001</v>
      </c>
    </row>
    <row r="1714" spans="2:5" x14ac:dyDescent="0.2">
      <c r="B1714" s="533">
        <v>1978</v>
      </c>
      <c r="C1714" s="541" t="s">
        <v>2965</v>
      </c>
      <c r="D1714" s="656" t="s">
        <v>409</v>
      </c>
      <c r="E1714" s="534">
        <v>689.00769500000001</v>
      </c>
    </row>
    <row r="1715" spans="2:5" x14ac:dyDescent="0.2">
      <c r="B1715" s="533">
        <v>1979</v>
      </c>
      <c r="C1715" s="541" t="s">
        <v>2945</v>
      </c>
      <c r="D1715" s="656" t="s">
        <v>409</v>
      </c>
      <c r="E1715" s="534">
        <v>688.06001000000003</v>
      </c>
    </row>
    <row r="1716" spans="2:5" x14ac:dyDescent="0.2">
      <c r="B1716" s="533">
        <v>1980</v>
      </c>
      <c r="C1716" s="541" t="s">
        <v>2887</v>
      </c>
      <c r="D1716" s="656" t="s">
        <v>409</v>
      </c>
      <c r="E1716" s="534">
        <v>685.77499399999999</v>
      </c>
    </row>
    <row r="1717" spans="2:5" x14ac:dyDescent="0.2">
      <c r="B1717" s="533">
        <v>1981</v>
      </c>
      <c r="C1717" s="541" t="s">
        <v>3234</v>
      </c>
      <c r="D1717" s="656" t="s">
        <v>409</v>
      </c>
      <c r="E1717" s="534">
        <v>703.17498799999998</v>
      </c>
    </row>
    <row r="1718" spans="2:5" x14ac:dyDescent="0.2">
      <c r="B1718" s="533">
        <v>1982</v>
      </c>
      <c r="C1718" s="541" t="s">
        <v>7104</v>
      </c>
      <c r="D1718" s="656" t="s">
        <v>409</v>
      </c>
      <c r="E1718" s="534">
        <v>691.46667500000001</v>
      </c>
    </row>
    <row r="1719" spans="2:5" x14ac:dyDescent="0.2">
      <c r="B1719" s="533">
        <v>1983</v>
      </c>
      <c r="C1719" s="541" t="s">
        <v>2422</v>
      </c>
      <c r="D1719" s="656" t="s">
        <v>409</v>
      </c>
      <c r="E1719" s="534">
        <v>663.625</v>
      </c>
    </row>
    <row r="1720" spans="2:5" x14ac:dyDescent="0.2">
      <c r="B1720" s="533">
        <v>1984</v>
      </c>
      <c r="C1720" s="541" t="s">
        <v>5585</v>
      </c>
      <c r="D1720" s="656" t="s">
        <v>409</v>
      </c>
      <c r="E1720" s="534">
        <v>910.60001199999999</v>
      </c>
    </row>
    <row r="1721" spans="2:5" x14ac:dyDescent="0.2">
      <c r="B1721" s="533">
        <v>1985</v>
      </c>
      <c r="C1721" s="541" t="s">
        <v>6784</v>
      </c>
      <c r="D1721" s="656" t="s">
        <v>409</v>
      </c>
      <c r="E1721" s="534">
        <v>887.54499499999997</v>
      </c>
    </row>
    <row r="1722" spans="2:5" x14ac:dyDescent="0.2">
      <c r="B1722" s="533">
        <v>1986</v>
      </c>
      <c r="C1722" s="541" t="s">
        <v>5392</v>
      </c>
      <c r="D1722" s="656" t="s">
        <v>409</v>
      </c>
      <c r="E1722" s="534">
        <v>879.48333200000002</v>
      </c>
    </row>
    <row r="1723" spans="2:5" x14ac:dyDescent="0.2">
      <c r="B1723" s="533">
        <v>2001</v>
      </c>
      <c r="C1723" s="541" t="s">
        <v>6588</v>
      </c>
      <c r="D1723" s="656" t="s">
        <v>414</v>
      </c>
      <c r="E1723" s="534">
        <v>701.76153599999998</v>
      </c>
    </row>
    <row r="1724" spans="2:5" x14ac:dyDescent="0.2">
      <c r="B1724" s="533">
        <v>2002</v>
      </c>
      <c r="C1724" s="541" t="s">
        <v>1260</v>
      </c>
      <c r="D1724" s="656" t="s">
        <v>414</v>
      </c>
      <c r="E1724" s="534">
        <v>675.71110699999997</v>
      </c>
    </row>
    <row r="1725" spans="2:5" x14ac:dyDescent="0.2">
      <c r="B1725" s="533">
        <v>2003</v>
      </c>
      <c r="C1725" s="541" t="s">
        <v>3084</v>
      </c>
      <c r="D1725" s="656" t="s">
        <v>414</v>
      </c>
      <c r="E1725" s="534">
        <v>695.59997599999997</v>
      </c>
    </row>
    <row r="1726" spans="2:5" x14ac:dyDescent="0.2">
      <c r="B1726" s="533">
        <v>2004</v>
      </c>
      <c r="C1726" s="541" t="s">
        <v>3059</v>
      </c>
      <c r="D1726" s="656" t="s">
        <v>414</v>
      </c>
      <c r="E1726" s="534">
        <v>694.32857000000001</v>
      </c>
    </row>
    <row r="1727" spans="2:5" x14ac:dyDescent="0.2">
      <c r="B1727" s="533">
        <v>2005</v>
      </c>
      <c r="C1727" s="541" t="s">
        <v>7457</v>
      </c>
      <c r="D1727" s="656" t="s">
        <v>414</v>
      </c>
      <c r="E1727" s="534">
        <v>681.33333300000004</v>
      </c>
    </row>
    <row r="1728" spans="2:5" x14ac:dyDescent="0.2">
      <c r="B1728" s="533">
        <v>2006</v>
      </c>
      <c r="C1728" s="541" t="s">
        <v>2674</v>
      </c>
      <c r="D1728" s="656" t="s">
        <v>414</v>
      </c>
      <c r="E1728" s="534">
        <v>675.22000700000001</v>
      </c>
    </row>
    <row r="1729" spans="2:5" x14ac:dyDescent="0.2">
      <c r="B1729" s="533">
        <v>2007</v>
      </c>
      <c r="C1729" s="541" t="s">
        <v>7191</v>
      </c>
      <c r="D1729" s="656" t="s">
        <v>414</v>
      </c>
      <c r="E1729" s="534">
        <v>708.35000600000001</v>
      </c>
    </row>
    <row r="1730" spans="2:5" x14ac:dyDescent="0.2">
      <c r="B1730" s="533">
        <v>2008</v>
      </c>
      <c r="C1730" s="541" t="s">
        <v>2368</v>
      </c>
      <c r="D1730" s="656" t="s">
        <v>414</v>
      </c>
      <c r="E1730" s="534">
        <v>660.81667100000004</v>
      </c>
    </row>
    <row r="1731" spans="2:5" x14ac:dyDescent="0.2">
      <c r="B1731" s="533">
        <v>2009</v>
      </c>
      <c r="C1731" s="541" t="s">
        <v>7115</v>
      </c>
      <c r="D1731" s="656" t="s">
        <v>414</v>
      </c>
      <c r="E1731" s="534">
        <v>704.32499700000005</v>
      </c>
    </row>
    <row r="1732" spans="2:5" x14ac:dyDescent="0.2">
      <c r="B1732" s="533">
        <v>2010</v>
      </c>
      <c r="C1732" s="541" t="s">
        <v>2874</v>
      </c>
      <c r="D1732" s="656" t="s">
        <v>414</v>
      </c>
      <c r="E1732" s="534">
        <v>685.40002400000003</v>
      </c>
    </row>
    <row r="1733" spans="2:5" x14ac:dyDescent="0.2">
      <c r="B1733" s="533">
        <v>2011</v>
      </c>
      <c r="C1733" s="541" t="s">
        <v>3613</v>
      </c>
      <c r="D1733" s="656" t="s">
        <v>414</v>
      </c>
      <c r="E1733" s="534">
        <v>723.30001800000002</v>
      </c>
    </row>
    <row r="1734" spans="2:5" x14ac:dyDescent="0.2">
      <c r="B1734" s="533">
        <v>2012</v>
      </c>
      <c r="C1734" s="541" t="s">
        <v>7288</v>
      </c>
      <c r="D1734" s="656" t="s">
        <v>414</v>
      </c>
      <c r="E1734" s="534">
        <v>683.40000399999997</v>
      </c>
    </row>
    <row r="1735" spans="2:5" x14ac:dyDescent="0.2">
      <c r="B1735" s="533">
        <v>2013</v>
      </c>
      <c r="C1735" s="541" t="s">
        <v>7552</v>
      </c>
      <c r="D1735" s="656" t="s">
        <v>414</v>
      </c>
      <c r="E1735" s="534">
        <v>665.45715299999995</v>
      </c>
    </row>
    <row r="1736" spans="2:5" x14ac:dyDescent="0.2">
      <c r="B1736" s="533">
        <v>2014</v>
      </c>
      <c r="C1736" s="541" t="s">
        <v>3737</v>
      </c>
      <c r="D1736" s="656" t="s">
        <v>414</v>
      </c>
      <c r="E1736" s="534">
        <v>729.52499399999999</v>
      </c>
    </row>
    <row r="1737" spans="2:5" x14ac:dyDescent="0.2">
      <c r="B1737" s="533">
        <v>2015</v>
      </c>
      <c r="C1737" s="541" t="s">
        <v>3598</v>
      </c>
      <c r="D1737" s="656" t="s">
        <v>414</v>
      </c>
      <c r="E1737" s="534">
        <v>721.77500899999995</v>
      </c>
    </row>
    <row r="1738" spans="2:5" x14ac:dyDescent="0.2">
      <c r="B1738" s="533">
        <v>2016</v>
      </c>
      <c r="C1738" s="541" t="s">
        <v>1489</v>
      </c>
      <c r="D1738" s="656" t="s">
        <v>414</v>
      </c>
      <c r="E1738" s="534">
        <v>620.10000600000001</v>
      </c>
    </row>
    <row r="1739" spans="2:5" x14ac:dyDescent="0.2">
      <c r="B1739" s="533">
        <v>2017</v>
      </c>
      <c r="C1739" s="541" t="s">
        <v>3884</v>
      </c>
      <c r="D1739" s="656" t="s">
        <v>414</v>
      </c>
      <c r="E1739" s="534">
        <v>738.20001200000002</v>
      </c>
    </row>
    <row r="1740" spans="2:5" x14ac:dyDescent="0.2">
      <c r="B1740" s="533">
        <v>2018</v>
      </c>
      <c r="C1740" s="541" t="s">
        <v>3616</v>
      </c>
      <c r="D1740" s="656" t="s">
        <v>414</v>
      </c>
      <c r="E1740" s="534">
        <v>723.36665900000003</v>
      </c>
    </row>
    <row r="1741" spans="2:5" x14ac:dyDescent="0.2">
      <c r="B1741" s="533">
        <v>2019</v>
      </c>
      <c r="C1741" s="541" t="s">
        <v>6643</v>
      </c>
      <c r="D1741" s="656" t="s">
        <v>414</v>
      </c>
      <c r="E1741" s="534">
        <v>717.22500600000001</v>
      </c>
    </row>
    <row r="1742" spans="2:5" x14ac:dyDescent="0.2">
      <c r="B1742" s="533">
        <v>2020</v>
      </c>
      <c r="C1742" s="541" t="s">
        <v>4668</v>
      </c>
      <c r="D1742" s="656" t="s">
        <v>414</v>
      </c>
      <c r="E1742" s="534">
        <v>794.26667299999997</v>
      </c>
    </row>
    <row r="1743" spans="2:5" x14ac:dyDescent="0.2">
      <c r="B1743" s="533">
        <v>2021</v>
      </c>
      <c r="C1743" s="541" t="s">
        <v>3816</v>
      </c>
      <c r="D1743" s="656" t="s">
        <v>414</v>
      </c>
      <c r="E1743" s="534">
        <v>734.14000199999998</v>
      </c>
    </row>
    <row r="1744" spans="2:5" x14ac:dyDescent="0.2">
      <c r="B1744" s="533">
        <v>2022</v>
      </c>
      <c r="C1744" s="541" t="s">
        <v>7337</v>
      </c>
      <c r="D1744" s="656" t="s">
        <v>414</v>
      </c>
      <c r="E1744" s="534">
        <v>729.07500500000003</v>
      </c>
    </row>
    <row r="1745" spans="2:5" x14ac:dyDescent="0.2">
      <c r="B1745" s="533">
        <v>2023</v>
      </c>
      <c r="C1745" s="541" t="s">
        <v>7339</v>
      </c>
      <c r="D1745" s="656" t="s">
        <v>414</v>
      </c>
      <c r="E1745" s="534">
        <v>807.17500299999995</v>
      </c>
    </row>
    <row r="1746" spans="2:5" x14ac:dyDescent="0.2">
      <c r="B1746" s="533">
        <v>2024</v>
      </c>
      <c r="C1746" s="541" t="s">
        <v>7147</v>
      </c>
      <c r="D1746" s="656" t="s">
        <v>414</v>
      </c>
      <c r="E1746" s="534">
        <v>777.66665999999998</v>
      </c>
    </row>
    <row r="1747" spans="2:5" x14ac:dyDescent="0.2">
      <c r="B1747" s="533">
        <v>2025</v>
      </c>
      <c r="C1747" s="541" t="s">
        <v>6962</v>
      </c>
      <c r="D1747" s="656" t="s">
        <v>414</v>
      </c>
      <c r="E1747" s="534">
        <v>848.88000499999998</v>
      </c>
    </row>
    <row r="1748" spans="2:5" x14ac:dyDescent="0.2">
      <c r="B1748" s="533">
        <v>2027</v>
      </c>
      <c r="C1748" s="541" t="s">
        <v>2414</v>
      </c>
      <c r="D1748" s="656" t="s">
        <v>414</v>
      </c>
      <c r="E1748" s="534">
        <v>663.26316399999996</v>
      </c>
    </row>
    <row r="1749" spans="2:5" x14ac:dyDescent="0.2">
      <c r="B1749" s="533">
        <v>2028</v>
      </c>
      <c r="C1749" s="541" t="s">
        <v>1656</v>
      </c>
      <c r="D1749" s="656" t="s">
        <v>414</v>
      </c>
      <c r="E1749" s="534">
        <v>630.50666100000001</v>
      </c>
    </row>
    <row r="1750" spans="2:5" x14ac:dyDescent="0.2">
      <c r="B1750" s="533">
        <v>2029</v>
      </c>
      <c r="C1750" s="541" t="s">
        <v>1886</v>
      </c>
      <c r="D1750" s="656" t="s">
        <v>414</v>
      </c>
      <c r="E1750" s="534">
        <v>639.64998800000001</v>
      </c>
    </row>
    <row r="1751" spans="2:5" x14ac:dyDescent="0.2">
      <c r="B1751" s="533">
        <v>2030</v>
      </c>
      <c r="C1751" s="541" t="s">
        <v>7583</v>
      </c>
      <c r="D1751" s="656" t="s">
        <v>414</v>
      </c>
      <c r="E1751" s="534">
        <v>916.15000899999995</v>
      </c>
    </row>
    <row r="1752" spans="2:5" x14ac:dyDescent="0.2">
      <c r="B1752" s="533">
        <v>2031</v>
      </c>
      <c r="C1752" s="541" t="s">
        <v>6916</v>
      </c>
      <c r="D1752" s="656" t="s">
        <v>414</v>
      </c>
      <c r="E1752" s="534">
        <v>715.52856399999996</v>
      </c>
    </row>
    <row r="1753" spans="2:5" x14ac:dyDescent="0.2">
      <c r="B1753" s="533">
        <v>2032</v>
      </c>
      <c r="C1753" s="541" t="s">
        <v>3235</v>
      </c>
      <c r="D1753" s="656" t="s">
        <v>414</v>
      </c>
      <c r="E1753" s="534">
        <v>703.17776800000001</v>
      </c>
    </row>
    <row r="1754" spans="2:5" x14ac:dyDescent="0.2">
      <c r="B1754" s="533">
        <v>2033</v>
      </c>
      <c r="C1754" s="541" t="s">
        <v>2727</v>
      </c>
      <c r="D1754" s="656" t="s">
        <v>414</v>
      </c>
      <c r="E1754" s="534">
        <v>677.50000399999999</v>
      </c>
    </row>
    <row r="1755" spans="2:5" x14ac:dyDescent="0.2">
      <c r="B1755" s="533">
        <v>2034</v>
      </c>
      <c r="C1755" s="541" t="s">
        <v>3728</v>
      </c>
      <c r="D1755" s="656" t="s">
        <v>414</v>
      </c>
      <c r="E1755" s="534">
        <v>729.04375800000003</v>
      </c>
    </row>
    <row r="1756" spans="2:5" x14ac:dyDescent="0.2">
      <c r="B1756" s="533">
        <v>2035</v>
      </c>
      <c r="C1756" s="541" t="s">
        <v>2008</v>
      </c>
      <c r="D1756" s="656" t="s">
        <v>414</v>
      </c>
      <c r="E1756" s="534">
        <v>643.95001200000002</v>
      </c>
    </row>
    <row r="1757" spans="2:5" x14ac:dyDescent="0.2">
      <c r="B1757" s="533">
        <v>2036</v>
      </c>
      <c r="C1757" s="541" t="s">
        <v>6552</v>
      </c>
      <c r="D1757" s="656" t="s">
        <v>414</v>
      </c>
      <c r="E1757" s="534">
        <v>662.20001200000002</v>
      </c>
    </row>
    <row r="1758" spans="2:5" x14ac:dyDescent="0.2">
      <c r="B1758" s="533">
        <v>2037</v>
      </c>
      <c r="C1758" s="541" t="s">
        <v>1833</v>
      </c>
      <c r="D1758" s="656" t="s">
        <v>414</v>
      </c>
      <c r="E1758" s="534">
        <v>637.40002400000003</v>
      </c>
    </row>
    <row r="1759" spans="2:5" x14ac:dyDescent="0.2">
      <c r="B1759" s="533">
        <v>2038</v>
      </c>
      <c r="C1759" s="541" t="s">
        <v>6985</v>
      </c>
      <c r="D1759" s="656" t="s">
        <v>414</v>
      </c>
      <c r="E1759" s="534">
        <v>673.19166099999995</v>
      </c>
    </row>
    <row r="1760" spans="2:5" x14ac:dyDescent="0.2">
      <c r="B1760" s="533">
        <v>2039</v>
      </c>
      <c r="C1760" s="541" t="s">
        <v>1706</v>
      </c>
      <c r="D1760" s="656" t="s">
        <v>414</v>
      </c>
      <c r="E1760" s="534">
        <v>632.86665900000003</v>
      </c>
    </row>
    <row r="1761" spans="2:5" x14ac:dyDescent="0.2">
      <c r="B1761" s="533">
        <v>2040</v>
      </c>
      <c r="C1761" s="541" t="s">
        <v>1326</v>
      </c>
      <c r="D1761" s="656" t="s">
        <v>414</v>
      </c>
      <c r="E1761" s="534">
        <v>611.79998799999998</v>
      </c>
    </row>
    <row r="1762" spans="2:5" x14ac:dyDescent="0.2">
      <c r="B1762" s="533">
        <v>2041</v>
      </c>
      <c r="C1762" s="541" t="s">
        <v>771</v>
      </c>
      <c r="D1762" s="656" t="s">
        <v>414</v>
      </c>
      <c r="E1762" s="534">
        <v>563.70001200000002</v>
      </c>
    </row>
    <row r="1763" spans="2:5" x14ac:dyDescent="0.2">
      <c r="B1763" s="533">
        <v>2042</v>
      </c>
      <c r="C1763" s="541" t="s">
        <v>769</v>
      </c>
      <c r="D1763" s="656" t="s">
        <v>414</v>
      </c>
      <c r="E1763" s="534">
        <v>563.42501800000002</v>
      </c>
    </row>
    <row r="1764" spans="2:5" x14ac:dyDescent="0.2">
      <c r="B1764" s="533">
        <v>2043</v>
      </c>
      <c r="C1764" s="541" t="s">
        <v>1821</v>
      </c>
      <c r="D1764" s="656" t="s">
        <v>414</v>
      </c>
      <c r="E1764" s="534">
        <v>637.06666099999995</v>
      </c>
    </row>
    <row r="1765" spans="2:5" x14ac:dyDescent="0.2">
      <c r="B1765" s="533">
        <v>2044</v>
      </c>
      <c r="C1765" s="541" t="s">
        <v>2721</v>
      </c>
      <c r="D1765" s="656" t="s">
        <v>414</v>
      </c>
      <c r="E1765" s="534">
        <v>677.32000700000003</v>
      </c>
    </row>
    <row r="1766" spans="2:5" x14ac:dyDescent="0.2">
      <c r="B1766" s="533">
        <v>2045</v>
      </c>
      <c r="C1766" s="541" t="s">
        <v>2095</v>
      </c>
      <c r="D1766" s="656" t="s">
        <v>414</v>
      </c>
      <c r="E1766" s="534">
        <v>648.50588500000003</v>
      </c>
    </row>
    <row r="1767" spans="2:5" x14ac:dyDescent="0.2">
      <c r="B1767" s="533">
        <v>2046</v>
      </c>
      <c r="C1767" s="541" t="s">
        <v>6743</v>
      </c>
      <c r="D1767" s="656" t="s">
        <v>414</v>
      </c>
      <c r="E1767" s="534">
        <v>912.01304000000005</v>
      </c>
    </row>
    <row r="1768" spans="2:5" x14ac:dyDescent="0.2">
      <c r="B1768" s="533">
        <v>2047</v>
      </c>
      <c r="C1768" s="541" t="s">
        <v>5681</v>
      </c>
      <c r="D1768" s="656" t="s">
        <v>414</v>
      </c>
      <c r="E1768" s="534">
        <v>935.71111399999995</v>
      </c>
    </row>
    <row r="1769" spans="2:5" x14ac:dyDescent="0.2">
      <c r="B1769" s="533">
        <v>2048</v>
      </c>
      <c r="C1769" s="541" t="s">
        <v>5536</v>
      </c>
      <c r="D1769" s="656" t="s">
        <v>414</v>
      </c>
      <c r="E1769" s="534">
        <v>902.66000399999996</v>
      </c>
    </row>
    <row r="1770" spans="2:5" x14ac:dyDescent="0.2">
      <c r="B1770" s="533">
        <v>2049</v>
      </c>
      <c r="C1770" s="541" t="s">
        <v>7274</v>
      </c>
      <c r="D1770" s="656" t="s">
        <v>414</v>
      </c>
      <c r="E1770" s="534">
        <v>775.49998800000003</v>
      </c>
    </row>
    <row r="1771" spans="2:5" x14ac:dyDescent="0.2">
      <c r="B1771" s="533">
        <v>2050</v>
      </c>
      <c r="C1771" s="541" t="s">
        <v>6563</v>
      </c>
      <c r="D1771" s="656" t="s">
        <v>414</v>
      </c>
      <c r="E1771" s="534">
        <v>840.59997599999997</v>
      </c>
    </row>
    <row r="1772" spans="2:5" x14ac:dyDescent="0.2">
      <c r="B1772" s="533">
        <v>2051</v>
      </c>
      <c r="C1772" s="541" t="s">
        <v>6669</v>
      </c>
      <c r="D1772" s="656" t="s">
        <v>414</v>
      </c>
      <c r="E1772" s="534">
        <v>787.49998000000005</v>
      </c>
    </row>
    <row r="1773" spans="2:5" x14ac:dyDescent="0.2">
      <c r="B1773" s="533">
        <v>2052</v>
      </c>
      <c r="C1773" s="541" t="s">
        <v>6920</v>
      </c>
      <c r="D1773" s="656" t="s">
        <v>414</v>
      </c>
      <c r="E1773" s="534">
        <v>809.85833200000002</v>
      </c>
    </row>
    <row r="1774" spans="2:5" x14ac:dyDescent="0.2">
      <c r="B1774" s="533">
        <v>2053</v>
      </c>
      <c r="C1774" s="541" t="s">
        <v>2950</v>
      </c>
      <c r="D1774" s="656" t="s">
        <v>414</v>
      </c>
      <c r="E1774" s="534">
        <v>688.32857000000001</v>
      </c>
    </row>
    <row r="1775" spans="2:5" x14ac:dyDescent="0.2">
      <c r="B1775" s="533">
        <v>2054</v>
      </c>
      <c r="C1775" s="541" t="s">
        <v>3206</v>
      </c>
      <c r="D1775" s="656" t="s">
        <v>414</v>
      </c>
      <c r="E1775" s="534">
        <v>701.82999299999994</v>
      </c>
    </row>
    <row r="1776" spans="2:5" x14ac:dyDescent="0.2">
      <c r="B1776" s="533">
        <v>2055</v>
      </c>
      <c r="C1776" s="541" t="s">
        <v>2308</v>
      </c>
      <c r="D1776" s="656" t="s">
        <v>414</v>
      </c>
      <c r="E1776" s="534">
        <v>658.13334099999997</v>
      </c>
    </row>
    <row r="1777" spans="2:5" x14ac:dyDescent="0.2">
      <c r="B1777" s="533">
        <v>2056</v>
      </c>
      <c r="C1777" s="541" t="s">
        <v>7584</v>
      </c>
      <c r="D1777" s="656" t="s">
        <v>414</v>
      </c>
      <c r="E1777" s="534">
        <v>1069.392857</v>
      </c>
    </row>
    <row r="1778" spans="2:5" x14ac:dyDescent="0.2">
      <c r="B1778" s="533">
        <v>2057</v>
      </c>
      <c r="C1778" s="541" t="s">
        <v>7154</v>
      </c>
      <c r="D1778" s="656" t="s">
        <v>414</v>
      </c>
      <c r="E1778" s="534">
        <v>1031.5500179999999</v>
      </c>
    </row>
    <row r="1779" spans="2:5" x14ac:dyDescent="0.2">
      <c r="B1779" s="533">
        <v>2058</v>
      </c>
      <c r="C1779" s="541" t="s">
        <v>5949</v>
      </c>
      <c r="D1779" s="656" t="s">
        <v>414</v>
      </c>
      <c r="E1779" s="534">
        <v>1031.355564</v>
      </c>
    </row>
    <row r="1780" spans="2:5" x14ac:dyDescent="0.2">
      <c r="B1780" s="533">
        <v>2059</v>
      </c>
      <c r="C1780" s="541" t="s">
        <v>7228</v>
      </c>
      <c r="D1780" s="656" t="s">
        <v>414</v>
      </c>
      <c r="E1780" s="534">
        <v>1067.500041</v>
      </c>
    </row>
    <row r="1781" spans="2:5" x14ac:dyDescent="0.2">
      <c r="B1781" s="533">
        <v>2060</v>
      </c>
      <c r="C1781" s="541" t="s">
        <v>7524</v>
      </c>
      <c r="D1781" s="656" t="s">
        <v>414</v>
      </c>
      <c r="E1781" s="534">
        <v>959.17332799999997</v>
      </c>
    </row>
    <row r="1782" spans="2:5" x14ac:dyDescent="0.2">
      <c r="B1782" s="533">
        <v>2061</v>
      </c>
      <c r="C1782" s="541" t="s">
        <v>7523</v>
      </c>
      <c r="D1782" s="656" t="s">
        <v>414</v>
      </c>
      <c r="E1782" s="534">
        <v>909.53636600000004</v>
      </c>
    </row>
    <row r="1783" spans="2:5" x14ac:dyDescent="0.2">
      <c r="B1783" s="533">
        <v>2062</v>
      </c>
      <c r="C1783" s="541" t="s">
        <v>5639</v>
      </c>
      <c r="D1783" s="656" t="s">
        <v>414</v>
      </c>
      <c r="E1783" s="534">
        <v>924.75</v>
      </c>
    </row>
    <row r="1784" spans="2:5" x14ac:dyDescent="0.2">
      <c r="B1784" s="533">
        <v>2063</v>
      </c>
      <c r="C1784" s="541" t="s">
        <v>7224</v>
      </c>
      <c r="D1784" s="656" t="s">
        <v>414</v>
      </c>
      <c r="E1784" s="534">
        <v>848.64443000000006</v>
      </c>
    </row>
    <row r="1785" spans="2:5" x14ac:dyDescent="0.2">
      <c r="B1785" s="533">
        <v>2064</v>
      </c>
      <c r="C1785" s="541" t="s">
        <v>5651</v>
      </c>
      <c r="D1785" s="656" t="s">
        <v>414</v>
      </c>
      <c r="E1785" s="534">
        <v>927.52500899999995</v>
      </c>
    </row>
    <row r="1786" spans="2:5" x14ac:dyDescent="0.2">
      <c r="B1786" s="533">
        <v>2065</v>
      </c>
      <c r="C1786" s="541" t="s">
        <v>4170</v>
      </c>
      <c r="D1786" s="656" t="s">
        <v>414</v>
      </c>
      <c r="E1786" s="534">
        <v>755.88748899999996</v>
      </c>
    </row>
    <row r="1787" spans="2:5" x14ac:dyDescent="0.2">
      <c r="B1787" s="533">
        <v>2066</v>
      </c>
      <c r="C1787" s="541" t="s">
        <v>3956</v>
      </c>
      <c r="D1787" s="656" t="s">
        <v>414</v>
      </c>
      <c r="E1787" s="534">
        <v>785.67500299999995</v>
      </c>
    </row>
    <row r="1788" spans="2:5" x14ac:dyDescent="0.2">
      <c r="B1788" s="533">
        <v>2067</v>
      </c>
      <c r="C1788" s="541" t="s">
        <v>5224</v>
      </c>
      <c r="D1788" s="656" t="s">
        <v>414</v>
      </c>
      <c r="E1788" s="534">
        <v>851.18000500000005</v>
      </c>
    </row>
    <row r="1789" spans="2:5" x14ac:dyDescent="0.2">
      <c r="B1789" s="533">
        <v>2068</v>
      </c>
      <c r="C1789" s="541" t="s">
        <v>4610</v>
      </c>
      <c r="D1789" s="656" t="s">
        <v>414</v>
      </c>
      <c r="E1789" s="534">
        <v>789.43572099999994</v>
      </c>
    </row>
    <row r="1790" spans="2:5" x14ac:dyDescent="0.2">
      <c r="B1790" s="533">
        <v>2069</v>
      </c>
      <c r="C1790" s="541" t="s">
        <v>3181</v>
      </c>
      <c r="D1790" s="656" t="s">
        <v>414</v>
      </c>
      <c r="E1790" s="534">
        <v>740.10000400000001</v>
      </c>
    </row>
    <row r="1791" spans="2:5" x14ac:dyDescent="0.2">
      <c r="B1791" s="533">
        <v>2070</v>
      </c>
      <c r="C1791" s="541" t="s">
        <v>3886</v>
      </c>
      <c r="D1791" s="656" t="s">
        <v>414</v>
      </c>
      <c r="E1791" s="534">
        <v>738.411112</v>
      </c>
    </row>
    <row r="1792" spans="2:5" x14ac:dyDescent="0.2">
      <c r="B1792" s="533">
        <v>2071</v>
      </c>
      <c r="C1792" s="541" t="s">
        <v>7430</v>
      </c>
      <c r="D1792" s="656" t="s">
        <v>414</v>
      </c>
      <c r="E1792" s="534">
        <v>818.50001999999995</v>
      </c>
    </row>
    <row r="1793" spans="2:5" x14ac:dyDescent="0.2">
      <c r="B1793" s="533">
        <v>2072</v>
      </c>
      <c r="C1793" s="541" t="s">
        <v>2396</v>
      </c>
      <c r="D1793" s="656" t="s">
        <v>414</v>
      </c>
      <c r="E1793" s="534">
        <v>662.59997599999997</v>
      </c>
    </row>
    <row r="1794" spans="2:5" x14ac:dyDescent="0.2">
      <c r="B1794" s="533">
        <v>2073</v>
      </c>
      <c r="C1794" s="541" t="s">
        <v>2195</v>
      </c>
      <c r="D1794" s="656" t="s">
        <v>414</v>
      </c>
      <c r="E1794" s="534">
        <v>653</v>
      </c>
    </row>
    <row r="1795" spans="2:5" x14ac:dyDescent="0.2">
      <c r="B1795" s="533">
        <v>2074</v>
      </c>
      <c r="C1795" s="541" t="s">
        <v>1245</v>
      </c>
      <c r="D1795" s="656" t="s">
        <v>414</v>
      </c>
      <c r="E1795" s="534">
        <v>606.73333700000001</v>
      </c>
    </row>
    <row r="1796" spans="2:5" x14ac:dyDescent="0.2">
      <c r="B1796" s="533">
        <v>2075</v>
      </c>
      <c r="C1796" s="541" t="s">
        <v>7378</v>
      </c>
      <c r="D1796" s="656" t="s">
        <v>414</v>
      </c>
      <c r="E1796" s="534">
        <v>673.38334099999997</v>
      </c>
    </row>
    <row r="1797" spans="2:5" x14ac:dyDescent="0.2">
      <c r="B1797" s="533">
        <v>2076</v>
      </c>
      <c r="C1797" s="541" t="s">
        <v>2350</v>
      </c>
      <c r="D1797" s="656" t="s">
        <v>414</v>
      </c>
      <c r="E1797" s="534">
        <v>660.26249700000005</v>
      </c>
    </row>
    <row r="1798" spans="2:5" x14ac:dyDescent="0.2">
      <c r="B1798" s="533">
        <v>2077</v>
      </c>
      <c r="C1798" s="541" t="s">
        <v>7459</v>
      </c>
      <c r="D1798" s="656" t="s">
        <v>414</v>
      </c>
      <c r="E1798" s="534">
        <v>668.54999499999997</v>
      </c>
    </row>
    <row r="1799" spans="2:5" x14ac:dyDescent="0.2">
      <c r="B1799" s="533">
        <v>2078</v>
      </c>
      <c r="C1799" s="541" t="s">
        <v>3747</v>
      </c>
      <c r="D1799" s="656" t="s">
        <v>414</v>
      </c>
      <c r="E1799" s="534">
        <v>730.240002</v>
      </c>
    </row>
    <row r="1800" spans="2:5" x14ac:dyDescent="0.2">
      <c r="B1800" s="533">
        <v>2079</v>
      </c>
      <c r="C1800" s="541" t="s">
        <v>7504</v>
      </c>
      <c r="D1800" s="656" t="s">
        <v>414</v>
      </c>
      <c r="E1800" s="534">
        <v>715.13334099999997</v>
      </c>
    </row>
    <row r="1801" spans="2:5" x14ac:dyDescent="0.2">
      <c r="B1801" s="533">
        <v>2080</v>
      </c>
      <c r="C1801" s="541" t="s">
        <v>3060</v>
      </c>
      <c r="D1801" s="656" t="s">
        <v>414</v>
      </c>
      <c r="E1801" s="534">
        <v>694.36667899999998</v>
      </c>
    </row>
    <row r="1802" spans="2:5" x14ac:dyDescent="0.2">
      <c r="B1802" s="533">
        <v>2081</v>
      </c>
      <c r="C1802" s="541" t="s">
        <v>2939</v>
      </c>
      <c r="D1802" s="656" t="s">
        <v>414</v>
      </c>
      <c r="E1802" s="534">
        <v>742.19999199999995</v>
      </c>
    </row>
    <row r="1803" spans="2:5" x14ac:dyDescent="0.2">
      <c r="B1803" s="533">
        <v>2082</v>
      </c>
      <c r="C1803" s="541" t="s">
        <v>3906</v>
      </c>
      <c r="D1803" s="656" t="s">
        <v>414</v>
      </c>
      <c r="E1803" s="534">
        <v>739.90002400000003</v>
      </c>
    </row>
    <row r="1804" spans="2:5" x14ac:dyDescent="0.2">
      <c r="B1804" s="533">
        <v>2083</v>
      </c>
      <c r="C1804" s="541" t="s">
        <v>3742</v>
      </c>
      <c r="D1804" s="656" t="s">
        <v>414</v>
      </c>
      <c r="E1804" s="534">
        <v>729.70000300000004</v>
      </c>
    </row>
    <row r="1805" spans="2:5" x14ac:dyDescent="0.2">
      <c r="B1805" s="533">
        <v>2084</v>
      </c>
      <c r="C1805" s="541" t="s">
        <v>7596</v>
      </c>
      <c r="D1805" s="656" t="s">
        <v>414</v>
      </c>
      <c r="E1805" s="534">
        <v>732.177775</v>
      </c>
    </row>
    <row r="1806" spans="2:5" x14ac:dyDescent="0.2">
      <c r="B1806" s="533">
        <v>2085</v>
      </c>
      <c r="C1806" s="541" t="s">
        <v>7597</v>
      </c>
      <c r="D1806" s="656" t="s">
        <v>414</v>
      </c>
      <c r="E1806" s="534">
        <v>691.40002400000003</v>
      </c>
    </row>
    <row r="1807" spans="2:5" x14ac:dyDescent="0.2">
      <c r="B1807" s="533">
        <v>2087</v>
      </c>
      <c r="C1807" s="541" t="s">
        <v>6960</v>
      </c>
      <c r="D1807" s="656" t="s">
        <v>414</v>
      </c>
      <c r="E1807" s="534">
        <v>769.5</v>
      </c>
    </row>
    <row r="1808" spans="2:5" x14ac:dyDescent="0.2">
      <c r="B1808" s="533">
        <v>2088</v>
      </c>
      <c r="C1808" s="541" t="s">
        <v>6642</v>
      </c>
      <c r="D1808" s="656" t="s">
        <v>414</v>
      </c>
      <c r="E1808" s="534">
        <v>714.57499700000005</v>
      </c>
    </row>
    <row r="1809" spans="2:5" x14ac:dyDescent="0.2">
      <c r="B1809" s="533">
        <v>2096</v>
      </c>
      <c r="C1809" s="541" t="s">
        <v>2541</v>
      </c>
      <c r="D1809" s="656" t="s">
        <v>414</v>
      </c>
      <c r="E1809" s="534">
        <v>668.59997599999997</v>
      </c>
    </row>
    <row r="1810" spans="2:5" x14ac:dyDescent="0.2">
      <c r="B1810" s="533">
        <v>2101</v>
      </c>
      <c r="C1810" s="541" t="s">
        <v>2462</v>
      </c>
      <c r="D1810" s="656" t="s">
        <v>438</v>
      </c>
      <c r="E1810" s="534">
        <v>664.80000800000005</v>
      </c>
    </row>
    <row r="1811" spans="2:5" x14ac:dyDescent="0.2">
      <c r="B1811" s="533">
        <v>2102</v>
      </c>
      <c r="C1811" s="541" t="s">
        <v>1657</v>
      </c>
      <c r="D1811" s="656" t="s">
        <v>438</v>
      </c>
      <c r="E1811" s="534">
        <v>630.55000299999995</v>
      </c>
    </row>
    <row r="1812" spans="2:5" x14ac:dyDescent="0.2">
      <c r="B1812" s="533">
        <v>2103</v>
      </c>
      <c r="C1812" s="541" t="s">
        <v>1638</v>
      </c>
      <c r="D1812" s="656" t="s">
        <v>406</v>
      </c>
      <c r="E1812" s="534">
        <v>628.99998500000004</v>
      </c>
    </row>
    <row r="1813" spans="2:5" x14ac:dyDescent="0.2">
      <c r="B1813" s="533">
        <v>2104</v>
      </c>
      <c r="C1813" s="541" t="s">
        <v>3054</v>
      </c>
      <c r="D1813" s="656" t="s">
        <v>438</v>
      </c>
      <c r="E1813" s="534">
        <v>694.14999399999999</v>
      </c>
    </row>
    <row r="1814" spans="2:5" x14ac:dyDescent="0.2">
      <c r="B1814" s="533">
        <v>2105</v>
      </c>
      <c r="C1814" s="541" t="s">
        <v>1390</v>
      </c>
      <c r="D1814" s="656" t="s">
        <v>406</v>
      </c>
      <c r="E1814" s="534">
        <v>615.03332499999999</v>
      </c>
    </row>
    <row r="1815" spans="2:5" x14ac:dyDescent="0.2">
      <c r="B1815" s="533">
        <v>2106</v>
      </c>
      <c r="C1815" s="541" t="s">
        <v>1605</v>
      </c>
      <c r="D1815" s="656" t="s">
        <v>406</v>
      </c>
      <c r="E1815" s="534">
        <v>627.20000600000003</v>
      </c>
    </row>
    <row r="1816" spans="2:5" x14ac:dyDescent="0.2">
      <c r="B1816" s="533">
        <v>2107</v>
      </c>
      <c r="C1816" s="541" t="s">
        <v>1979</v>
      </c>
      <c r="D1816" s="656" t="s">
        <v>406</v>
      </c>
      <c r="E1816" s="534">
        <v>643.02500899999995</v>
      </c>
    </row>
    <row r="1817" spans="2:5" x14ac:dyDescent="0.2">
      <c r="B1817" s="533">
        <v>2108</v>
      </c>
      <c r="C1817" s="541" t="s">
        <v>1945</v>
      </c>
      <c r="D1817" s="656" t="s">
        <v>406</v>
      </c>
      <c r="E1817" s="534">
        <v>641.9375</v>
      </c>
    </row>
    <row r="1818" spans="2:5" x14ac:dyDescent="0.2">
      <c r="B1818" s="533">
        <v>2109</v>
      </c>
      <c r="C1818" s="541" t="s">
        <v>406</v>
      </c>
      <c r="D1818" s="656" t="s">
        <v>406</v>
      </c>
      <c r="E1818" s="534">
        <v>616.475864</v>
      </c>
    </row>
    <row r="1819" spans="2:5" x14ac:dyDescent="0.2">
      <c r="B1819" s="533">
        <v>2110</v>
      </c>
      <c r="C1819" s="541" t="s">
        <v>1526</v>
      </c>
      <c r="D1819" s="656" t="s">
        <v>406</v>
      </c>
      <c r="E1819" s="534">
        <v>622.54545499999995</v>
      </c>
    </row>
    <row r="1820" spans="2:5" x14ac:dyDescent="0.2">
      <c r="B1820" s="533">
        <v>2111</v>
      </c>
      <c r="C1820" s="541" t="s">
        <v>1492</v>
      </c>
      <c r="D1820" s="656" t="s">
        <v>406</v>
      </c>
      <c r="E1820" s="534">
        <v>620.63332600000001</v>
      </c>
    </row>
    <row r="1821" spans="2:5" x14ac:dyDescent="0.2">
      <c r="B1821" s="533">
        <v>2112</v>
      </c>
      <c r="C1821" s="541" t="s">
        <v>1912</v>
      </c>
      <c r="D1821" s="656" t="s">
        <v>406</v>
      </c>
      <c r="E1821" s="534">
        <v>641</v>
      </c>
    </row>
    <row r="1822" spans="2:5" x14ac:dyDescent="0.2">
      <c r="B1822" s="533">
        <v>2113</v>
      </c>
      <c r="C1822" s="541" t="s">
        <v>924</v>
      </c>
      <c r="D1822" s="656" t="s">
        <v>438</v>
      </c>
      <c r="E1822" s="534">
        <v>640.91666699999996</v>
      </c>
    </row>
    <row r="1823" spans="2:5" x14ac:dyDescent="0.2">
      <c r="B1823" s="533">
        <v>2114</v>
      </c>
      <c r="C1823" s="541" t="s">
        <v>1615</v>
      </c>
      <c r="D1823" s="656" t="s">
        <v>438</v>
      </c>
      <c r="E1823" s="534">
        <v>627.76248899999996</v>
      </c>
    </row>
    <row r="1824" spans="2:5" x14ac:dyDescent="0.2">
      <c r="B1824" s="533">
        <v>2115</v>
      </c>
      <c r="C1824" s="541" t="s">
        <v>1702</v>
      </c>
      <c r="D1824" s="656" t="s">
        <v>406</v>
      </c>
      <c r="E1824" s="534">
        <v>632.66665999999998</v>
      </c>
    </row>
    <row r="1825" spans="2:5" x14ac:dyDescent="0.2">
      <c r="B1825" s="533">
        <v>2116</v>
      </c>
      <c r="C1825" s="541" t="s">
        <v>4347</v>
      </c>
      <c r="D1825" s="656" t="s">
        <v>406</v>
      </c>
      <c r="E1825" s="534">
        <v>768.49999100000002</v>
      </c>
    </row>
    <row r="1826" spans="2:5" x14ac:dyDescent="0.2">
      <c r="B1826" s="533">
        <v>2117</v>
      </c>
      <c r="C1826" s="541" t="s">
        <v>2988</v>
      </c>
      <c r="D1826" s="656" t="s">
        <v>438</v>
      </c>
      <c r="E1826" s="534">
        <v>690.60001599999998</v>
      </c>
    </row>
    <row r="1827" spans="2:5" x14ac:dyDescent="0.2">
      <c r="B1827" s="533">
        <v>2118</v>
      </c>
      <c r="C1827" s="541" t="s">
        <v>3459</v>
      </c>
      <c r="D1827" s="656" t="s">
        <v>438</v>
      </c>
      <c r="E1827" s="534">
        <v>714.20999800000004</v>
      </c>
    </row>
    <row r="1828" spans="2:5" x14ac:dyDescent="0.2">
      <c r="B1828" s="533">
        <v>2119</v>
      </c>
      <c r="C1828" s="541" t="s">
        <v>6573</v>
      </c>
      <c r="D1828" s="656" t="s">
        <v>406</v>
      </c>
      <c r="E1828" s="534">
        <v>613.88750500000003</v>
      </c>
    </row>
    <row r="1829" spans="2:5" x14ac:dyDescent="0.2">
      <c r="B1829" s="533">
        <v>2120</v>
      </c>
      <c r="C1829" s="541" t="s">
        <v>6580</v>
      </c>
      <c r="D1829" s="656" t="s">
        <v>438</v>
      </c>
      <c r="E1829" s="534">
        <v>605.38572499999998</v>
      </c>
    </row>
    <row r="1830" spans="2:5" x14ac:dyDescent="0.2">
      <c r="B1830" s="533">
        <v>2121</v>
      </c>
      <c r="C1830" s="541" t="s">
        <v>2170</v>
      </c>
      <c r="D1830" s="656" t="s">
        <v>406</v>
      </c>
      <c r="E1830" s="534">
        <v>652.14000199999998</v>
      </c>
    </row>
    <row r="1831" spans="2:5" x14ac:dyDescent="0.2">
      <c r="B1831" s="533">
        <v>2122</v>
      </c>
      <c r="C1831" s="541" t="s">
        <v>1067</v>
      </c>
      <c r="D1831" s="656" t="s">
        <v>406</v>
      </c>
      <c r="E1831" s="534">
        <v>821.34001499999999</v>
      </c>
    </row>
    <row r="1832" spans="2:5" x14ac:dyDescent="0.2">
      <c r="B1832" s="533">
        <v>2123</v>
      </c>
      <c r="C1832" s="541" t="s">
        <v>798</v>
      </c>
      <c r="D1832" s="656" t="s">
        <v>406</v>
      </c>
      <c r="E1832" s="534">
        <v>723.78235199999995</v>
      </c>
    </row>
    <row r="1833" spans="2:5" x14ac:dyDescent="0.2">
      <c r="B1833" s="533">
        <v>2124</v>
      </c>
      <c r="C1833" s="541" t="s">
        <v>1579</v>
      </c>
      <c r="D1833" s="656" t="s">
        <v>406</v>
      </c>
      <c r="E1833" s="534">
        <v>625.70001200000002</v>
      </c>
    </row>
    <row r="1834" spans="2:5" x14ac:dyDescent="0.2">
      <c r="B1834" s="533">
        <v>2125</v>
      </c>
      <c r="C1834" s="541" t="s">
        <v>1559</v>
      </c>
      <c r="D1834" s="656" t="s">
        <v>406</v>
      </c>
      <c r="E1834" s="534">
        <v>624.63124500000004</v>
      </c>
    </row>
    <row r="1835" spans="2:5" x14ac:dyDescent="0.2">
      <c r="B1835" s="533">
        <v>2126</v>
      </c>
      <c r="C1835" s="541" t="s">
        <v>1797</v>
      </c>
      <c r="D1835" s="656" t="s">
        <v>406</v>
      </c>
      <c r="E1835" s="534">
        <v>636.32000700000003</v>
      </c>
    </row>
    <row r="1836" spans="2:5" x14ac:dyDescent="0.2">
      <c r="B1836" s="533">
        <v>2127</v>
      </c>
      <c r="C1836" s="541" t="s">
        <v>2088</v>
      </c>
      <c r="D1836" s="656" t="s">
        <v>406</v>
      </c>
      <c r="E1836" s="534">
        <v>805.89999399999999</v>
      </c>
    </row>
    <row r="1837" spans="2:5" x14ac:dyDescent="0.2">
      <c r="B1837" s="533">
        <v>2128</v>
      </c>
      <c r="C1837" s="541" t="s">
        <v>2890</v>
      </c>
      <c r="D1837" s="656" t="s">
        <v>406</v>
      </c>
      <c r="E1837" s="534">
        <v>685.89999399999999</v>
      </c>
    </row>
    <row r="1838" spans="2:5" x14ac:dyDescent="0.2">
      <c r="B1838" s="533">
        <v>2129</v>
      </c>
      <c r="C1838" s="541" t="s">
        <v>4038</v>
      </c>
      <c r="D1838" s="656" t="s">
        <v>406</v>
      </c>
      <c r="E1838" s="534">
        <v>747.9</v>
      </c>
    </row>
    <row r="1839" spans="2:5" x14ac:dyDescent="0.2">
      <c r="B1839" s="533">
        <v>2130</v>
      </c>
      <c r="C1839" s="541" t="s">
        <v>2285</v>
      </c>
      <c r="D1839" s="656" t="s">
        <v>406</v>
      </c>
      <c r="E1839" s="534">
        <v>657.03571399999998</v>
      </c>
    </row>
    <row r="1840" spans="2:5" x14ac:dyDescent="0.2">
      <c r="B1840" s="533">
        <v>2131</v>
      </c>
      <c r="C1840" s="541" t="s">
        <v>929</v>
      </c>
      <c r="D1840" s="656" t="s">
        <v>406</v>
      </c>
      <c r="E1840" s="534">
        <v>583.25</v>
      </c>
    </row>
    <row r="1841" spans="2:5" x14ac:dyDescent="0.2">
      <c r="B1841" s="533">
        <v>2132</v>
      </c>
      <c r="C1841" s="541" t="s">
        <v>2500</v>
      </c>
      <c r="D1841" s="656" t="s">
        <v>406</v>
      </c>
      <c r="E1841" s="534">
        <v>666.02856399999996</v>
      </c>
    </row>
    <row r="1842" spans="2:5" x14ac:dyDescent="0.2">
      <c r="B1842" s="533">
        <v>2133</v>
      </c>
      <c r="C1842" s="541" t="s">
        <v>1822</v>
      </c>
      <c r="D1842" s="656" t="s">
        <v>406</v>
      </c>
      <c r="E1842" s="534">
        <v>637.09997599999997</v>
      </c>
    </row>
    <row r="1843" spans="2:5" x14ac:dyDescent="0.2">
      <c r="B1843" s="533">
        <v>2134</v>
      </c>
      <c r="C1843" s="541" t="s">
        <v>2838</v>
      </c>
      <c r="D1843" s="656" t="s">
        <v>406</v>
      </c>
      <c r="E1843" s="534">
        <v>683.85999800000002</v>
      </c>
    </row>
    <row r="1844" spans="2:5" x14ac:dyDescent="0.2">
      <c r="B1844" s="533">
        <v>2135</v>
      </c>
      <c r="C1844" s="541" t="s">
        <v>2105</v>
      </c>
      <c r="D1844" s="656" t="s">
        <v>406</v>
      </c>
      <c r="E1844" s="534">
        <v>649.20001200000002</v>
      </c>
    </row>
    <row r="1845" spans="2:5" x14ac:dyDescent="0.2">
      <c r="B1845" s="533">
        <v>2136</v>
      </c>
      <c r="C1845" s="541" t="s">
        <v>2134</v>
      </c>
      <c r="D1845" s="656" t="s">
        <v>406</v>
      </c>
      <c r="E1845" s="534">
        <v>650.54998799999998</v>
      </c>
    </row>
    <row r="1846" spans="2:5" x14ac:dyDescent="0.2">
      <c r="B1846" s="533">
        <v>2137</v>
      </c>
      <c r="C1846" s="541" t="s">
        <v>1776</v>
      </c>
      <c r="D1846" s="656" t="s">
        <v>438</v>
      </c>
      <c r="E1846" s="534">
        <v>635.5</v>
      </c>
    </row>
    <row r="1847" spans="2:5" x14ac:dyDescent="0.2">
      <c r="B1847" s="533">
        <v>2138</v>
      </c>
      <c r="C1847" s="541" t="s">
        <v>1862</v>
      </c>
      <c r="D1847" s="656" t="s">
        <v>438</v>
      </c>
      <c r="E1847" s="534">
        <v>638.74284999999998</v>
      </c>
    </row>
    <row r="1848" spans="2:5" x14ac:dyDescent="0.2">
      <c r="B1848" s="533">
        <v>2139</v>
      </c>
      <c r="C1848" s="541" t="s">
        <v>6644</v>
      </c>
      <c r="D1848" s="656" t="s">
        <v>406</v>
      </c>
      <c r="E1848" s="534">
        <v>595.09997599999997</v>
      </c>
    </row>
    <row r="1849" spans="2:5" x14ac:dyDescent="0.2">
      <c r="B1849" s="533">
        <v>2140</v>
      </c>
      <c r="C1849" s="541" t="s">
        <v>6656</v>
      </c>
      <c r="D1849" s="656" t="s">
        <v>406</v>
      </c>
      <c r="E1849" s="534">
        <v>768.55000299999995</v>
      </c>
    </row>
    <row r="1850" spans="2:5" x14ac:dyDescent="0.2">
      <c r="B1850" s="533">
        <v>2141</v>
      </c>
      <c r="C1850" s="541" t="s">
        <v>3009</v>
      </c>
      <c r="D1850" s="656" t="s">
        <v>406</v>
      </c>
      <c r="E1850" s="534">
        <v>691.70001200000002</v>
      </c>
    </row>
    <row r="1851" spans="2:5" x14ac:dyDescent="0.2">
      <c r="B1851" s="533">
        <v>2142</v>
      </c>
      <c r="C1851" s="541" t="s">
        <v>2720</v>
      </c>
      <c r="D1851" s="656" t="s">
        <v>406</v>
      </c>
      <c r="E1851" s="534">
        <v>677.30000800000005</v>
      </c>
    </row>
    <row r="1852" spans="2:5" x14ac:dyDescent="0.2">
      <c r="B1852" s="533">
        <v>2143</v>
      </c>
      <c r="C1852" s="541" t="s">
        <v>1677</v>
      </c>
      <c r="D1852" s="656" t="s">
        <v>406</v>
      </c>
      <c r="E1852" s="534">
        <v>631.64999399999999</v>
      </c>
    </row>
    <row r="1853" spans="2:5" x14ac:dyDescent="0.2">
      <c r="B1853" s="533">
        <v>2144</v>
      </c>
      <c r="C1853" s="541" t="s">
        <v>6677</v>
      </c>
      <c r="D1853" s="656" t="s">
        <v>438</v>
      </c>
      <c r="E1853" s="534">
        <v>613.06664999999998</v>
      </c>
    </row>
    <row r="1854" spans="2:5" x14ac:dyDescent="0.2">
      <c r="B1854" s="533">
        <v>2145</v>
      </c>
      <c r="C1854" s="541" t="s">
        <v>1069</v>
      </c>
      <c r="D1854" s="656" t="s">
        <v>438</v>
      </c>
      <c r="E1854" s="534">
        <v>596.04999499999997</v>
      </c>
    </row>
    <row r="1855" spans="2:5" x14ac:dyDescent="0.2">
      <c r="B1855" s="533">
        <v>2146</v>
      </c>
      <c r="C1855" s="541" t="s">
        <v>1169</v>
      </c>
      <c r="D1855" s="656" t="s">
        <v>406</v>
      </c>
      <c r="E1855" s="534">
        <v>602.883331</v>
      </c>
    </row>
    <row r="1856" spans="2:5" x14ac:dyDescent="0.2">
      <c r="B1856" s="533">
        <v>2147</v>
      </c>
      <c r="C1856" s="541" t="s">
        <v>3772</v>
      </c>
      <c r="D1856" s="656" t="s">
        <v>406</v>
      </c>
      <c r="E1856" s="534">
        <v>731.74054000000001</v>
      </c>
    </row>
    <row r="1857" spans="2:5" x14ac:dyDescent="0.2">
      <c r="B1857" s="533">
        <v>2148</v>
      </c>
      <c r="C1857" s="541" t="s">
        <v>876</v>
      </c>
      <c r="D1857" s="656" t="s">
        <v>438</v>
      </c>
      <c r="E1857" s="534">
        <v>653.30000299999995</v>
      </c>
    </row>
    <row r="1858" spans="2:5" x14ac:dyDescent="0.2">
      <c r="B1858" s="533">
        <v>2149</v>
      </c>
      <c r="C1858" s="541" t="s">
        <v>2009</v>
      </c>
      <c r="D1858" s="656" t="s">
        <v>406</v>
      </c>
      <c r="E1858" s="534">
        <v>643.95001200000002</v>
      </c>
    </row>
    <row r="1859" spans="2:5" x14ac:dyDescent="0.2">
      <c r="B1859" s="533">
        <v>2150</v>
      </c>
      <c r="C1859" s="541" t="s">
        <v>2519</v>
      </c>
      <c r="D1859" s="656" t="s">
        <v>406</v>
      </c>
      <c r="E1859" s="534">
        <v>667.63332100000002</v>
      </c>
    </row>
    <row r="1860" spans="2:5" x14ac:dyDescent="0.2">
      <c r="B1860" s="533">
        <v>2151</v>
      </c>
      <c r="C1860" s="541" t="s">
        <v>1146</v>
      </c>
      <c r="D1860" s="656" t="s">
        <v>438</v>
      </c>
      <c r="E1860" s="534">
        <v>612.59999600000003</v>
      </c>
    </row>
    <row r="1861" spans="2:5" x14ac:dyDescent="0.2">
      <c r="B1861" s="533">
        <v>2152</v>
      </c>
      <c r="C1861" s="541" t="s">
        <v>3918</v>
      </c>
      <c r="D1861" s="656" t="s">
        <v>406</v>
      </c>
      <c r="E1861" s="534">
        <v>740.37999300000001</v>
      </c>
    </row>
    <row r="1862" spans="2:5" x14ac:dyDescent="0.2">
      <c r="B1862" s="533">
        <v>2153</v>
      </c>
      <c r="C1862" s="541" t="s">
        <v>1368</v>
      </c>
      <c r="D1862" s="656" t="s">
        <v>406</v>
      </c>
      <c r="E1862" s="534">
        <v>613.99285899999995</v>
      </c>
    </row>
    <row r="1863" spans="2:5" x14ac:dyDescent="0.2">
      <c r="B1863" s="533">
        <v>2154</v>
      </c>
      <c r="C1863" s="541" t="s">
        <v>874</v>
      </c>
      <c r="D1863" s="656" t="s">
        <v>406</v>
      </c>
      <c r="E1863" s="534">
        <v>621.60001599999998</v>
      </c>
    </row>
    <row r="1864" spans="2:5" x14ac:dyDescent="0.2">
      <c r="B1864" s="533">
        <v>2155</v>
      </c>
      <c r="C1864" s="541" t="s">
        <v>1715</v>
      </c>
      <c r="D1864" s="656" t="s">
        <v>406</v>
      </c>
      <c r="E1864" s="534">
        <v>633.32501200000002</v>
      </c>
    </row>
    <row r="1865" spans="2:5" x14ac:dyDescent="0.2">
      <c r="B1865" s="533">
        <v>2156</v>
      </c>
      <c r="C1865" s="541" t="s">
        <v>1739</v>
      </c>
      <c r="D1865" s="656" t="s">
        <v>438</v>
      </c>
      <c r="E1865" s="534">
        <v>634.02000099999998</v>
      </c>
    </row>
    <row r="1866" spans="2:5" x14ac:dyDescent="0.2">
      <c r="B1866" s="533">
        <v>2157</v>
      </c>
      <c r="C1866" s="541" t="s">
        <v>1286</v>
      </c>
      <c r="D1866" s="656" t="s">
        <v>438</v>
      </c>
      <c r="E1866" s="534">
        <v>609.4</v>
      </c>
    </row>
    <row r="1867" spans="2:5" x14ac:dyDescent="0.2">
      <c r="B1867" s="533">
        <v>2158</v>
      </c>
      <c r="C1867" s="541" t="s">
        <v>1219</v>
      </c>
      <c r="D1867" s="656" t="s">
        <v>438</v>
      </c>
      <c r="E1867" s="534">
        <v>605.39998800000001</v>
      </c>
    </row>
    <row r="1868" spans="2:5" x14ac:dyDescent="0.2">
      <c r="B1868" s="533">
        <v>2159</v>
      </c>
      <c r="C1868" s="541" t="s">
        <v>4727</v>
      </c>
      <c r="D1868" s="656" t="s">
        <v>406</v>
      </c>
      <c r="E1868" s="534">
        <v>799.23333700000001</v>
      </c>
    </row>
    <row r="1869" spans="2:5" x14ac:dyDescent="0.2">
      <c r="B1869" s="533">
        <v>2160</v>
      </c>
      <c r="C1869" s="541" t="s">
        <v>1586</v>
      </c>
      <c r="D1869" s="656" t="s">
        <v>406</v>
      </c>
      <c r="E1869" s="534">
        <v>626.163635</v>
      </c>
    </row>
    <row r="1870" spans="2:5" x14ac:dyDescent="0.2">
      <c r="B1870" s="533">
        <v>2161</v>
      </c>
      <c r="C1870" s="541" t="s">
        <v>2244</v>
      </c>
      <c r="D1870" s="656" t="s">
        <v>406</v>
      </c>
      <c r="E1870" s="534">
        <v>655.44000200000005</v>
      </c>
    </row>
    <row r="1871" spans="2:5" x14ac:dyDescent="0.2">
      <c r="B1871" s="533">
        <v>2162</v>
      </c>
      <c r="C1871" s="541" t="s">
        <v>1619</v>
      </c>
      <c r="D1871" s="656" t="s">
        <v>406</v>
      </c>
      <c r="E1871" s="534">
        <v>627.89998400000002</v>
      </c>
    </row>
    <row r="1872" spans="2:5" x14ac:dyDescent="0.2">
      <c r="B1872" s="533">
        <v>2163</v>
      </c>
      <c r="C1872" s="541" t="s">
        <v>4551</v>
      </c>
      <c r="D1872" s="656" t="s">
        <v>406</v>
      </c>
      <c r="E1872" s="534">
        <v>784.74444600000004</v>
      </c>
    </row>
    <row r="1873" spans="2:5" x14ac:dyDescent="0.2">
      <c r="B1873" s="533">
        <v>2164</v>
      </c>
      <c r="C1873" s="541" t="s">
        <v>2174</v>
      </c>
      <c r="D1873" s="656" t="s">
        <v>406</v>
      </c>
      <c r="E1873" s="534">
        <v>652.27999299999999</v>
      </c>
    </row>
    <row r="1874" spans="2:5" x14ac:dyDescent="0.2">
      <c r="B1874" s="533">
        <v>2165</v>
      </c>
      <c r="C1874" s="541" t="s">
        <v>1856</v>
      </c>
      <c r="D1874" s="656" t="s">
        <v>406</v>
      </c>
      <c r="E1874" s="534">
        <v>638.58333300000004</v>
      </c>
    </row>
    <row r="1875" spans="2:5" x14ac:dyDescent="0.2">
      <c r="B1875" s="533">
        <v>2166</v>
      </c>
      <c r="C1875" s="541" t="s">
        <v>2333</v>
      </c>
      <c r="D1875" s="656" t="s">
        <v>438</v>
      </c>
      <c r="E1875" s="534">
        <v>659.20001200000002</v>
      </c>
    </row>
    <row r="1876" spans="2:5" x14ac:dyDescent="0.2">
      <c r="B1876" s="533">
        <v>2167</v>
      </c>
      <c r="C1876" s="541" t="s">
        <v>1434</v>
      </c>
      <c r="D1876" s="656" t="s">
        <v>438</v>
      </c>
      <c r="E1876" s="534">
        <v>617.3125</v>
      </c>
    </row>
    <row r="1877" spans="2:5" x14ac:dyDescent="0.2">
      <c r="B1877" s="533">
        <v>2168</v>
      </c>
      <c r="C1877" s="541" t="s">
        <v>6826</v>
      </c>
      <c r="D1877" s="656" t="s">
        <v>406</v>
      </c>
      <c r="E1877" s="534">
        <v>766.57501200000002</v>
      </c>
    </row>
    <row r="1878" spans="2:5" x14ac:dyDescent="0.2">
      <c r="B1878" s="533">
        <v>2169</v>
      </c>
      <c r="C1878" s="541" t="s">
        <v>1350</v>
      </c>
      <c r="D1878" s="656" t="s">
        <v>406</v>
      </c>
      <c r="E1878" s="534">
        <v>613.03332499999999</v>
      </c>
    </row>
    <row r="1879" spans="2:5" x14ac:dyDescent="0.2">
      <c r="B1879" s="533">
        <v>2170</v>
      </c>
      <c r="C1879" s="541" t="s">
        <v>6855</v>
      </c>
      <c r="D1879" s="656" t="s">
        <v>406</v>
      </c>
      <c r="E1879" s="534">
        <v>700.21999500000004</v>
      </c>
    </row>
    <row r="1880" spans="2:5" x14ac:dyDescent="0.2">
      <c r="B1880" s="533">
        <v>2171</v>
      </c>
      <c r="C1880" s="541" t="s">
        <v>6876</v>
      </c>
      <c r="D1880" s="656" t="s">
        <v>406</v>
      </c>
      <c r="E1880" s="534">
        <v>748.85000600000001</v>
      </c>
    </row>
    <row r="1881" spans="2:5" x14ac:dyDescent="0.2">
      <c r="B1881" s="533">
        <v>2172</v>
      </c>
      <c r="C1881" s="541" t="s">
        <v>2504</v>
      </c>
      <c r="D1881" s="656" t="s">
        <v>406</v>
      </c>
      <c r="E1881" s="534">
        <v>666.5</v>
      </c>
    </row>
    <row r="1882" spans="2:5" x14ac:dyDescent="0.2">
      <c r="B1882" s="533">
        <v>2173</v>
      </c>
      <c r="C1882" s="541" t="s">
        <v>1941</v>
      </c>
      <c r="D1882" s="656" t="s">
        <v>406</v>
      </c>
      <c r="E1882" s="534">
        <v>641.72500600000001</v>
      </c>
    </row>
    <row r="1883" spans="2:5" x14ac:dyDescent="0.2">
      <c r="B1883" s="533">
        <v>2174</v>
      </c>
      <c r="C1883" s="541" t="s">
        <v>6935</v>
      </c>
      <c r="D1883" s="656" t="s">
        <v>438</v>
      </c>
      <c r="E1883" s="534">
        <v>629.14445000000001</v>
      </c>
    </row>
    <row r="1884" spans="2:5" x14ac:dyDescent="0.2">
      <c r="B1884" s="533">
        <v>2175</v>
      </c>
      <c r="C1884" s="541" t="s">
        <v>1316</v>
      </c>
      <c r="D1884" s="656" t="s">
        <v>406</v>
      </c>
      <c r="E1884" s="534">
        <v>611.10000600000001</v>
      </c>
    </row>
    <row r="1885" spans="2:5" x14ac:dyDescent="0.2">
      <c r="B1885" s="533">
        <v>2176</v>
      </c>
      <c r="C1885" s="541" t="s">
        <v>1131</v>
      </c>
      <c r="D1885" s="656" t="s">
        <v>406</v>
      </c>
      <c r="E1885" s="534">
        <v>709.41999499999997</v>
      </c>
    </row>
    <row r="1886" spans="2:5" x14ac:dyDescent="0.2">
      <c r="B1886" s="533">
        <v>2177</v>
      </c>
      <c r="C1886" s="541" t="s">
        <v>2164</v>
      </c>
      <c r="D1886" s="656" t="s">
        <v>438</v>
      </c>
      <c r="E1886" s="534">
        <v>651.90000399999997</v>
      </c>
    </row>
    <row r="1887" spans="2:5" x14ac:dyDescent="0.2">
      <c r="B1887" s="533">
        <v>2178</v>
      </c>
      <c r="C1887" s="541" t="s">
        <v>2337</v>
      </c>
      <c r="D1887" s="656" t="s">
        <v>406</v>
      </c>
      <c r="E1887" s="534">
        <v>659.40000399999997</v>
      </c>
    </row>
    <row r="1888" spans="2:5" x14ac:dyDescent="0.2">
      <c r="B1888" s="533">
        <v>2179</v>
      </c>
      <c r="C1888" s="541" t="s">
        <v>1136</v>
      </c>
      <c r="D1888" s="656" t="s">
        <v>406</v>
      </c>
      <c r="E1888" s="534">
        <v>600.49285499999996</v>
      </c>
    </row>
    <row r="1889" spans="2:5" x14ac:dyDescent="0.2">
      <c r="B1889" s="533">
        <v>2180</v>
      </c>
      <c r="C1889" s="541" t="s">
        <v>2184</v>
      </c>
      <c r="D1889" s="656" t="s">
        <v>406</v>
      </c>
      <c r="E1889" s="534">
        <v>652.63334099999997</v>
      </c>
    </row>
    <row r="1890" spans="2:5" x14ac:dyDescent="0.2">
      <c r="B1890" s="533">
        <v>2181</v>
      </c>
      <c r="C1890" s="541" t="s">
        <v>6971</v>
      </c>
      <c r="D1890" s="656" t="s">
        <v>438</v>
      </c>
      <c r="E1890" s="534">
        <v>677.30000500000006</v>
      </c>
    </row>
    <row r="1891" spans="2:5" x14ac:dyDescent="0.2">
      <c r="B1891" s="533">
        <v>2182</v>
      </c>
      <c r="C1891" s="541" t="s">
        <v>6972</v>
      </c>
      <c r="D1891" s="656" t="s">
        <v>438</v>
      </c>
      <c r="E1891" s="534">
        <v>687.31429600000001</v>
      </c>
    </row>
    <row r="1892" spans="2:5" x14ac:dyDescent="0.2">
      <c r="B1892" s="533">
        <v>2183</v>
      </c>
      <c r="C1892" s="541" t="s">
        <v>2098</v>
      </c>
      <c r="D1892" s="656" t="s">
        <v>438</v>
      </c>
      <c r="E1892" s="534">
        <v>648.79998799999998</v>
      </c>
    </row>
    <row r="1893" spans="2:5" x14ac:dyDescent="0.2">
      <c r="B1893" s="533">
        <v>2184</v>
      </c>
      <c r="C1893" s="541" t="s">
        <v>1663</v>
      </c>
      <c r="D1893" s="656" t="s">
        <v>406</v>
      </c>
      <c r="E1893" s="534">
        <v>630.76428699999997</v>
      </c>
    </row>
    <row r="1894" spans="2:5" x14ac:dyDescent="0.2">
      <c r="B1894" s="533">
        <v>2185</v>
      </c>
      <c r="C1894" s="541" t="s">
        <v>5382</v>
      </c>
      <c r="D1894" s="656" t="s">
        <v>406</v>
      </c>
      <c r="E1894" s="534">
        <v>876.85000600000001</v>
      </c>
    </row>
    <row r="1895" spans="2:5" x14ac:dyDescent="0.2">
      <c r="B1895" s="533">
        <v>2186</v>
      </c>
      <c r="C1895" s="541" t="s">
        <v>1317</v>
      </c>
      <c r="D1895" s="656" t="s">
        <v>406</v>
      </c>
      <c r="E1895" s="534">
        <v>611.14210600000001</v>
      </c>
    </row>
    <row r="1896" spans="2:5" x14ac:dyDescent="0.2">
      <c r="B1896" s="533">
        <v>2187</v>
      </c>
      <c r="C1896" s="541" t="s">
        <v>5242</v>
      </c>
      <c r="D1896" s="656" t="s">
        <v>406</v>
      </c>
      <c r="E1896" s="534">
        <v>853.77999299999999</v>
      </c>
    </row>
    <row r="1897" spans="2:5" x14ac:dyDescent="0.2">
      <c r="B1897" s="533">
        <v>2188</v>
      </c>
      <c r="C1897" s="541" t="s">
        <v>1546</v>
      </c>
      <c r="D1897" s="656" t="s">
        <v>438</v>
      </c>
      <c r="E1897" s="534">
        <v>623.97500600000001</v>
      </c>
    </row>
    <row r="1898" spans="2:5" x14ac:dyDescent="0.2">
      <c r="B1898" s="533">
        <v>2189</v>
      </c>
      <c r="C1898" s="541" t="s">
        <v>1719</v>
      </c>
      <c r="D1898" s="656" t="s">
        <v>406</v>
      </c>
      <c r="E1898" s="534">
        <v>633.52222400000005</v>
      </c>
    </row>
    <row r="1899" spans="2:5" x14ac:dyDescent="0.2">
      <c r="B1899" s="533">
        <v>2190</v>
      </c>
      <c r="C1899" s="541" t="s">
        <v>1414</v>
      </c>
      <c r="D1899" s="656" t="s">
        <v>406</v>
      </c>
      <c r="E1899" s="534">
        <v>616.49999400000002</v>
      </c>
    </row>
    <row r="1900" spans="2:5" x14ac:dyDescent="0.2">
      <c r="B1900" s="533">
        <v>2191</v>
      </c>
      <c r="C1900" s="541" t="s">
        <v>6989</v>
      </c>
      <c r="D1900" s="656" t="s">
        <v>406</v>
      </c>
      <c r="E1900" s="534">
        <v>629.16666699999996</v>
      </c>
    </row>
    <row r="1901" spans="2:5" x14ac:dyDescent="0.2">
      <c r="B1901" s="533">
        <v>2192</v>
      </c>
      <c r="C1901" s="541" t="s">
        <v>6990</v>
      </c>
      <c r="D1901" s="656" t="s">
        <v>406</v>
      </c>
      <c r="E1901" s="534">
        <v>623.81999499999995</v>
      </c>
    </row>
    <row r="1902" spans="2:5" x14ac:dyDescent="0.2">
      <c r="B1902" s="533">
        <v>2193</v>
      </c>
      <c r="C1902" s="541" t="s">
        <v>7003</v>
      </c>
      <c r="D1902" s="656" t="s">
        <v>406</v>
      </c>
      <c r="E1902" s="534">
        <v>783.61429299999998</v>
      </c>
    </row>
    <row r="1903" spans="2:5" x14ac:dyDescent="0.2">
      <c r="B1903" s="533">
        <v>2194</v>
      </c>
      <c r="C1903" s="541" t="s">
        <v>7002</v>
      </c>
      <c r="D1903" s="656" t="s">
        <v>406</v>
      </c>
      <c r="E1903" s="534">
        <v>663.71667500000001</v>
      </c>
    </row>
    <row r="1904" spans="2:5" x14ac:dyDescent="0.2">
      <c r="B1904" s="533">
        <v>2195</v>
      </c>
      <c r="C1904" s="541" t="s">
        <v>7007</v>
      </c>
      <c r="D1904" s="656" t="s">
        <v>406</v>
      </c>
      <c r="E1904" s="534">
        <v>801.22499800000003</v>
      </c>
    </row>
    <row r="1905" spans="2:5" x14ac:dyDescent="0.2">
      <c r="B1905" s="533">
        <v>2196</v>
      </c>
      <c r="C1905" s="541" t="s">
        <v>4867</v>
      </c>
      <c r="D1905" s="656" t="s">
        <v>406</v>
      </c>
      <c r="E1905" s="534">
        <v>809.5</v>
      </c>
    </row>
    <row r="1906" spans="2:5" x14ac:dyDescent="0.2">
      <c r="B1906" s="533">
        <v>2197</v>
      </c>
      <c r="C1906" s="541" t="s">
        <v>3345</v>
      </c>
      <c r="D1906" s="656" t="s">
        <v>438</v>
      </c>
      <c r="E1906" s="534">
        <v>708.75</v>
      </c>
    </row>
    <row r="1907" spans="2:5" x14ac:dyDescent="0.2">
      <c r="B1907" s="533">
        <v>2198</v>
      </c>
      <c r="C1907" s="541" t="s">
        <v>971</v>
      </c>
      <c r="D1907" s="656" t="s">
        <v>438</v>
      </c>
      <c r="E1907" s="534">
        <v>586.96667500000001</v>
      </c>
    </row>
    <row r="1908" spans="2:5" x14ac:dyDescent="0.2">
      <c r="B1908" s="533">
        <v>2199</v>
      </c>
      <c r="C1908" s="541" t="s">
        <v>5502</v>
      </c>
      <c r="D1908" s="656" t="s">
        <v>406</v>
      </c>
      <c r="E1908" s="534">
        <v>896.83333300000004</v>
      </c>
    </row>
    <row r="1909" spans="2:5" x14ac:dyDescent="0.2">
      <c r="B1909" s="533">
        <v>2200</v>
      </c>
      <c r="C1909" s="541" t="s">
        <v>1203</v>
      </c>
      <c r="D1909" s="656" t="s">
        <v>406</v>
      </c>
      <c r="E1909" s="534">
        <v>604.51110800000004</v>
      </c>
    </row>
    <row r="1910" spans="2:5" x14ac:dyDescent="0.2">
      <c r="B1910" s="533">
        <v>2201</v>
      </c>
      <c r="C1910" s="541" t="s">
        <v>2648</v>
      </c>
      <c r="D1910" s="656" t="s">
        <v>406</v>
      </c>
      <c r="E1910" s="534">
        <v>717.07499700000005</v>
      </c>
    </row>
    <row r="1911" spans="2:5" x14ac:dyDescent="0.2">
      <c r="B1911" s="533">
        <v>2202</v>
      </c>
      <c r="C1911" s="541" t="s">
        <v>2180</v>
      </c>
      <c r="D1911" s="656" t="s">
        <v>406</v>
      </c>
      <c r="E1911" s="534">
        <v>652.39999399999999</v>
      </c>
    </row>
    <row r="1912" spans="2:5" x14ac:dyDescent="0.2">
      <c r="B1912" s="533">
        <v>2203</v>
      </c>
      <c r="C1912" s="541" t="s">
        <v>7028</v>
      </c>
      <c r="D1912" s="656" t="s">
        <v>406</v>
      </c>
      <c r="E1912" s="534">
        <v>803.26666299999999</v>
      </c>
    </row>
    <row r="1913" spans="2:5" x14ac:dyDescent="0.2">
      <c r="B1913" s="533">
        <v>2204</v>
      </c>
      <c r="C1913" s="541" t="s">
        <v>7090</v>
      </c>
      <c r="D1913" s="656" t="s">
        <v>406</v>
      </c>
      <c r="E1913" s="534">
        <v>646.38888899999995</v>
      </c>
    </row>
    <row r="1914" spans="2:5" x14ac:dyDescent="0.2">
      <c r="B1914" s="533">
        <v>2205</v>
      </c>
      <c r="C1914" s="541" t="s">
        <v>1959</v>
      </c>
      <c r="D1914" s="656" t="s">
        <v>406</v>
      </c>
      <c r="E1914" s="534">
        <v>642.32498199999998</v>
      </c>
    </row>
    <row r="1915" spans="2:5" x14ac:dyDescent="0.2">
      <c r="B1915" s="533">
        <v>2206</v>
      </c>
      <c r="C1915" s="541" t="s">
        <v>932</v>
      </c>
      <c r="D1915" s="656" t="s">
        <v>438</v>
      </c>
      <c r="E1915" s="534">
        <v>583.54000199999996</v>
      </c>
    </row>
    <row r="1916" spans="2:5" x14ac:dyDescent="0.2">
      <c r="B1916" s="533">
        <v>2207</v>
      </c>
      <c r="C1916" s="541" t="s">
        <v>2746</v>
      </c>
      <c r="D1916" s="656" t="s">
        <v>406</v>
      </c>
      <c r="E1916" s="534">
        <v>678.53333499999997</v>
      </c>
    </row>
    <row r="1917" spans="2:5" x14ac:dyDescent="0.2">
      <c r="B1917" s="533">
        <v>2208</v>
      </c>
      <c r="C1917" s="541" t="s">
        <v>1494</v>
      </c>
      <c r="D1917" s="656" t="s">
        <v>406</v>
      </c>
      <c r="E1917" s="534">
        <v>620.740002</v>
      </c>
    </row>
    <row r="1918" spans="2:5" x14ac:dyDescent="0.2">
      <c r="B1918" s="533">
        <v>2209</v>
      </c>
      <c r="C1918" s="541" t="s">
        <v>2034</v>
      </c>
      <c r="D1918" s="656" t="s">
        <v>406</v>
      </c>
      <c r="E1918" s="534">
        <v>645.11250299999995</v>
      </c>
    </row>
    <row r="1919" spans="2:5" x14ac:dyDescent="0.2">
      <c r="B1919" s="533">
        <v>2210</v>
      </c>
      <c r="C1919" s="541" t="s">
        <v>1995</v>
      </c>
      <c r="D1919" s="656" t="s">
        <v>406</v>
      </c>
      <c r="E1919" s="534">
        <v>643.4</v>
      </c>
    </row>
    <row r="1920" spans="2:5" x14ac:dyDescent="0.2">
      <c r="B1920" s="533">
        <v>2211</v>
      </c>
      <c r="C1920" s="541" t="s">
        <v>1373</v>
      </c>
      <c r="D1920" s="656" t="s">
        <v>406</v>
      </c>
      <c r="E1920" s="534">
        <v>614.09997599999997</v>
      </c>
    </row>
    <row r="1921" spans="2:5" x14ac:dyDescent="0.2">
      <c r="B1921" s="533">
        <v>2212</v>
      </c>
      <c r="C1921" s="541" t="s">
        <v>2529</v>
      </c>
      <c r="D1921" s="656" t="s">
        <v>438</v>
      </c>
      <c r="E1921" s="534">
        <v>668.05555600000002</v>
      </c>
    </row>
    <row r="1922" spans="2:5" x14ac:dyDescent="0.2">
      <c r="B1922" s="533">
        <v>2213</v>
      </c>
      <c r="C1922" s="541" t="s">
        <v>689</v>
      </c>
      <c r="D1922" s="656" t="s">
        <v>406</v>
      </c>
      <c r="E1922" s="534">
        <v>839.05001800000002</v>
      </c>
    </row>
    <row r="1923" spans="2:5" x14ac:dyDescent="0.2">
      <c r="B1923" s="533">
        <v>2214</v>
      </c>
      <c r="C1923" s="541" t="s">
        <v>1728</v>
      </c>
      <c r="D1923" s="656" t="s">
        <v>438</v>
      </c>
      <c r="E1923" s="534">
        <v>633.69998199999998</v>
      </c>
    </row>
    <row r="1924" spans="2:5" x14ac:dyDescent="0.2">
      <c r="B1924" s="533">
        <v>2215</v>
      </c>
      <c r="C1924" s="541" t="s">
        <v>2625</v>
      </c>
      <c r="D1924" s="656" t="s">
        <v>406</v>
      </c>
      <c r="E1924" s="534">
        <v>673.17500299999995</v>
      </c>
    </row>
    <row r="1925" spans="2:5" x14ac:dyDescent="0.2">
      <c r="B1925" s="533">
        <v>2216</v>
      </c>
      <c r="C1925" s="541" t="s">
        <v>2913</v>
      </c>
      <c r="D1925" s="656" t="s">
        <v>406</v>
      </c>
      <c r="E1925" s="534">
        <v>686.61998300000005</v>
      </c>
    </row>
    <row r="1926" spans="2:5" x14ac:dyDescent="0.2">
      <c r="B1926" s="533">
        <v>2217</v>
      </c>
      <c r="C1926" s="541" t="s">
        <v>4094</v>
      </c>
      <c r="D1926" s="656" t="s">
        <v>406</v>
      </c>
      <c r="E1926" s="534">
        <v>751</v>
      </c>
    </row>
    <row r="1927" spans="2:5" x14ac:dyDescent="0.2">
      <c r="B1927" s="533">
        <v>2218</v>
      </c>
      <c r="C1927" s="541" t="s">
        <v>838</v>
      </c>
      <c r="D1927" s="656" t="s">
        <v>438</v>
      </c>
      <c r="E1927" s="534">
        <v>574.55000299999995</v>
      </c>
    </row>
    <row r="1928" spans="2:5" x14ac:dyDescent="0.2">
      <c r="B1928" s="533">
        <v>2219</v>
      </c>
      <c r="C1928" s="541" t="s">
        <v>1496</v>
      </c>
      <c r="D1928" s="656" t="s">
        <v>438</v>
      </c>
      <c r="E1928" s="534">
        <v>620.80001800000002</v>
      </c>
    </row>
    <row r="1929" spans="2:5" x14ac:dyDescent="0.2">
      <c r="B1929" s="533">
        <v>2220</v>
      </c>
      <c r="C1929" s="541" t="s">
        <v>4236</v>
      </c>
      <c r="D1929" s="656" t="s">
        <v>406</v>
      </c>
      <c r="E1929" s="534">
        <v>760.65713100000005</v>
      </c>
    </row>
    <row r="1930" spans="2:5" x14ac:dyDescent="0.2">
      <c r="B1930" s="533">
        <v>2221</v>
      </c>
      <c r="C1930" s="541" t="s">
        <v>7136</v>
      </c>
      <c r="D1930" s="656" t="s">
        <v>406</v>
      </c>
      <c r="E1930" s="534">
        <v>709.69999499999994</v>
      </c>
    </row>
    <row r="1931" spans="2:5" x14ac:dyDescent="0.2">
      <c r="B1931" s="533">
        <v>2222</v>
      </c>
      <c r="C1931" s="541" t="s">
        <v>1037</v>
      </c>
      <c r="D1931" s="656" t="s">
        <v>438</v>
      </c>
      <c r="E1931" s="534">
        <v>593.64999399999999</v>
      </c>
    </row>
    <row r="1932" spans="2:5" x14ac:dyDescent="0.2">
      <c r="B1932" s="533">
        <v>2223</v>
      </c>
      <c r="C1932" s="541" t="s">
        <v>1842</v>
      </c>
      <c r="D1932" s="656" t="s">
        <v>438</v>
      </c>
      <c r="E1932" s="534">
        <v>637.76666299999999</v>
      </c>
    </row>
    <row r="1933" spans="2:5" x14ac:dyDescent="0.2">
      <c r="B1933" s="533">
        <v>2224</v>
      </c>
      <c r="C1933" s="541" t="s">
        <v>1264</v>
      </c>
      <c r="D1933" s="656" t="s">
        <v>406</v>
      </c>
      <c r="E1933" s="534">
        <v>607.87999300000001</v>
      </c>
    </row>
    <row r="1934" spans="2:5" x14ac:dyDescent="0.2">
      <c r="B1934" s="533">
        <v>2225</v>
      </c>
      <c r="C1934" s="541" t="s">
        <v>2047</v>
      </c>
      <c r="D1934" s="656" t="s">
        <v>406</v>
      </c>
      <c r="E1934" s="534">
        <v>645.69999700000005</v>
      </c>
    </row>
    <row r="1935" spans="2:5" x14ac:dyDescent="0.2">
      <c r="B1935" s="533">
        <v>2226</v>
      </c>
      <c r="C1935" s="541" t="s">
        <v>1343</v>
      </c>
      <c r="D1935" s="656" t="s">
        <v>406</v>
      </c>
      <c r="E1935" s="534">
        <v>729.56667100000004</v>
      </c>
    </row>
    <row r="1936" spans="2:5" x14ac:dyDescent="0.2">
      <c r="B1936" s="533">
        <v>2227</v>
      </c>
      <c r="C1936" s="541" t="s">
        <v>1379</v>
      </c>
      <c r="D1936" s="656" t="s">
        <v>406</v>
      </c>
      <c r="E1936" s="534">
        <v>614.60001199999999</v>
      </c>
    </row>
    <row r="1937" spans="2:5" x14ac:dyDescent="0.2">
      <c r="B1937" s="533">
        <v>2228</v>
      </c>
      <c r="C1937" s="541" t="s">
        <v>903</v>
      </c>
      <c r="D1937" s="656" t="s">
        <v>438</v>
      </c>
      <c r="E1937" s="534">
        <v>580.71666500000003</v>
      </c>
    </row>
    <row r="1938" spans="2:5" x14ac:dyDescent="0.2">
      <c r="B1938" s="533">
        <v>2229</v>
      </c>
      <c r="C1938" s="541" t="s">
        <v>1337</v>
      </c>
      <c r="D1938" s="656" t="s">
        <v>406</v>
      </c>
      <c r="E1938" s="534">
        <v>639.15715699999998</v>
      </c>
    </row>
    <row r="1939" spans="2:5" x14ac:dyDescent="0.2">
      <c r="B1939" s="533">
        <v>2230</v>
      </c>
      <c r="C1939" s="541" t="s">
        <v>2810</v>
      </c>
      <c r="D1939" s="656" t="s">
        <v>406</v>
      </c>
      <c r="E1939" s="534">
        <v>682</v>
      </c>
    </row>
    <row r="1940" spans="2:5" x14ac:dyDescent="0.2">
      <c r="B1940" s="533">
        <v>2231</v>
      </c>
      <c r="C1940" s="541" t="s">
        <v>7169</v>
      </c>
      <c r="D1940" s="656" t="s">
        <v>406</v>
      </c>
      <c r="E1940" s="534">
        <v>643.10000300000002</v>
      </c>
    </row>
    <row r="1941" spans="2:5" x14ac:dyDescent="0.2">
      <c r="B1941" s="533">
        <v>2232</v>
      </c>
      <c r="C1941" s="541" t="s">
        <v>7173</v>
      </c>
      <c r="D1941" s="656" t="s">
        <v>406</v>
      </c>
      <c r="E1941" s="534">
        <v>643.06665499999997</v>
      </c>
    </row>
    <row r="1942" spans="2:5" x14ac:dyDescent="0.2">
      <c r="B1942" s="533">
        <v>2233</v>
      </c>
      <c r="C1942" s="541" t="s">
        <v>7194</v>
      </c>
      <c r="D1942" s="656" t="s">
        <v>406</v>
      </c>
      <c r="E1942" s="534">
        <v>637.16001000000006</v>
      </c>
    </row>
    <row r="1943" spans="2:5" x14ac:dyDescent="0.2">
      <c r="B1943" s="533">
        <v>2234</v>
      </c>
      <c r="C1943" s="541" t="s">
        <v>7223</v>
      </c>
      <c r="D1943" s="656" t="s">
        <v>406</v>
      </c>
      <c r="E1943" s="534">
        <v>628.13333499999999</v>
      </c>
    </row>
    <row r="1944" spans="2:5" x14ac:dyDescent="0.2">
      <c r="B1944" s="533">
        <v>2235</v>
      </c>
      <c r="C1944" s="541" t="s">
        <v>2378</v>
      </c>
      <c r="D1944" s="656" t="s">
        <v>406</v>
      </c>
      <c r="E1944" s="534">
        <v>661.5</v>
      </c>
    </row>
    <row r="1945" spans="2:5" x14ac:dyDescent="0.2">
      <c r="B1945" s="533">
        <v>2236</v>
      </c>
      <c r="C1945" s="541" t="s">
        <v>7229</v>
      </c>
      <c r="D1945" s="656" t="s">
        <v>406</v>
      </c>
      <c r="E1945" s="534">
        <v>805.23999000000003</v>
      </c>
    </row>
    <row r="1946" spans="2:5" x14ac:dyDescent="0.2">
      <c r="B1946" s="533">
        <v>2237</v>
      </c>
      <c r="C1946" s="541" t="s">
        <v>4029</v>
      </c>
      <c r="D1946" s="656" t="s">
        <v>406</v>
      </c>
      <c r="E1946" s="534">
        <v>747.29998799999998</v>
      </c>
    </row>
    <row r="1947" spans="2:5" x14ac:dyDescent="0.2">
      <c r="B1947" s="533">
        <v>2238</v>
      </c>
      <c r="C1947" s="541" t="s">
        <v>839</v>
      </c>
      <c r="D1947" s="656" t="s">
        <v>406</v>
      </c>
      <c r="E1947" s="534">
        <v>835.96665399999995</v>
      </c>
    </row>
    <row r="1948" spans="2:5" x14ac:dyDescent="0.2">
      <c r="B1948" s="533">
        <v>2239</v>
      </c>
      <c r="C1948" s="541" t="s">
        <v>2563</v>
      </c>
      <c r="D1948" s="656" t="s">
        <v>406</v>
      </c>
      <c r="E1948" s="534">
        <v>669.2</v>
      </c>
    </row>
    <row r="1949" spans="2:5" x14ac:dyDescent="0.2">
      <c r="B1949" s="533">
        <v>2240</v>
      </c>
      <c r="C1949" s="541" t="s">
        <v>2234</v>
      </c>
      <c r="D1949" s="656" t="s">
        <v>438</v>
      </c>
      <c r="E1949" s="534">
        <v>654.89999399999999</v>
      </c>
    </row>
    <row r="1950" spans="2:5" x14ac:dyDescent="0.2">
      <c r="B1950" s="533">
        <v>2241</v>
      </c>
      <c r="C1950" s="541" t="s">
        <v>1358</v>
      </c>
      <c r="D1950" s="656" t="s">
        <v>406</v>
      </c>
      <c r="E1950" s="534">
        <v>613.69090700000004</v>
      </c>
    </row>
    <row r="1951" spans="2:5" x14ac:dyDescent="0.2">
      <c r="B1951" s="533">
        <v>2242</v>
      </c>
      <c r="C1951" s="541" t="s">
        <v>1435</v>
      </c>
      <c r="D1951" s="656" t="s">
        <v>406</v>
      </c>
      <c r="E1951" s="534">
        <v>617.32858699999997</v>
      </c>
    </row>
    <row r="1952" spans="2:5" x14ac:dyDescent="0.2">
      <c r="B1952" s="533">
        <v>2243</v>
      </c>
      <c r="C1952" s="541" t="s">
        <v>7265</v>
      </c>
      <c r="D1952" s="656" t="s">
        <v>406</v>
      </c>
      <c r="E1952" s="534">
        <v>627.45000600000003</v>
      </c>
    </row>
    <row r="1953" spans="2:5" x14ac:dyDescent="0.2">
      <c r="B1953" s="533">
        <v>2244</v>
      </c>
      <c r="C1953" s="541" t="s">
        <v>5044</v>
      </c>
      <c r="D1953" s="656" t="s">
        <v>406</v>
      </c>
      <c r="E1953" s="534">
        <v>828.60000200000002</v>
      </c>
    </row>
    <row r="1954" spans="2:5" x14ac:dyDescent="0.2">
      <c r="B1954" s="533">
        <v>2245</v>
      </c>
      <c r="C1954" s="541" t="s">
        <v>1881</v>
      </c>
      <c r="D1954" s="656" t="s">
        <v>406</v>
      </c>
      <c r="E1954" s="534">
        <v>639.52499399999999</v>
      </c>
    </row>
    <row r="1955" spans="2:5" x14ac:dyDescent="0.2">
      <c r="B1955" s="533">
        <v>2246</v>
      </c>
      <c r="C1955" s="541" t="s">
        <v>1076</v>
      </c>
      <c r="D1955" s="656" t="s">
        <v>438</v>
      </c>
      <c r="E1955" s="534">
        <v>596.33331299999998</v>
      </c>
    </row>
    <row r="1956" spans="2:5" x14ac:dyDescent="0.2">
      <c r="B1956" s="533">
        <v>2247</v>
      </c>
      <c r="C1956" s="541" t="s">
        <v>5293</v>
      </c>
      <c r="D1956" s="656" t="s">
        <v>406</v>
      </c>
      <c r="E1956" s="534">
        <v>862.27499399999999</v>
      </c>
    </row>
    <row r="1957" spans="2:5" x14ac:dyDescent="0.2">
      <c r="B1957" s="533">
        <v>2248</v>
      </c>
      <c r="C1957" s="541" t="s">
        <v>691</v>
      </c>
      <c r="D1957" s="656" t="s">
        <v>406</v>
      </c>
      <c r="E1957" s="534">
        <v>607.88000499999998</v>
      </c>
    </row>
    <row r="1958" spans="2:5" x14ac:dyDescent="0.2">
      <c r="B1958" s="533">
        <v>2249</v>
      </c>
      <c r="C1958" s="541" t="s">
        <v>2175</v>
      </c>
      <c r="D1958" s="656" t="s">
        <v>406</v>
      </c>
      <c r="E1958" s="534">
        <v>652.29998799999998</v>
      </c>
    </row>
    <row r="1959" spans="2:5" x14ac:dyDescent="0.2">
      <c r="B1959" s="533">
        <v>2250</v>
      </c>
      <c r="C1959" s="541" t="s">
        <v>1655</v>
      </c>
      <c r="D1959" s="656" t="s">
        <v>406</v>
      </c>
      <c r="E1959" s="534">
        <v>630.45999099999995</v>
      </c>
    </row>
    <row r="1960" spans="2:5" x14ac:dyDescent="0.2">
      <c r="B1960" s="533">
        <v>2251</v>
      </c>
      <c r="C1960" s="541" t="s">
        <v>2976</v>
      </c>
      <c r="D1960" s="656" t="s">
        <v>406</v>
      </c>
      <c r="E1960" s="534">
        <v>689.81428700000004</v>
      </c>
    </row>
    <row r="1961" spans="2:5" x14ac:dyDescent="0.2">
      <c r="B1961" s="533">
        <v>2252</v>
      </c>
      <c r="C1961" s="541" t="s">
        <v>1063</v>
      </c>
      <c r="D1961" s="656" t="s">
        <v>438</v>
      </c>
      <c r="E1961" s="534">
        <v>595.64999399999999</v>
      </c>
    </row>
    <row r="1962" spans="2:5" x14ac:dyDescent="0.2">
      <c r="B1962" s="533">
        <v>2253</v>
      </c>
      <c r="C1962" s="541" t="s">
        <v>1137</v>
      </c>
      <c r="D1962" s="656" t="s">
        <v>438</v>
      </c>
      <c r="E1962" s="534">
        <v>600.52499399999999</v>
      </c>
    </row>
    <row r="1963" spans="2:5" x14ac:dyDescent="0.2">
      <c r="B1963" s="533">
        <v>2254</v>
      </c>
      <c r="C1963" s="541" t="s">
        <v>7309</v>
      </c>
      <c r="D1963" s="656" t="s">
        <v>406</v>
      </c>
      <c r="E1963" s="534">
        <v>654.45001200000002</v>
      </c>
    </row>
    <row r="1964" spans="2:5" x14ac:dyDescent="0.2">
      <c r="B1964" s="533">
        <v>2255</v>
      </c>
      <c r="C1964" s="541" t="s">
        <v>1057</v>
      </c>
      <c r="D1964" s="656" t="s">
        <v>406</v>
      </c>
      <c r="E1964" s="534">
        <v>595.15455199999997</v>
      </c>
    </row>
    <row r="1965" spans="2:5" x14ac:dyDescent="0.2">
      <c r="B1965" s="533">
        <v>2256</v>
      </c>
      <c r="C1965" s="541" t="s">
        <v>2080</v>
      </c>
      <c r="D1965" s="656" t="s">
        <v>406</v>
      </c>
      <c r="E1965" s="534">
        <v>803.19166600000005</v>
      </c>
    </row>
    <row r="1966" spans="2:5" x14ac:dyDescent="0.2">
      <c r="B1966" s="533">
        <v>2257</v>
      </c>
      <c r="C1966" s="541" t="s">
        <v>2577</v>
      </c>
      <c r="D1966" s="656" t="s">
        <v>406</v>
      </c>
      <c r="E1966" s="534">
        <v>669.95001200000002</v>
      </c>
    </row>
    <row r="1967" spans="2:5" x14ac:dyDescent="0.2">
      <c r="B1967" s="533">
        <v>2258</v>
      </c>
      <c r="C1967" s="541" t="s">
        <v>1962</v>
      </c>
      <c r="D1967" s="656" t="s">
        <v>406</v>
      </c>
      <c r="E1967" s="534">
        <v>642.38000499999998</v>
      </c>
    </row>
    <row r="1968" spans="2:5" x14ac:dyDescent="0.2">
      <c r="B1968" s="533">
        <v>2259</v>
      </c>
      <c r="C1968" s="541" t="s">
        <v>2246</v>
      </c>
      <c r="D1968" s="656" t="s">
        <v>438</v>
      </c>
      <c r="E1968" s="534">
        <v>655.52499399999999</v>
      </c>
    </row>
    <row r="1969" spans="2:5" x14ac:dyDescent="0.2">
      <c r="B1969" s="533">
        <v>2260</v>
      </c>
      <c r="C1969" s="541" t="s">
        <v>1322</v>
      </c>
      <c r="D1969" s="656" t="s">
        <v>406</v>
      </c>
      <c r="E1969" s="534">
        <v>611.35454200000004</v>
      </c>
    </row>
    <row r="1970" spans="2:5" x14ac:dyDescent="0.2">
      <c r="B1970" s="533">
        <v>2261</v>
      </c>
      <c r="C1970" s="541" t="s">
        <v>1592</v>
      </c>
      <c r="D1970" s="656" t="s">
        <v>438</v>
      </c>
      <c r="E1970" s="534">
        <v>626.51428199999998</v>
      </c>
    </row>
    <row r="1971" spans="2:5" x14ac:dyDescent="0.2">
      <c r="B1971" s="533">
        <v>2262</v>
      </c>
      <c r="C1971" s="541" t="s">
        <v>1939</v>
      </c>
      <c r="D1971" s="656" t="s">
        <v>406</v>
      </c>
      <c r="E1971" s="534">
        <v>641.68001700000002</v>
      </c>
    </row>
    <row r="1972" spans="2:5" x14ac:dyDescent="0.2">
      <c r="B1972" s="533">
        <v>2263</v>
      </c>
      <c r="C1972" s="541" t="s">
        <v>1618</v>
      </c>
      <c r="D1972" s="656" t="s">
        <v>406</v>
      </c>
      <c r="E1972" s="534">
        <v>627.85000600000001</v>
      </c>
    </row>
    <row r="1973" spans="2:5" x14ac:dyDescent="0.2">
      <c r="B1973" s="533">
        <v>2264</v>
      </c>
      <c r="C1973" s="541" t="s">
        <v>1913</v>
      </c>
      <c r="D1973" s="656" t="s">
        <v>406</v>
      </c>
      <c r="E1973" s="534">
        <v>641.01666299999999</v>
      </c>
    </row>
    <row r="1974" spans="2:5" x14ac:dyDescent="0.2">
      <c r="B1974" s="533">
        <v>2265</v>
      </c>
      <c r="C1974" s="541" t="s">
        <v>1411</v>
      </c>
      <c r="D1974" s="656" t="s">
        <v>438</v>
      </c>
      <c r="E1974" s="534">
        <v>616.44000200000005</v>
      </c>
    </row>
    <row r="1975" spans="2:5" x14ac:dyDescent="0.2">
      <c r="B1975" s="533">
        <v>2266</v>
      </c>
      <c r="C1975" s="541" t="s">
        <v>2565</v>
      </c>
      <c r="D1975" s="656" t="s">
        <v>438</v>
      </c>
      <c r="E1975" s="534">
        <v>669.30001800000002</v>
      </c>
    </row>
    <row r="1976" spans="2:5" x14ac:dyDescent="0.2">
      <c r="B1976" s="533">
        <v>2267</v>
      </c>
      <c r="C1976" s="541" t="s">
        <v>817</v>
      </c>
      <c r="D1976" s="656" t="s">
        <v>406</v>
      </c>
      <c r="E1976" s="534">
        <v>648.389996</v>
      </c>
    </row>
    <row r="1977" spans="2:5" x14ac:dyDescent="0.2">
      <c r="B1977" s="533">
        <v>2268</v>
      </c>
      <c r="C1977" s="541" t="s">
        <v>1957</v>
      </c>
      <c r="D1977" s="656" t="s">
        <v>406</v>
      </c>
      <c r="E1977" s="534">
        <v>642.20001200000002</v>
      </c>
    </row>
    <row r="1978" spans="2:5" x14ac:dyDescent="0.2">
      <c r="B1978" s="533">
        <v>2269</v>
      </c>
      <c r="C1978" s="541" t="s">
        <v>1535</v>
      </c>
      <c r="D1978" s="656" t="s">
        <v>438</v>
      </c>
      <c r="E1978" s="534">
        <v>623.29998799999998</v>
      </c>
    </row>
    <row r="1979" spans="2:5" x14ac:dyDescent="0.2">
      <c r="B1979" s="533">
        <v>2270</v>
      </c>
      <c r="C1979" s="541" t="s">
        <v>7345</v>
      </c>
      <c r="D1979" s="656" t="s">
        <v>406</v>
      </c>
      <c r="E1979" s="534">
        <v>623.32000700000003</v>
      </c>
    </row>
    <row r="1980" spans="2:5" x14ac:dyDescent="0.2">
      <c r="B1980" s="533">
        <v>2271</v>
      </c>
      <c r="C1980" s="541" t="s">
        <v>3471</v>
      </c>
      <c r="D1980" s="656" t="s">
        <v>406</v>
      </c>
      <c r="E1980" s="534">
        <v>715.01999499999999</v>
      </c>
    </row>
    <row r="1981" spans="2:5" x14ac:dyDescent="0.2">
      <c r="B1981" s="533">
        <v>2272</v>
      </c>
      <c r="C1981" s="541" t="s">
        <v>7370</v>
      </c>
      <c r="D1981" s="656" t="s">
        <v>406</v>
      </c>
      <c r="E1981" s="534">
        <v>616.93335000000002</v>
      </c>
    </row>
    <row r="1982" spans="2:5" x14ac:dyDescent="0.2">
      <c r="B1982" s="533">
        <v>2273</v>
      </c>
      <c r="C1982" s="541" t="s">
        <v>2036</v>
      </c>
      <c r="D1982" s="656" t="s">
        <v>406</v>
      </c>
      <c r="E1982" s="534">
        <v>645.20000300000004</v>
      </c>
    </row>
    <row r="1983" spans="2:5" x14ac:dyDescent="0.2">
      <c r="B1983" s="533">
        <v>2274</v>
      </c>
      <c r="C1983" s="541" t="s">
        <v>2021</v>
      </c>
      <c r="D1983" s="656" t="s">
        <v>438</v>
      </c>
      <c r="E1983" s="534">
        <v>644.25</v>
      </c>
    </row>
    <row r="1984" spans="2:5" x14ac:dyDescent="0.2">
      <c r="B1984" s="533">
        <v>2275</v>
      </c>
      <c r="C1984" s="541" t="s">
        <v>1172</v>
      </c>
      <c r="D1984" s="656" t="s">
        <v>406</v>
      </c>
      <c r="E1984" s="534">
        <v>603.10000200000002</v>
      </c>
    </row>
    <row r="1985" spans="2:5" x14ac:dyDescent="0.2">
      <c r="B1985" s="533">
        <v>2276</v>
      </c>
      <c r="C1985" s="541" t="s">
        <v>1461</v>
      </c>
      <c r="D1985" s="656" t="s">
        <v>406</v>
      </c>
      <c r="E1985" s="534">
        <v>618.75</v>
      </c>
    </row>
    <row r="1986" spans="2:5" x14ac:dyDescent="0.2">
      <c r="B1986" s="533">
        <v>2277</v>
      </c>
      <c r="C1986" s="541" t="s">
        <v>2513</v>
      </c>
      <c r="D1986" s="656" t="s">
        <v>406</v>
      </c>
      <c r="E1986" s="534">
        <v>666.90000399999997</v>
      </c>
    </row>
    <row r="1987" spans="2:5" x14ac:dyDescent="0.2">
      <c r="B1987" s="533">
        <v>2278</v>
      </c>
      <c r="C1987" s="541" t="s">
        <v>2805</v>
      </c>
      <c r="D1987" s="656" t="s">
        <v>406</v>
      </c>
      <c r="E1987" s="534">
        <v>681.84997599999997</v>
      </c>
    </row>
    <row r="1988" spans="2:5" x14ac:dyDescent="0.2">
      <c r="B1988" s="533">
        <v>2279</v>
      </c>
      <c r="C1988" s="541" t="s">
        <v>4121</v>
      </c>
      <c r="D1988" s="656" t="s">
        <v>406</v>
      </c>
      <c r="E1988" s="534">
        <v>752.44286199999999</v>
      </c>
    </row>
    <row r="1989" spans="2:5" x14ac:dyDescent="0.2">
      <c r="B1989" s="533">
        <v>2280</v>
      </c>
      <c r="C1989" s="541" t="s">
        <v>6602</v>
      </c>
      <c r="D1989" s="656" t="s">
        <v>406</v>
      </c>
      <c r="E1989" s="534">
        <v>622.01667299999997</v>
      </c>
    </row>
    <row r="1990" spans="2:5" x14ac:dyDescent="0.2">
      <c r="B1990" s="533">
        <v>2281</v>
      </c>
      <c r="C1990" s="541" t="s">
        <v>6502</v>
      </c>
      <c r="D1990" s="656" t="s">
        <v>406</v>
      </c>
      <c r="E1990" s="534">
        <v>658.29999499999997</v>
      </c>
    </row>
    <row r="1991" spans="2:5" x14ac:dyDescent="0.2">
      <c r="B1991" s="533">
        <v>2282</v>
      </c>
      <c r="C1991" s="541" t="s">
        <v>6919</v>
      </c>
      <c r="D1991" s="656" t="s">
        <v>406</v>
      </c>
      <c r="E1991" s="534">
        <v>639.61764700000003</v>
      </c>
    </row>
    <row r="1992" spans="2:5" x14ac:dyDescent="0.2">
      <c r="B1992" s="533">
        <v>2283</v>
      </c>
      <c r="C1992" s="541" t="s">
        <v>2217</v>
      </c>
      <c r="D1992" s="656" t="s">
        <v>406</v>
      </c>
      <c r="E1992" s="534">
        <v>654.20001200000002</v>
      </c>
    </row>
    <row r="1993" spans="2:5" x14ac:dyDescent="0.2">
      <c r="B1993" s="533">
        <v>2284</v>
      </c>
      <c r="C1993" s="541" t="s">
        <v>2017</v>
      </c>
      <c r="D1993" s="656" t="s">
        <v>406</v>
      </c>
      <c r="E1993" s="534">
        <v>644.14999399999999</v>
      </c>
    </row>
    <row r="1994" spans="2:5" x14ac:dyDescent="0.2">
      <c r="B1994" s="533">
        <v>2285</v>
      </c>
      <c r="C1994" s="541" t="s">
        <v>2445</v>
      </c>
      <c r="D1994" s="656" t="s">
        <v>406</v>
      </c>
      <c r="E1994" s="534">
        <v>664.25</v>
      </c>
    </row>
    <row r="1995" spans="2:5" x14ac:dyDescent="0.2">
      <c r="B1995" s="533">
        <v>2286</v>
      </c>
      <c r="C1995" s="541" t="s">
        <v>1431</v>
      </c>
      <c r="D1995" s="656" t="s">
        <v>438</v>
      </c>
      <c r="E1995" s="534">
        <v>617.19999199999995</v>
      </c>
    </row>
    <row r="1996" spans="2:5" x14ac:dyDescent="0.2">
      <c r="B1996" s="533">
        <v>2287</v>
      </c>
      <c r="C1996" s="541" t="s">
        <v>7460</v>
      </c>
      <c r="D1996" s="656" t="s">
        <v>406</v>
      </c>
      <c r="E1996" s="534">
        <v>633.22500600000001</v>
      </c>
    </row>
    <row r="1997" spans="2:5" x14ac:dyDescent="0.2">
      <c r="B1997" s="533">
        <v>2288</v>
      </c>
      <c r="C1997" s="541" t="s">
        <v>4979</v>
      </c>
      <c r="D1997" s="656" t="s">
        <v>406</v>
      </c>
      <c r="E1997" s="534">
        <v>821.09999400000004</v>
      </c>
    </row>
    <row r="1998" spans="2:5" x14ac:dyDescent="0.2">
      <c r="B1998" s="533">
        <v>2289</v>
      </c>
      <c r="C1998" s="541" t="s">
        <v>3687</v>
      </c>
      <c r="D1998" s="656" t="s">
        <v>406</v>
      </c>
      <c r="E1998" s="534">
        <v>726.93332899999996</v>
      </c>
    </row>
    <row r="1999" spans="2:5" x14ac:dyDescent="0.2">
      <c r="B1999" s="533">
        <v>2290</v>
      </c>
      <c r="C1999" s="541" t="s">
        <v>2560</v>
      </c>
      <c r="D1999" s="656" t="s">
        <v>406</v>
      </c>
      <c r="E1999" s="534">
        <v>746.74999200000002</v>
      </c>
    </row>
    <row r="2000" spans="2:5" x14ac:dyDescent="0.2">
      <c r="B2000" s="533">
        <v>2291</v>
      </c>
      <c r="C2000" s="541" t="s">
        <v>1144</v>
      </c>
      <c r="D2000" s="656" t="s">
        <v>406</v>
      </c>
      <c r="E2000" s="534">
        <v>601.24286800000004</v>
      </c>
    </row>
    <row r="2001" spans="2:5" x14ac:dyDescent="0.2">
      <c r="B2001" s="533">
        <v>2292</v>
      </c>
      <c r="C2001" s="541" t="s">
        <v>1818</v>
      </c>
      <c r="D2001" s="656" t="s">
        <v>406</v>
      </c>
      <c r="E2001" s="534">
        <v>636.94000200000005</v>
      </c>
    </row>
    <row r="2002" spans="2:5" x14ac:dyDescent="0.2">
      <c r="B2002" s="533">
        <v>2293</v>
      </c>
      <c r="C2002" s="541" t="s">
        <v>1813</v>
      </c>
      <c r="D2002" s="656" t="s">
        <v>406</v>
      </c>
      <c r="E2002" s="534">
        <v>636.79999699999996</v>
      </c>
    </row>
    <row r="2003" spans="2:5" x14ac:dyDescent="0.2">
      <c r="B2003" s="533">
        <v>2294</v>
      </c>
      <c r="C2003" s="541" t="s">
        <v>2860</v>
      </c>
      <c r="D2003" s="656" t="s">
        <v>406</v>
      </c>
      <c r="E2003" s="534">
        <v>774.20833300000004</v>
      </c>
    </row>
    <row r="2004" spans="2:5" x14ac:dyDescent="0.2">
      <c r="B2004" s="533">
        <v>2295</v>
      </c>
      <c r="C2004" s="541" t="s">
        <v>1756</v>
      </c>
      <c r="D2004" s="656" t="s">
        <v>406</v>
      </c>
      <c r="E2004" s="534">
        <v>634.70001200000002</v>
      </c>
    </row>
    <row r="2005" spans="2:5" x14ac:dyDescent="0.2">
      <c r="B2005" s="533">
        <v>2296</v>
      </c>
      <c r="C2005" s="541" t="s">
        <v>1314</v>
      </c>
      <c r="D2005" s="656" t="s">
        <v>406</v>
      </c>
      <c r="E2005" s="534">
        <v>611.03333899999996</v>
      </c>
    </row>
    <row r="2006" spans="2:5" x14ac:dyDescent="0.2">
      <c r="B2006" s="533">
        <v>2297</v>
      </c>
      <c r="C2006" s="541" t="s">
        <v>2532</v>
      </c>
      <c r="D2006" s="656" t="s">
        <v>406</v>
      </c>
      <c r="E2006" s="534">
        <v>668.15001400000006</v>
      </c>
    </row>
    <row r="2007" spans="2:5" x14ac:dyDescent="0.2">
      <c r="B2007" s="533">
        <v>2298</v>
      </c>
      <c r="C2007" s="541" t="s">
        <v>7486</v>
      </c>
      <c r="D2007" s="656" t="s">
        <v>406</v>
      </c>
      <c r="E2007" s="534">
        <v>614.30000800000005</v>
      </c>
    </row>
    <row r="2008" spans="2:5" x14ac:dyDescent="0.2">
      <c r="B2008" s="533">
        <v>2299</v>
      </c>
      <c r="C2008" s="541" t="s">
        <v>1442</v>
      </c>
      <c r="D2008" s="656" t="s">
        <v>406</v>
      </c>
      <c r="E2008" s="534">
        <v>617.75454400000001</v>
      </c>
    </row>
    <row r="2009" spans="2:5" x14ac:dyDescent="0.2">
      <c r="B2009" s="533">
        <v>2300</v>
      </c>
      <c r="C2009" s="541" t="s">
        <v>7492</v>
      </c>
      <c r="D2009" s="656" t="s">
        <v>406</v>
      </c>
      <c r="E2009" s="534">
        <v>682.89999399999999</v>
      </c>
    </row>
    <row r="2010" spans="2:5" x14ac:dyDescent="0.2">
      <c r="B2010" s="533">
        <v>2301</v>
      </c>
      <c r="C2010" s="541" t="s">
        <v>7493</v>
      </c>
      <c r="D2010" s="656" t="s">
        <v>406</v>
      </c>
      <c r="E2010" s="534">
        <v>851.68333900000005</v>
      </c>
    </row>
    <row r="2011" spans="2:5" x14ac:dyDescent="0.2">
      <c r="B2011" s="533">
        <v>2302</v>
      </c>
      <c r="C2011" s="541" t="s">
        <v>5309</v>
      </c>
      <c r="D2011" s="656" t="s">
        <v>406</v>
      </c>
      <c r="E2011" s="534">
        <v>865.42498799999998</v>
      </c>
    </row>
    <row r="2012" spans="2:5" x14ac:dyDescent="0.2">
      <c r="B2012" s="533">
        <v>2303</v>
      </c>
      <c r="C2012" s="541" t="s">
        <v>7507</v>
      </c>
      <c r="D2012" s="656" t="s">
        <v>406</v>
      </c>
      <c r="E2012" s="534">
        <v>623.870001</v>
      </c>
    </row>
    <row r="2013" spans="2:5" x14ac:dyDescent="0.2">
      <c r="B2013" s="533">
        <v>2304</v>
      </c>
      <c r="C2013" s="541" t="s">
        <v>4892</v>
      </c>
      <c r="D2013" s="656" t="s">
        <v>406</v>
      </c>
      <c r="E2013" s="534">
        <v>812.29999699999996</v>
      </c>
    </row>
    <row r="2014" spans="2:5" x14ac:dyDescent="0.2">
      <c r="B2014" s="533">
        <v>2305</v>
      </c>
      <c r="C2014" s="541" t="s">
        <v>7511</v>
      </c>
      <c r="D2014" s="656" t="s">
        <v>406</v>
      </c>
      <c r="E2014" s="534">
        <v>810.78000499999996</v>
      </c>
    </row>
    <row r="2015" spans="2:5" x14ac:dyDescent="0.2">
      <c r="B2015" s="533">
        <v>2306</v>
      </c>
      <c r="C2015" s="541" t="s">
        <v>7512</v>
      </c>
      <c r="D2015" s="656" t="s">
        <v>406</v>
      </c>
      <c r="E2015" s="534">
        <v>846.92498799999998</v>
      </c>
    </row>
    <row r="2016" spans="2:5" x14ac:dyDescent="0.2">
      <c r="B2016" s="533">
        <v>2307</v>
      </c>
      <c r="C2016" s="541" t="s">
        <v>1914</v>
      </c>
      <c r="D2016" s="656" t="s">
        <v>406</v>
      </c>
      <c r="E2016" s="534">
        <v>641.02499399999999</v>
      </c>
    </row>
    <row r="2017" spans="2:5" x14ac:dyDescent="0.2">
      <c r="B2017" s="533">
        <v>2308</v>
      </c>
      <c r="C2017" s="541" t="s">
        <v>5153</v>
      </c>
      <c r="D2017" s="656" t="s">
        <v>406</v>
      </c>
      <c r="E2017" s="534">
        <v>853.90001199999995</v>
      </c>
    </row>
    <row r="2018" spans="2:5" x14ac:dyDescent="0.2">
      <c r="B2018" s="533">
        <v>2309</v>
      </c>
      <c r="C2018" s="541" t="s">
        <v>1207</v>
      </c>
      <c r="D2018" s="656" t="s">
        <v>438</v>
      </c>
      <c r="E2018" s="534">
        <v>604.94999700000005</v>
      </c>
    </row>
    <row r="2019" spans="2:5" x14ac:dyDescent="0.2">
      <c r="B2019" s="533">
        <v>2310</v>
      </c>
      <c r="C2019" s="541" t="s">
        <v>1851</v>
      </c>
      <c r="D2019" s="656" t="s">
        <v>406</v>
      </c>
      <c r="E2019" s="534">
        <v>638.36000999999999</v>
      </c>
    </row>
    <row r="2020" spans="2:5" x14ac:dyDescent="0.2">
      <c r="B2020" s="533">
        <v>2311</v>
      </c>
      <c r="C2020" s="541" t="s">
        <v>4344</v>
      </c>
      <c r="D2020" s="656" t="s">
        <v>406</v>
      </c>
      <c r="E2020" s="534">
        <v>768.35000600000001</v>
      </c>
    </row>
    <row r="2021" spans="2:5" x14ac:dyDescent="0.2">
      <c r="B2021" s="533">
        <v>2312</v>
      </c>
      <c r="C2021" s="541" t="s">
        <v>1519</v>
      </c>
      <c r="D2021" s="656" t="s">
        <v>406</v>
      </c>
      <c r="E2021" s="534">
        <v>621.92500299999995</v>
      </c>
    </row>
    <row r="2022" spans="2:5" x14ac:dyDescent="0.2">
      <c r="B2022" s="533">
        <v>2313</v>
      </c>
      <c r="C2022" s="541" t="s">
        <v>1567</v>
      </c>
      <c r="D2022" s="656" t="s">
        <v>406</v>
      </c>
      <c r="E2022" s="534">
        <v>625.05714599999999</v>
      </c>
    </row>
    <row r="2023" spans="2:5" x14ac:dyDescent="0.2">
      <c r="B2023" s="533">
        <v>2314</v>
      </c>
      <c r="C2023" s="541" t="s">
        <v>7532</v>
      </c>
      <c r="D2023" s="656" t="s">
        <v>406</v>
      </c>
      <c r="E2023" s="534">
        <v>658.19998199999998</v>
      </c>
    </row>
    <row r="2024" spans="2:5" x14ac:dyDescent="0.2">
      <c r="B2024" s="533">
        <v>2315</v>
      </c>
      <c r="C2024" s="541" t="s">
        <v>1332</v>
      </c>
      <c r="D2024" s="656" t="s">
        <v>406</v>
      </c>
      <c r="E2024" s="534">
        <v>612.0625</v>
      </c>
    </row>
    <row r="2025" spans="2:5" x14ac:dyDescent="0.2">
      <c r="B2025" s="533">
        <v>2316</v>
      </c>
      <c r="C2025" s="541" t="s">
        <v>1186</v>
      </c>
      <c r="D2025" s="656" t="s">
        <v>406</v>
      </c>
      <c r="E2025" s="534">
        <v>603.55000299999995</v>
      </c>
    </row>
    <row r="2026" spans="2:5" x14ac:dyDescent="0.2">
      <c r="B2026" s="533">
        <v>2317</v>
      </c>
      <c r="C2026" s="541" t="s">
        <v>1807</v>
      </c>
      <c r="D2026" s="656" t="s">
        <v>406</v>
      </c>
      <c r="E2026" s="534">
        <v>636.69999199999995</v>
      </c>
    </row>
    <row r="2027" spans="2:5" x14ac:dyDescent="0.2">
      <c r="B2027" s="533">
        <v>2318</v>
      </c>
      <c r="C2027" s="541" t="s">
        <v>1311</v>
      </c>
      <c r="D2027" s="656" t="s">
        <v>438</v>
      </c>
      <c r="E2027" s="534">
        <v>610.74998500000004</v>
      </c>
    </row>
    <row r="2028" spans="2:5" x14ac:dyDescent="0.2">
      <c r="B2028" s="533">
        <v>2319</v>
      </c>
      <c r="C2028" s="541" t="s">
        <v>942</v>
      </c>
      <c r="D2028" s="656" t="s">
        <v>406</v>
      </c>
      <c r="E2028" s="534">
        <v>613.03333499999997</v>
      </c>
    </row>
    <row r="2029" spans="2:5" x14ac:dyDescent="0.2">
      <c r="B2029" s="533">
        <v>2320</v>
      </c>
      <c r="C2029" s="541" t="s">
        <v>1547</v>
      </c>
      <c r="D2029" s="656" t="s">
        <v>406</v>
      </c>
      <c r="E2029" s="534">
        <v>624.09999100000005</v>
      </c>
    </row>
    <row r="2030" spans="2:5" x14ac:dyDescent="0.2">
      <c r="B2030" s="533">
        <v>2321</v>
      </c>
      <c r="C2030" s="541" t="s">
        <v>1313</v>
      </c>
      <c r="D2030" s="656" t="s">
        <v>438</v>
      </c>
      <c r="E2030" s="534">
        <v>610.875</v>
      </c>
    </row>
    <row r="2031" spans="2:5" x14ac:dyDescent="0.2">
      <c r="B2031" s="533">
        <v>2322</v>
      </c>
      <c r="C2031" s="541" t="s">
        <v>2426</v>
      </c>
      <c r="D2031" s="656" t="s">
        <v>406</v>
      </c>
      <c r="E2031" s="534">
        <v>663.75713699999994</v>
      </c>
    </row>
    <row r="2032" spans="2:5" x14ac:dyDescent="0.2">
      <c r="B2032" s="533">
        <v>2323</v>
      </c>
      <c r="C2032" s="541" t="s">
        <v>2748</v>
      </c>
      <c r="D2032" s="656" t="s">
        <v>406</v>
      </c>
      <c r="E2032" s="534">
        <v>678.66667700000005</v>
      </c>
    </row>
    <row r="2033" spans="2:5" x14ac:dyDescent="0.2">
      <c r="B2033" s="533">
        <v>2324</v>
      </c>
      <c r="C2033" s="541" t="s">
        <v>1472</v>
      </c>
      <c r="D2033" s="656" t="s">
        <v>406</v>
      </c>
      <c r="E2033" s="534">
        <v>619.13750500000003</v>
      </c>
    </row>
    <row r="2034" spans="2:5" x14ac:dyDescent="0.2">
      <c r="B2034" s="533">
        <v>2325</v>
      </c>
      <c r="C2034" s="541" t="s">
        <v>1289</v>
      </c>
      <c r="D2034" s="656" t="s">
        <v>438</v>
      </c>
      <c r="E2034" s="534">
        <v>609.59999600000003</v>
      </c>
    </row>
    <row r="2035" spans="2:5" x14ac:dyDescent="0.2">
      <c r="B2035" s="533">
        <v>2326</v>
      </c>
      <c r="C2035" s="541" t="s">
        <v>4468</v>
      </c>
      <c r="D2035" s="656" t="s">
        <v>406</v>
      </c>
      <c r="E2035" s="534">
        <v>778.56666099999995</v>
      </c>
    </row>
    <row r="2036" spans="2:5" x14ac:dyDescent="0.2">
      <c r="B2036" s="533">
        <v>2327</v>
      </c>
      <c r="C2036" s="541" t="s">
        <v>1554</v>
      </c>
      <c r="D2036" s="656" t="s">
        <v>406</v>
      </c>
      <c r="E2036" s="534">
        <v>624.385716</v>
      </c>
    </row>
    <row r="2037" spans="2:5" x14ac:dyDescent="0.2">
      <c r="B2037" s="533">
        <v>2328</v>
      </c>
      <c r="C2037" s="541" t="s">
        <v>2050</v>
      </c>
      <c r="D2037" s="656" t="s">
        <v>438</v>
      </c>
      <c r="E2037" s="534">
        <v>645.90002400000003</v>
      </c>
    </row>
    <row r="2038" spans="2:5" x14ac:dyDescent="0.2">
      <c r="B2038" s="533">
        <v>2329</v>
      </c>
      <c r="C2038" s="541" t="s">
        <v>1902</v>
      </c>
      <c r="D2038" s="656" t="s">
        <v>406</v>
      </c>
      <c r="E2038" s="534">
        <v>640.46250199999997</v>
      </c>
    </row>
    <row r="2039" spans="2:5" x14ac:dyDescent="0.2">
      <c r="B2039" s="533">
        <v>2330</v>
      </c>
      <c r="C2039" s="541" t="s">
        <v>1795</v>
      </c>
      <c r="D2039" s="656" t="s">
        <v>438</v>
      </c>
      <c r="E2039" s="534">
        <v>636.21999500000004</v>
      </c>
    </row>
    <row r="2040" spans="2:5" x14ac:dyDescent="0.2">
      <c r="B2040" s="533">
        <v>2331</v>
      </c>
      <c r="C2040" s="541" t="s">
        <v>4268</v>
      </c>
      <c r="D2040" s="656" t="s">
        <v>406</v>
      </c>
      <c r="E2040" s="534">
        <v>763.29999899999996</v>
      </c>
    </row>
    <row r="2041" spans="2:5" x14ac:dyDescent="0.2">
      <c r="B2041" s="533">
        <v>2332</v>
      </c>
      <c r="C2041" s="541" t="s">
        <v>1569</v>
      </c>
      <c r="D2041" s="656" t="s">
        <v>406</v>
      </c>
      <c r="E2041" s="534">
        <v>625.25</v>
      </c>
    </row>
    <row r="2042" spans="2:5" x14ac:dyDescent="0.2">
      <c r="B2042" s="533">
        <v>2333</v>
      </c>
      <c r="C2042" s="541" t="s">
        <v>3679</v>
      </c>
      <c r="D2042" s="656" t="s">
        <v>406</v>
      </c>
      <c r="E2042" s="534">
        <v>726.52000699999996</v>
      </c>
    </row>
    <row r="2043" spans="2:5" x14ac:dyDescent="0.2">
      <c r="B2043" s="533">
        <v>2334</v>
      </c>
      <c r="C2043" s="541" t="s">
        <v>6694</v>
      </c>
      <c r="D2043" s="656" t="s">
        <v>438</v>
      </c>
      <c r="E2043" s="534">
        <v>722.59997599999997</v>
      </c>
    </row>
    <row r="2044" spans="2:5" x14ac:dyDescent="0.2">
      <c r="B2044" s="533">
        <v>2335</v>
      </c>
      <c r="C2044" s="541" t="s">
        <v>2627</v>
      </c>
      <c r="D2044" s="656" t="s">
        <v>438</v>
      </c>
      <c r="E2044" s="534">
        <v>673.23331700000006</v>
      </c>
    </row>
    <row r="2045" spans="2:5" x14ac:dyDescent="0.2">
      <c r="B2045" s="533">
        <v>2336</v>
      </c>
      <c r="C2045" s="541" t="s">
        <v>1340</v>
      </c>
      <c r="D2045" s="656" t="s">
        <v>406</v>
      </c>
      <c r="E2045" s="534">
        <v>612.39998400000002</v>
      </c>
    </row>
    <row r="2046" spans="2:5" x14ac:dyDescent="0.2">
      <c r="B2046" s="533">
        <v>2337</v>
      </c>
      <c r="C2046" s="541" t="s">
        <v>1701</v>
      </c>
      <c r="D2046" s="656" t="s">
        <v>406</v>
      </c>
      <c r="E2046" s="534">
        <v>632.65999799999997</v>
      </c>
    </row>
    <row r="2047" spans="2:5" x14ac:dyDescent="0.2">
      <c r="B2047" s="533">
        <v>2338</v>
      </c>
      <c r="C2047" s="541" t="s">
        <v>2040</v>
      </c>
      <c r="D2047" s="656" t="s">
        <v>406</v>
      </c>
      <c r="E2047" s="534">
        <v>645.46667500000001</v>
      </c>
    </row>
    <row r="2048" spans="2:5" x14ac:dyDescent="0.2">
      <c r="B2048" s="533">
        <v>2339</v>
      </c>
      <c r="C2048" s="541" t="s">
        <v>2464</v>
      </c>
      <c r="D2048" s="656" t="s">
        <v>406</v>
      </c>
      <c r="E2048" s="534">
        <v>664.85000600000001</v>
      </c>
    </row>
    <row r="2049" spans="2:5" x14ac:dyDescent="0.2">
      <c r="B2049" s="533">
        <v>2340</v>
      </c>
      <c r="C2049" s="541" t="s">
        <v>7595</v>
      </c>
      <c r="D2049" s="656" t="s">
        <v>406</v>
      </c>
      <c r="E2049" s="534">
        <v>751.81999499999995</v>
      </c>
    </row>
    <row r="2050" spans="2:5" x14ac:dyDescent="0.2">
      <c r="B2050" s="533">
        <v>2341</v>
      </c>
      <c r="C2050" s="541" t="s">
        <v>7613</v>
      </c>
      <c r="D2050" s="656" t="s">
        <v>406</v>
      </c>
      <c r="E2050" s="534">
        <v>714.13751200000002</v>
      </c>
    </row>
    <row r="2051" spans="2:5" x14ac:dyDescent="0.2">
      <c r="B2051" s="533">
        <v>2342</v>
      </c>
      <c r="C2051" s="541" t="s">
        <v>7619</v>
      </c>
      <c r="D2051" s="656" t="s">
        <v>438</v>
      </c>
      <c r="E2051" s="534">
        <v>677.90002400000003</v>
      </c>
    </row>
    <row r="2052" spans="2:5" x14ac:dyDescent="0.2">
      <c r="B2052" s="533">
        <v>2343</v>
      </c>
      <c r="C2052" s="541" t="s">
        <v>1583</v>
      </c>
      <c r="D2052" s="656" t="s">
        <v>406</v>
      </c>
      <c r="E2052" s="534">
        <v>626.04000199999996</v>
      </c>
    </row>
    <row r="2053" spans="2:5" x14ac:dyDescent="0.2">
      <c r="B2053" s="533">
        <v>2344</v>
      </c>
      <c r="C2053" s="541" t="s">
        <v>2340</v>
      </c>
      <c r="D2053" s="656" t="s">
        <v>406</v>
      </c>
      <c r="E2053" s="534">
        <v>659.56667100000004</v>
      </c>
    </row>
    <row r="2054" spans="2:5" x14ac:dyDescent="0.2">
      <c r="B2054" s="533">
        <v>2345</v>
      </c>
      <c r="C2054" s="541" t="s">
        <v>4194</v>
      </c>
      <c r="D2054" s="656" t="s">
        <v>406</v>
      </c>
      <c r="E2054" s="534">
        <v>757.90000399999997</v>
      </c>
    </row>
    <row r="2055" spans="2:5" x14ac:dyDescent="0.2">
      <c r="B2055" s="533">
        <v>2346</v>
      </c>
      <c r="C2055" s="541" t="s">
        <v>2169</v>
      </c>
      <c r="D2055" s="656" t="s">
        <v>406</v>
      </c>
      <c r="E2055" s="534">
        <v>652.125</v>
      </c>
    </row>
    <row r="2056" spans="2:5" x14ac:dyDescent="0.2">
      <c r="B2056" s="533">
        <v>2347</v>
      </c>
      <c r="C2056" s="541" t="s">
        <v>2623</v>
      </c>
      <c r="D2056" s="656" t="s">
        <v>406</v>
      </c>
      <c r="E2056" s="534">
        <v>673.03333499999997</v>
      </c>
    </row>
    <row r="2057" spans="2:5" x14ac:dyDescent="0.2">
      <c r="B2057" s="533">
        <v>2348</v>
      </c>
      <c r="C2057" s="541" t="s">
        <v>5435</v>
      </c>
      <c r="D2057" s="656" t="s">
        <v>406</v>
      </c>
      <c r="E2057" s="534">
        <v>886.61999500000002</v>
      </c>
    </row>
    <row r="2058" spans="2:5" x14ac:dyDescent="0.2">
      <c r="B2058" s="533">
        <v>2349</v>
      </c>
      <c r="C2058" s="541" t="s">
        <v>7623</v>
      </c>
      <c r="D2058" s="656" t="s">
        <v>406</v>
      </c>
      <c r="E2058" s="534">
        <v>636.31999499999995</v>
      </c>
    </row>
    <row r="2059" spans="2:5" x14ac:dyDescent="0.2">
      <c r="B2059" s="533">
        <v>2350</v>
      </c>
      <c r="C2059" s="541" t="s">
        <v>7624</v>
      </c>
      <c r="D2059" s="656" t="s">
        <v>406</v>
      </c>
      <c r="E2059" s="534">
        <v>634.53334600000005</v>
      </c>
    </row>
    <row r="2060" spans="2:5" x14ac:dyDescent="0.2">
      <c r="B2060" s="533">
        <v>2351</v>
      </c>
      <c r="C2060" s="541" t="s">
        <v>5318</v>
      </c>
      <c r="D2060" s="656" t="s">
        <v>407</v>
      </c>
      <c r="E2060" s="534">
        <v>867.02499399999999</v>
      </c>
    </row>
    <row r="2061" spans="2:5" x14ac:dyDescent="0.2">
      <c r="B2061" s="533">
        <v>2352</v>
      </c>
      <c r="C2061" s="541" t="s">
        <v>1309</v>
      </c>
      <c r="D2061" s="656" t="s">
        <v>407</v>
      </c>
      <c r="E2061" s="534">
        <v>821.77499399999999</v>
      </c>
    </row>
    <row r="2062" spans="2:5" x14ac:dyDescent="0.2">
      <c r="B2062" s="533">
        <v>2353</v>
      </c>
      <c r="C2062" s="541" t="s">
        <v>5362</v>
      </c>
      <c r="D2062" s="656" t="s">
        <v>407</v>
      </c>
      <c r="E2062" s="534">
        <v>874.05000800000005</v>
      </c>
    </row>
    <row r="2063" spans="2:5" x14ac:dyDescent="0.2">
      <c r="B2063" s="533">
        <v>2354</v>
      </c>
      <c r="C2063" s="541" t="s">
        <v>4866</v>
      </c>
      <c r="D2063" s="656" t="s">
        <v>407</v>
      </c>
      <c r="E2063" s="534">
        <v>809.44998199999998</v>
      </c>
    </row>
    <row r="2064" spans="2:5" x14ac:dyDescent="0.2">
      <c r="B2064" s="533">
        <v>2355</v>
      </c>
      <c r="C2064" s="541" t="s">
        <v>5080</v>
      </c>
      <c r="D2064" s="656" t="s">
        <v>407</v>
      </c>
      <c r="E2064" s="534">
        <v>831.77999299999999</v>
      </c>
    </row>
    <row r="2065" spans="2:5" x14ac:dyDescent="0.2">
      <c r="B2065" s="533">
        <v>2356</v>
      </c>
      <c r="C2065" s="541" t="s">
        <v>5205</v>
      </c>
      <c r="D2065" s="656" t="s">
        <v>407</v>
      </c>
      <c r="E2065" s="534">
        <v>847.47500600000001</v>
      </c>
    </row>
    <row r="2066" spans="2:5" x14ac:dyDescent="0.2">
      <c r="B2066" s="533">
        <v>2357</v>
      </c>
      <c r="C2066" s="541" t="s">
        <v>5518</v>
      </c>
      <c r="D2066" s="656" t="s">
        <v>407</v>
      </c>
      <c r="E2066" s="534">
        <v>900.40000399999997</v>
      </c>
    </row>
    <row r="2067" spans="2:5" x14ac:dyDescent="0.2">
      <c r="B2067" s="533">
        <v>2358</v>
      </c>
      <c r="C2067" s="541" t="s">
        <v>7140</v>
      </c>
      <c r="D2067" s="656" t="s">
        <v>407</v>
      </c>
      <c r="E2067" s="534">
        <v>869.88572499999998</v>
      </c>
    </row>
    <row r="2068" spans="2:5" x14ac:dyDescent="0.2">
      <c r="B2068" s="533">
        <v>2359</v>
      </c>
      <c r="C2068" s="541" t="s">
        <v>6928</v>
      </c>
      <c r="D2068" s="656" t="s">
        <v>407</v>
      </c>
      <c r="E2068" s="534">
        <v>839.09999600000003</v>
      </c>
    </row>
    <row r="2069" spans="2:5" x14ac:dyDescent="0.2">
      <c r="B2069" s="533">
        <v>2360</v>
      </c>
      <c r="C2069" s="541" t="s">
        <v>5526</v>
      </c>
      <c r="D2069" s="656" t="s">
        <v>407</v>
      </c>
      <c r="E2069" s="534">
        <v>901.41817400000002</v>
      </c>
    </row>
    <row r="2070" spans="2:5" x14ac:dyDescent="0.2">
      <c r="B2070" s="533">
        <v>2361</v>
      </c>
      <c r="C2070" s="541" t="s">
        <v>5312</v>
      </c>
      <c r="D2070" s="656" t="s">
        <v>407</v>
      </c>
      <c r="E2070" s="534">
        <v>866.10000600000001</v>
      </c>
    </row>
    <row r="2071" spans="2:5" x14ac:dyDescent="0.2">
      <c r="B2071" s="533">
        <v>2362</v>
      </c>
      <c r="C2071" s="541" t="s">
        <v>5337</v>
      </c>
      <c r="D2071" s="656" t="s">
        <v>407</v>
      </c>
      <c r="E2071" s="534">
        <v>869.94286199999999</v>
      </c>
    </row>
    <row r="2072" spans="2:5" x14ac:dyDescent="0.2">
      <c r="B2072" s="533">
        <v>2363</v>
      </c>
      <c r="C2072" s="541" t="s">
        <v>4810</v>
      </c>
      <c r="D2072" s="656" t="s">
        <v>407</v>
      </c>
      <c r="E2072" s="534">
        <v>804.99999300000002</v>
      </c>
    </row>
    <row r="2073" spans="2:5" x14ac:dyDescent="0.2">
      <c r="B2073" s="533">
        <v>2364</v>
      </c>
      <c r="C2073" s="541" t="s">
        <v>6534</v>
      </c>
      <c r="D2073" s="656" t="s">
        <v>407</v>
      </c>
      <c r="E2073" s="534">
        <v>852.56001000000003</v>
      </c>
    </row>
    <row r="2074" spans="2:5" x14ac:dyDescent="0.2">
      <c r="B2074" s="533">
        <v>2365</v>
      </c>
      <c r="C2074" s="541" t="s">
        <v>4295</v>
      </c>
      <c r="D2074" s="656" t="s">
        <v>407</v>
      </c>
      <c r="E2074" s="534">
        <v>765.06664999999998</v>
      </c>
    </row>
    <row r="2075" spans="2:5" x14ac:dyDescent="0.2">
      <c r="B2075" s="533">
        <v>2366</v>
      </c>
      <c r="C2075" s="541" t="s">
        <v>839</v>
      </c>
      <c r="D2075" s="656" t="s">
        <v>407</v>
      </c>
      <c r="E2075" s="534">
        <v>794.53332499999999</v>
      </c>
    </row>
    <row r="2076" spans="2:5" x14ac:dyDescent="0.2">
      <c r="B2076" s="533">
        <v>2367</v>
      </c>
      <c r="C2076" s="541" t="s">
        <v>6799</v>
      </c>
      <c r="D2076" s="656" t="s">
        <v>407</v>
      </c>
      <c r="E2076" s="534">
        <v>836.29998799999998</v>
      </c>
    </row>
    <row r="2077" spans="2:5" x14ac:dyDescent="0.2">
      <c r="B2077" s="533">
        <v>2368</v>
      </c>
      <c r="C2077" s="541" t="s">
        <v>5576</v>
      </c>
      <c r="D2077" s="656" t="s">
        <v>407</v>
      </c>
      <c r="E2077" s="534">
        <v>909.20001200000002</v>
      </c>
    </row>
    <row r="2078" spans="2:5" x14ac:dyDescent="0.2">
      <c r="B2078" s="533">
        <v>2369</v>
      </c>
      <c r="C2078" s="541" t="s">
        <v>7609</v>
      </c>
      <c r="D2078" s="656" t="s">
        <v>407</v>
      </c>
      <c r="E2078" s="534">
        <v>951.94999700000005</v>
      </c>
    </row>
    <row r="2079" spans="2:5" x14ac:dyDescent="0.2">
      <c r="B2079" s="533">
        <v>2370</v>
      </c>
      <c r="C2079" s="541" t="s">
        <v>6553</v>
      </c>
      <c r="D2079" s="656" t="s">
        <v>407</v>
      </c>
      <c r="E2079" s="534">
        <v>1010.274979</v>
      </c>
    </row>
    <row r="2080" spans="2:5" x14ac:dyDescent="0.2">
      <c r="B2080" s="533">
        <v>2371</v>
      </c>
      <c r="C2080" s="541" t="s">
        <v>6554</v>
      </c>
      <c r="D2080" s="656" t="s">
        <v>407</v>
      </c>
      <c r="E2080" s="534">
        <v>1037.034623</v>
      </c>
    </row>
    <row r="2081" spans="2:5" x14ac:dyDescent="0.2">
      <c r="B2081" s="533">
        <v>2372</v>
      </c>
      <c r="C2081" s="541" t="s">
        <v>6067</v>
      </c>
      <c r="D2081" s="656" t="s">
        <v>407</v>
      </c>
      <c r="E2081" s="534">
        <v>1097.128575</v>
      </c>
    </row>
    <row r="2082" spans="2:5" x14ac:dyDescent="0.2">
      <c r="B2082" s="533">
        <v>2373</v>
      </c>
      <c r="C2082" s="541" t="s">
        <v>4377</v>
      </c>
      <c r="D2082" s="656" t="s">
        <v>407</v>
      </c>
      <c r="E2082" s="534">
        <v>771.22000100000002</v>
      </c>
    </row>
    <row r="2083" spans="2:5" x14ac:dyDescent="0.2">
      <c r="B2083" s="533">
        <v>2374</v>
      </c>
      <c r="C2083" s="541" t="s">
        <v>3877</v>
      </c>
      <c r="D2083" s="656" t="s">
        <v>407</v>
      </c>
      <c r="E2083" s="534">
        <v>737.87999300000001</v>
      </c>
    </row>
    <row r="2084" spans="2:5" x14ac:dyDescent="0.2">
      <c r="B2084" s="533">
        <v>2375</v>
      </c>
      <c r="C2084" s="541" t="s">
        <v>3117</v>
      </c>
      <c r="D2084" s="656" t="s">
        <v>407</v>
      </c>
      <c r="E2084" s="534">
        <v>697.5</v>
      </c>
    </row>
    <row r="2085" spans="2:5" x14ac:dyDescent="0.2">
      <c r="B2085" s="533">
        <v>2376</v>
      </c>
      <c r="C2085" s="541" t="s">
        <v>3378</v>
      </c>
      <c r="D2085" s="656" t="s">
        <v>407</v>
      </c>
      <c r="E2085" s="534">
        <v>710.08181999999999</v>
      </c>
    </row>
    <row r="2086" spans="2:5" x14ac:dyDescent="0.2">
      <c r="B2086" s="533">
        <v>2377</v>
      </c>
      <c r="C2086" s="541" t="s">
        <v>3923</v>
      </c>
      <c r="D2086" s="656" t="s">
        <v>407</v>
      </c>
      <c r="E2086" s="534">
        <v>740.54999299999997</v>
      </c>
    </row>
    <row r="2087" spans="2:5" x14ac:dyDescent="0.2">
      <c r="B2087" s="533">
        <v>2378</v>
      </c>
      <c r="C2087" s="541" t="s">
        <v>4488</v>
      </c>
      <c r="D2087" s="656" t="s">
        <v>407</v>
      </c>
      <c r="E2087" s="534">
        <v>779.90000399999997</v>
      </c>
    </row>
    <row r="2088" spans="2:5" x14ac:dyDescent="0.2">
      <c r="B2088" s="533">
        <v>2379</v>
      </c>
      <c r="C2088" s="541" t="s">
        <v>5500</v>
      </c>
      <c r="D2088" s="656" t="s">
        <v>407</v>
      </c>
      <c r="E2088" s="534">
        <v>896.72499100000005</v>
      </c>
    </row>
    <row r="2089" spans="2:5" x14ac:dyDescent="0.2">
      <c r="B2089" s="533">
        <v>2380</v>
      </c>
      <c r="C2089" s="541" t="s">
        <v>4980</v>
      </c>
      <c r="D2089" s="656" t="s">
        <v>407</v>
      </c>
      <c r="E2089" s="534">
        <v>821.5</v>
      </c>
    </row>
    <row r="2090" spans="2:5" x14ac:dyDescent="0.2">
      <c r="B2090" s="533">
        <v>2381</v>
      </c>
      <c r="C2090" s="541" t="s">
        <v>4523</v>
      </c>
      <c r="D2090" s="656" t="s">
        <v>407</v>
      </c>
      <c r="E2090" s="534">
        <v>782.29999699999996</v>
      </c>
    </row>
    <row r="2091" spans="2:5" x14ac:dyDescent="0.2">
      <c r="B2091" s="533">
        <v>2382</v>
      </c>
      <c r="C2091" s="541" t="s">
        <v>5018</v>
      </c>
      <c r="D2091" s="656" t="s">
        <v>407</v>
      </c>
      <c r="E2091" s="534">
        <v>825.78000499999996</v>
      </c>
    </row>
    <row r="2092" spans="2:5" x14ac:dyDescent="0.2">
      <c r="B2092" s="533">
        <v>2383</v>
      </c>
      <c r="C2092" s="541" t="s">
        <v>5994</v>
      </c>
      <c r="D2092" s="656" t="s">
        <v>407</v>
      </c>
      <c r="E2092" s="534">
        <v>1049.819045</v>
      </c>
    </row>
    <row r="2093" spans="2:5" x14ac:dyDescent="0.2">
      <c r="B2093" s="533">
        <v>2384</v>
      </c>
      <c r="C2093" s="541" t="s">
        <v>6017</v>
      </c>
      <c r="D2093" s="656" t="s">
        <v>407</v>
      </c>
      <c r="E2093" s="534">
        <v>1064.9666540000001</v>
      </c>
    </row>
    <row r="2094" spans="2:5" x14ac:dyDescent="0.2">
      <c r="B2094" s="533">
        <v>2385</v>
      </c>
      <c r="C2094" s="541" t="s">
        <v>5984</v>
      </c>
      <c r="D2094" s="656" t="s">
        <v>407</v>
      </c>
      <c r="E2094" s="534">
        <v>1044.566691</v>
      </c>
    </row>
    <row r="2095" spans="2:5" x14ac:dyDescent="0.2">
      <c r="B2095" s="533">
        <v>2386</v>
      </c>
      <c r="C2095" s="541" t="s">
        <v>6008</v>
      </c>
      <c r="D2095" s="656" t="s">
        <v>407</v>
      </c>
      <c r="E2095" s="534">
        <v>1056.179993</v>
      </c>
    </row>
    <row r="2096" spans="2:5" x14ac:dyDescent="0.2">
      <c r="B2096" s="533">
        <v>2387</v>
      </c>
      <c r="C2096" s="541" t="s">
        <v>6629</v>
      </c>
      <c r="D2096" s="656" t="s">
        <v>407</v>
      </c>
      <c r="E2096" s="534">
        <v>1104.6999510000001</v>
      </c>
    </row>
    <row r="2097" spans="2:5" x14ac:dyDescent="0.2">
      <c r="B2097" s="533">
        <v>2388</v>
      </c>
      <c r="C2097" s="541" t="s">
        <v>5969</v>
      </c>
      <c r="D2097" s="656" t="s">
        <v>407</v>
      </c>
      <c r="E2097" s="534">
        <v>1039.3071379999999</v>
      </c>
    </row>
    <row r="2098" spans="2:5" x14ac:dyDescent="0.2">
      <c r="B2098" s="533">
        <v>2389</v>
      </c>
      <c r="C2098" s="541" t="s">
        <v>7231</v>
      </c>
      <c r="D2098" s="656" t="s">
        <v>407</v>
      </c>
      <c r="E2098" s="534">
        <v>1040.599976</v>
      </c>
    </row>
    <row r="2099" spans="2:5" x14ac:dyDescent="0.2">
      <c r="B2099" s="533">
        <v>2390</v>
      </c>
      <c r="C2099" s="541" t="s">
        <v>5759</v>
      </c>
      <c r="D2099" s="656" t="s">
        <v>407</v>
      </c>
      <c r="E2099" s="534">
        <v>958.30909299999996</v>
      </c>
    </row>
    <row r="2100" spans="2:5" x14ac:dyDescent="0.2">
      <c r="B2100" s="533">
        <v>2391</v>
      </c>
      <c r="C2100" s="541" t="s">
        <v>7097</v>
      </c>
      <c r="D2100" s="656" t="s">
        <v>407</v>
      </c>
      <c r="E2100" s="534">
        <v>738.25714100000005</v>
      </c>
    </row>
    <row r="2101" spans="2:5" x14ac:dyDescent="0.2">
      <c r="B2101" s="533">
        <v>2392</v>
      </c>
      <c r="C2101" s="541" t="s">
        <v>4017</v>
      </c>
      <c r="D2101" s="656" t="s">
        <v>407</v>
      </c>
      <c r="E2101" s="534">
        <v>746.73750299999995</v>
      </c>
    </row>
    <row r="2102" spans="2:5" x14ac:dyDescent="0.2">
      <c r="B2102" s="533">
        <v>2393</v>
      </c>
      <c r="C2102" s="541" t="s">
        <v>3832</v>
      </c>
      <c r="D2102" s="656" t="s">
        <v>407</v>
      </c>
      <c r="E2102" s="534">
        <v>735.16666699999996</v>
      </c>
    </row>
    <row r="2103" spans="2:5" x14ac:dyDescent="0.2">
      <c r="B2103" s="533">
        <v>2394</v>
      </c>
      <c r="C2103" s="541" t="s">
        <v>3799</v>
      </c>
      <c r="D2103" s="656" t="s">
        <v>407</v>
      </c>
      <c r="E2103" s="534">
        <v>733.375</v>
      </c>
    </row>
    <row r="2104" spans="2:5" x14ac:dyDescent="0.2">
      <c r="B2104" s="533">
        <v>2395</v>
      </c>
      <c r="C2104" s="541" t="s">
        <v>2590</v>
      </c>
      <c r="D2104" s="656" t="s">
        <v>407</v>
      </c>
      <c r="E2104" s="534">
        <v>721.77500899999995</v>
      </c>
    </row>
    <row r="2105" spans="2:5" x14ac:dyDescent="0.2">
      <c r="B2105" s="533">
        <v>2396</v>
      </c>
      <c r="C2105" s="541" t="s">
        <v>3646</v>
      </c>
      <c r="D2105" s="656" t="s">
        <v>407</v>
      </c>
      <c r="E2105" s="534">
        <v>724.50713699999994</v>
      </c>
    </row>
    <row r="2106" spans="2:5" x14ac:dyDescent="0.2">
      <c r="B2106" s="533">
        <v>2397</v>
      </c>
      <c r="C2106" s="541" t="s">
        <v>7437</v>
      </c>
      <c r="D2106" s="656" t="s">
        <v>407</v>
      </c>
      <c r="E2106" s="534">
        <v>757.67333599999995</v>
      </c>
    </row>
    <row r="2107" spans="2:5" x14ac:dyDescent="0.2">
      <c r="B2107" s="533">
        <v>2398</v>
      </c>
      <c r="C2107" s="541" t="s">
        <v>6658</v>
      </c>
      <c r="D2107" s="656" t="s">
        <v>407</v>
      </c>
      <c r="E2107" s="534">
        <v>760.64286600000003</v>
      </c>
    </row>
    <row r="2108" spans="2:5" x14ac:dyDescent="0.2">
      <c r="B2108" s="533">
        <v>2399</v>
      </c>
      <c r="C2108" s="541" t="s">
        <v>1851</v>
      </c>
      <c r="D2108" s="656" t="s">
        <v>407</v>
      </c>
      <c r="E2108" s="534">
        <v>707.82000700000003</v>
      </c>
    </row>
    <row r="2109" spans="2:5" x14ac:dyDescent="0.2">
      <c r="B2109" s="533">
        <v>2400</v>
      </c>
      <c r="C2109" s="541" t="s">
        <v>3581</v>
      </c>
      <c r="D2109" s="656" t="s">
        <v>407</v>
      </c>
      <c r="E2109" s="534">
        <v>720.81667100000004</v>
      </c>
    </row>
    <row r="2110" spans="2:5" x14ac:dyDescent="0.2">
      <c r="B2110" s="533">
        <v>2401</v>
      </c>
      <c r="C2110" s="541" t="s">
        <v>4135</v>
      </c>
      <c r="D2110" s="656" t="s">
        <v>407</v>
      </c>
      <c r="E2110" s="534">
        <v>753.64000199999998</v>
      </c>
    </row>
    <row r="2111" spans="2:5" x14ac:dyDescent="0.2">
      <c r="B2111" s="533">
        <v>2402</v>
      </c>
      <c r="C2111" s="541" t="s">
        <v>1005</v>
      </c>
      <c r="D2111" s="656" t="s">
        <v>407</v>
      </c>
      <c r="E2111" s="534">
        <v>773.25000999999997</v>
      </c>
    </row>
    <row r="2112" spans="2:5" x14ac:dyDescent="0.2">
      <c r="B2112" s="533">
        <v>2403</v>
      </c>
      <c r="C2112" s="541" t="s">
        <v>6511</v>
      </c>
      <c r="D2112" s="656" t="s">
        <v>407</v>
      </c>
      <c r="E2112" s="534">
        <v>790.72221500000001</v>
      </c>
    </row>
    <row r="2113" spans="2:5" x14ac:dyDescent="0.2">
      <c r="B2113" s="533">
        <v>2404</v>
      </c>
      <c r="C2113" s="541" t="s">
        <v>4244</v>
      </c>
      <c r="D2113" s="656" t="s">
        <v>407</v>
      </c>
      <c r="E2113" s="534">
        <v>761.17776800000001</v>
      </c>
    </row>
    <row r="2114" spans="2:5" x14ac:dyDescent="0.2">
      <c r="B2114" s="533">
        <v>2405</v>
      </c>
      <c r="C2114" s="541" t="s">
        <v>4387</v>
      </c>
      <c r="D2114" s="656" t="s">
        <v>407</v>
      </c>
      <c r="E2114" s="534">
        <v>772</v>
      </c>
    </row>
    <row r="2115" spans="2:5" x14ac:dyDescent="0.2">
      <c r="B2115" s="533">
        <v>2406</v>
      </c>
      <c r="C2115" s="541" t="s">
        <v>3808</v>
      </c>
      <c r="D2115" s="656" t="s">
        <v>407</v>
      </c>
      <c r="E2115" s="534">
        <v>733.84000200000003</v>
      </c>
    </row>
    <row r="2116" spans="2:5" x14ac:dyDescent="0.2">
      <c r="B2116" s="533">
        <v>2407</v>
      </c>
      <c r="C2116" s="541" t="s">
        <v>3183</v>
      </c>
      <c r="D2116" s="656" t="s">
        <v>407</v>
      </c>
      <c r="E2116" s="534">
        <v>700.67499499999997</v>
      </c>
    </row>
    <row r="2117" spans="2:5" x14ac:dyDescent="0.2">
      <c r="B2117" s="533">
        <v>2408</v>
      </c>
      <c r="C2117" s="541" t="s">
        <v>3119</v>
      </c>
      <c r="D2117" s="656" t="s">
        <v>407</v>
      </c>
      <c r="E2117" s="534">
        <v>697.53998999999999</v>
      </c>
    </row>
    <row r="2118" spans="2:5" x14ac:dyDescent="0.2">
      <c r="B2118" s="533">
        <v>2409</v>
      </c>
      <c r="C2118" s="541" t="s">
        <v>3786</v>
      </c>
      <c r="D2118" s="656" t="s">
        <v>407</v>
      </c>
      <c r="E2118" s="534">
        <v>732.375</v>
      </c>
    </row>
    <row r="2119" spans="2:5" x14ac:dyDescent="0.2">
      <c r="B2119" s="533">
        <v>2410</v>
      </c>
      <c r="C2119" s="541" t="s">
        <v>4201</v>
      </c>
      <c r="D2119" s="656" t="s">
        <v>407</v>
      </c>
      <c r="E2119" s="534">
        <v>758.14999399999999</v>
      </c>
    </row>
    <row r="2120" spans="2:5" x14ac:dyDescent="0.2">
      <c r="B2120" s="533">
        <v>2411</v>
      </c>
      <c r="C2120" s="541" t="s">
        <v>3155</v>
      </c>
      <c r="D2120" s="656" t="s">
        <v>407</v>
      </c>
      <c r="E2120" s="534">
        <v>699.57999299999994</v>
      </c>
    </row>
    <row r="2121" spans="2:5" x14ac:dyDescent="0.2">
      <c r="B2121" s="533">
        <v>2412</v>
      </c>
      <c r="C2121" s="541" t="s">
        <v>3626</v>
      </c>
      <c r="D2121" s="656" t="s">
        <v>407</v>
      </c>
      <c r="E2121" s="534">
        <v>723.70001200000002</v>
      </c>
    </row>
    <row r="2122" spans="2:5" x14ac:dyDescent="0.2">
      <c r="B2122" s="533">
        <v>2413</v>
      </c>
      <c r="C2122" s="541" t="s">
        <v>3553</v>
      </c>
      <c r="D2122" s="656" t="s">
        <v>407</v>
      </c>
      <c r="E2122" s="534">
        <v>719.271432</v>
      </c>
    </row>
    <row r="2123" spans="2:5" x14ac:dyDescent="0.2">
      <c r="B2123" s="533">
        <v>2414</v>
      </c>
      <c r="C2123" s="541" t="s">
        <v>4051</v>
      </c>
      <c r="D2123" s="656" t="s">
        <v>407</v>
      </c>
      <c r="E2123" s="534">
        <v>748.81999499999995</v>
      </c>
    </row>
    <row r="2124" spans="2:5" x14ac:dyDescent="0.2">
      <c r="B2124" s="533">
        <v>2415</v>
      </c>
      <c r="C2124" s="541" t="s">
        <v>7306</v>
      </c>
      <c r="D2124" s="656" t="s">
        <v>407</v>
      </c>
      <c r="E2124" s="534">
        <v>753.16664600000001</v>
      </c>
    </row>
    <row r="2125" spans="2:5" x14ac:dyDescent="0.2">
      <c r="B2125" s="533">
        <v>2416</v>
      </c>
      <c r="C2125" s="541" t="s">
        <v>6785</v>
      </c>
      <c r="D2125" s="656" t="s">
        <v>407</v>
      </c>
      <c r="E2125" s="534">
        <v>736.82499700000005</v>
      </c>
    </row>
    <row r="2126" spans="2:5" x14ac:dyDescent="0.2">
      <c r="B2126" s="533">
        <v>2417</v>
      </c>
      <c r="C2126" s="541" t="s">
        <v>7237</v>
      </c>
      <c r="D2126" s="656" t="s">
        <v>407</v>
      </c>
      <c r="E2126" s="534">
        <v>684.47777599999995</v>
      </c>
    </row>
    <row r="2127" spans="2:5" x14ac:dyDescent="0.2">
      <c r="B2127" s="533">
        <v>2418</v>
      </c>
      <c r="C2127" s="541" t="s">
        <v>3976</v>
      </c>
      <c r="D2127" s="656" t="s">
        <v>407</v>
      </c>
      <c r="E2127" s="534">
        <v>744.10999800000002</v>
      </c>
    </row>
    <row r="2128" spans="2:5" x14ac:dyDescent="0.2">
      <c r="B2128" s="533">
        <v>2419</v>
      </c>
      <c r="C2128" s="541" t="s">
        <v>3516</v>
      </c>
      <c r="D2128" s="656" t="s">
        <v>407</v>
      </c>
      <c r="E2128" s="534">
        <v>717.6</v>
      </c>
    </row>
    <row r="2129" spans="2:5" x14ac:dyDescent="0.2">
      <c r="B2129" s="533">
        <v>2420</v>
      </c>
      <c r="C2129" s="541" t="s">
        <v>3346</v>
      </c>
      <c r="D2129" s="656" t="s">
        <v>407</v>
      </c>
      <c r="E2129" s="534">
        <v>708.77499399999999</v>
      </c>
    </row>
    <row r="2130" spans="2:5" x14ac:dyDescent="0.2">
      <c r="B2130" s="533">
        <v>2421</v>
      </c>
      <c r="C2130" s="541" t="s">
        <v>2686</v>
      </c>
      <c r="D2130" s="656" t="s">
        <v>407</v>
      </c>
      <c r="E2130" s="534">
        <v>675.60000600000001</v>
      </c>
    </row>
    <row r="2131" spans="2:5" x14ac:dyDescent="0.2">
      <c r="B2131" s="533">
        <v>2422</v>
      </c>
      <c r="C2131" s="541" t="s">
        <v>3074</v>
      </c>
      <c r="D2131" s="656" t="s">
        <v>407</v>
      </c>
      <c r="E2131" s="534">
        <v>695.22857699999997</v>
      </c>
    </row>
    <row r="2132" spans="2:5" x14ac:dyDescent="0.2">
      <c r="B2132" s="533">
        <v>2423</v>
      </c>
      <c r="C2132" s="541" t="s">
        <v>6734</v>
      </c>
      <c r="D2132" s="656" t="s">
        <v>407</v>
      </c>
      <c r="E2132" s="534">
        <v>668.728568</v>
      </c>
    </row>
    <row r="2133" spans="2:5" x14ac:dyDescent="0.2">
      <c r="B2133" s="533">
        <v>2424</v>
      </c>
      <c r="C2133" s="541" t="s">
        <v>2886</v>
      </c>
      <c r="D2133" s="656" t="s">
        <v>407</v>
      </c>
      <c r="E2133" s="534">
        <v>685.75714100000005</v>
      </c>
    </row>
    <row r="2134" spans="2:5" x14ac:dyDescent="0.2">
      <c r="B2134" s="533">
        <v>2425</v>
      </c>
      <c r="C2134" s="541" t="s">
        <v>1459</v>
      </c>
      <c r="D2134" s="656" t="s">
        <v>407</v>
      </c>
      <c r="E2134" s="534">
        <v>618.53334600000005</v>
      </c>
    </row>
    <row r="2135" spans="2:5" x14ac:dyDescent="0.2">
      <c r="B2135" s="533">
        <v>2426</v>
      </c>
      <c r="C2135" s="541" t="s">
        <v>2044</v>
      </c>
      <c r="D2135" s="656" t="s">
        <v>407</v>
      </c>
      <c r="E2135" s="534">
        <v>645.66001000000006</v>
      </c>
    </row>
    <row r="2136" spans="2:5" x14ac:dyDescent="0.2">
      <c r="B2136" s="533">
        <v>2427</v>
      </c>
      <c r="C2136" s="541" t="s">
        <v>2028</v>
      </c>
      <c r="D2136" s="656" t="s">
        <v>407</v>
      </c>
      <c r="E2136" s="534">
        <v>644.63332100000002</v>
      </c>
    </row>
    <row r="2137" spans="2:5" x14ac:dyDescent="0.2">
      <c r="B2137" s="533">
        <v>2428</v>
      </c>
      <c r="C2137" s="541" t="s">
        <v>1859</v>
      </c>
      <c r="D2137" s="656" t="s">
        <v>407</v>
      </c>
      <c r="E2137" s="534">
        <v>638.64999399999999</v>
      </c>
    </row>
    <row r="2138" spans="2:5" x14ac:dyDescent="0.2">
      <c r="B2138" s="533">
        <v>2429</v>
      </c>
      <c r="C2138" s="541" t="s">
        <v>4086</v>
      </c>
      <c r="D2138" s="656" t="s">
        <v>407</v>
      </c>
      <c r="E2138" s="534">
        <v>750.57999299999994</v>
      </c>
    </row>
    <row r="2139" spans="2:5" x14ac:dyDescent="0.2">
      <c r="B2139" s="533">
        <v>2430</v>
      </c>
      <c r="C2139" s="541" t="s">
        <v>2783</v>
      </c>
      <c r="D2139" s="656" t="s">
        <v>407</v>
      </c>
      <c r="E2139" s="534">
        <v>680.46666500000003</v>
      </c>
    </row>
    <row r="2140" spans="2:5" x14ac:dyDescent="0.2">
      <c r="B2140" s="533">
        <v>2431</v>
      </c>
      <c r="C2140" s="541" t="s">
        <v>407</v>
      </c>
      <c r="D2140" s="656" t="s">
        <v>407</v>
      </c>
      <c r="E2140" s="534">
        <v>666.96896700000002</v>
      </c>
    </row>
    <row r="2141" spans="2:5" x14ac:dyDescent="0.2">
      <c r="B2141" s="533">
        <v>2432</v>
      </c>
      <c r="C2141" s="541" t="s">
        <v>2673</v>
      </c>
      <c r="D2141" s="656" t="s">
        <v>407</v>
      </c>
      <c r="E2141" s="534">
        <v>675.19998199999998</v>
      </c>
    </row>
    <row r="2142" spans="2:5" x14ac:dyDescent="0.2">
      <c r="B2142" s="533">
        <v>2433</v>
      </c>
      <c r="C2142" s="541" t="s">
        <v>2523</v>
      </c>
      <c r="D2142" s="656" t="s">
        <v>407</v>
      </c>
      <c r="E2142" s="534">
        <v>667.89999399999999</v>
      </c>
    </row>
    <row r="2143" spans="2:5" x14ac:dyDescent="0.2">
      <c r="B2143" s="533">
        <v>2434</v>
      </c>
      <c r="C2143" s="541" t="s">
        <v>2719</v>
      </c>
      <c r="D2143" s="656" t="s">
        <v>407</v>
      </c>
      <c r="E2143" s="534">
        <v>677.29998799999998</v>
      </c>
    </row>
    <row r="2144" spans="2:5" x14ac:dyDescent="0.2">
      <c r="B2144" s="533">
        <v>2435</v>
      </c>
      <c r="C2144" s="541" t="s">
        <v>3610</v>
      </c>
      <c r="D2144" s="656" t="s">
        <v>407</v>
      </c>
      <c r="E2144" s="534">
        <v>754.77499399999999</v>
      </c>
    </row>
    <row r="2145" spans="2:5" x14ac:dyDescent="0.2">
      <c r="B2145" s="533">
        <v>2436</v>
      </c>
      <c r="C2145" s="541" t="s">
        <v>2573</v>
      </c>
      <c r="D2145" s="656" t="s">
        <v>407</v>
      </c>
      <c r="E2145" s="534">
        <v>669.70001200000002</v>
      </c>
    </row>
    <row r="2146" spans="2:5" x14ac:dyDescent="0.2">
      <c r="B2146" s="533">
        <v>2437</v>
      </c>
      <c r="C2146" s="541" t="s">
        <v>3290</v>
      </c>
      <c r="D2146" s="656" t="s">
        <v>407</v>
      </c>
      <c r="E2146" s="534">
        <v>705.771432</v>
      </c>
    </row>
    <row r="2147" spans="2:5" x14ac:dyDescent="0.2">
      <c r="B2147" s="533">
        <v>2438</v>
      </c>
      <c r="C2147" s="541" t="s">
        <v>3207</v>
      </c>
      <c r="D2147" s="656" t="s">
        <v>407</v>
      </c>
      <c r="E2147" s="534">
        <v>701.885716</v>
      </c>
    </row>
    <row r="2148" spans="2:5" x14ac:dyDescent="0.2">
      <c r="B2148" s="533">
        <v>2439</v>
      </c>
      <c r="C2148" s="541" t="s">
        <v>2074</v>
      </c>
      <c r="D2148" s="656" t="s">
        <v>407</v>
      </c>
      <c r="E2148" s="534">
        <v>701.62857499999996</v>
      </c>
    </row>
    <row r="2149" spans="2:5" x14ac:dyDescent="0.2">
      <c r="B2149" s="533">
        <v>2440</v>
      </c>
      <c r="C2149" s="541" t="s">
        <v>3619</v>
      </c>
      <c r="D2149" s="656" t="s">
        <v>407</v>
      </c>
      <c r="E2149" s="534">
        <v>723.55000299999995</v>
      </c>
    </row>
    <row r="2150" spans="2:5" x14ac:dyDescent="0.2">
      <c r="B2150" s="533">
        <v>2441</v>
      </c>
      <c r="C2150" s="541" t="s">
        <v>3749</v>
      </c>
      <c r="D2150" s="656" t="s">
        <v>407</v>
      </c>
      <c r="E2150" s="534">
        <v>730.5</v>
      </c>
    </row>
    <row r="2151" spans="2:5" x14ac:dyDescent="0.2">
      <c r="B2151" s="533">
        <v>2442</v>
      </c>
      <c r="C2151" s="541" t="s">
        <v>2869</v>
      </c>
      <c r="D2151" s="656" t="s">
        <v>407</v>
      </c>
      <c r="E2151" s="534">
        <v>685</v>
      </c>
    </row>
    <row r="2152" spans="2:5" x14ac:dyDescent="0.2">
      <c r="B2152" s="533">
        <v>2443</v>
      </c>
      <c r="C2152" s="541" t="s">
        <v>3199</v>
      </c>
      <c r="D2152" s="656" t="s">
        <v>407</v>
      </c>
      <c r="E2152" s="534">
        <v>701.42667200000005</v>
      </c>
    </row>
    <row r="2153" spans="2:5" x14ac:dyDescent="0.2">
      <c r="B2153" s="533">
        <v>2444</v>
      </c>
      <c r="C2153" s="541" t="s">
        <v>2426</v>
      </c>
      <c r="D2153" s="656" t="s">
        <v>407</v>
      </c>
      <c r="E2153" s="534">
        <v>789.84000200000003</v>
      </c>
    </row>
    <row r="2154" spans="2:5" x14ac:dyDescent="0.2">
      <c r="B2154" s="533">
        <v>2445</v>
      </c>
      <c r="C2154" s="541" t="s">
        <v>6634</v>
      </c>
      <c r="D2154" s="656" t="s">
        <v>407</v>
      </c>
      <c r="E2154" s="534">
        <v>759.39998800000001</v>
      </c>
    </row>
    <row r="2155" spans="2:5" x14ac:dyDescent="0.2">
      <c r="B2155" s="533">
        <v>2446</v>
      </c>
      <c r="C2155" s="541" t="s">
        <v>6804</v>
      </c>
      <c r="D2155" s="656" t="s">
        <v>407</v>
      </c>
      <c r="E2155" s="534">
        <v>784.19999900000005</v>
      </c>
    </row>
    <row r="2156" spans="2:5" x14ac:dyDescent="0.2">
      <c r="B2156" s="533">
        <v>2447</v>
      </c>
      <c r="C2156" s="541" t="s">
        <v>5437</v>
      </c>
      <c r="D2156" s="656" t="s">
        <v>407</v>
      </c>
      <c r="E2156" s="534">
        <v>886.95001200000002</v>
      </c>
    </row>
    <row r="2157" spans="2:5" x14ac:dyDescent="0.2">
      <c r="B2157" s="533">
        <v>2448</v>
      </c>
      <c r="C2157" s="541" t="s">
        <v>4931</v>
      </c>
      <c r="D2157" s="656" t="s">
        <v>407</v>
      </c>
      <c r="E2157" s="534">
        <v>815.55000299999995</v>
      </c>
    </row>
    <row r="2158" spans="2:5" x14ac:dyDescent="0.2">
      <c r="B2158" s="533">
        <v>2449</v>
      </c>
      <c r="C2158" s="541" t="s">
        <v>4298</v>
      </c>
      <c r="D2158" s="656" t="s">
        <v>407</v>
      </c>
      <c r="E2158" s="534">
        <v>765.15000199999997</v>
      </c>
    </row>
    <row r="2159" spans="2:5" x14ac:dyDescent="0.2">
      <c r="B2159" s="533">
        <v>2450</v>
      </c>
      <c r="C2159" s="541" t="s">
        <v>4649</v>
      </c>
      <c r="D2159" s="656" t="s">
        <v>407</v>
      </c>
      <c r="E2159" s="534">
        <v>842.07501200000002</v>
      </c>
    </row>
    <row r="2160" spans="2:5" x14ac:dyDescent="0.2">
      <c r="B2160" s="533">
        <v>2451</v>
      </c>
      <c r="C2160" s="541" t="s">
        <v>3140</v>
      </c>
      <c r="D2160" s="656" t="s">
        <v>407</v>
      </c>
      <c r="E2160" s="534">
        <v>698.86667899999998</v>
      </c>
    </row>
    <row r="2161" spans="2:5" x14ac:dyDescent="0.2">
      <c r="B2161" s="533">
        <v>2452</v>
      </c>
      <c r="C2161" s="541" t="s">
        <v>4123</v>
      </c>
      <c r="D2161" s="656" t="s">
        <v>407</v>
      </c>
      <c r="E2161" s="534">
        <v>752.67778199999998</v>
      </c>
    </row>
    <row r="2162" spans="2:5" x14ac:dyDescent="0.2">
      <c r="B2162" s="533">
        <v>2453</v>
      </c>
      <c r="C2162" s="541" t="s">
        <v>1219</v>
      </c>
      <c r="D2162" s="656" t="s">
        <v>407</v>
      </c>
      <c r="E2162" s="534">
        <v>797.23333700000001</v>
      </c>
    </row>
    <row r="2163" spans="2:5" x14ac:dyDescent="0.2">
      <c r="B2163" s="533">
        <v>2454</v>
      </c>
      <c r="C2163" s="541" t="s">
        <v>3905</v>
      </c>
      <c r="D2163" s="656" t="s">
        <v>407</v>
      </c>
      <c r="E2163" s="534">
        <v>739.84000200000003</v>
      </c>
    </row>
    <row r="2164" spans="2:5" x14ac:dyDescent="0.2">
      <c r="B2164" s="533">
        <v>2455</v>
      </c>
      <c r="C2164" s="541" t="s">
        <v>5395</v>
      </c>
      <c r="D2164" s="656" t="s">
        <v>407</v>
      </c>
      <c r="E2164" s="534">
        <v>879.94999199999995</v>
      </c>
    </row>
    <row r="2165" spans="2:5" x14ac:dyDescent="0.2">
      <c r="B2165" s="533">
        <v>2456</v>
      </c>
      <c r="C2165" s="541" t="s">
        <v>5209</v>
      </c>
      <c r="D2165" s="656" t="s">
        <v>407</v>
      </c>
      <c r="E2165" s="534">
        <v>848.33748600000001</v>
      </c>
    </row>
    <row r="2166" spans="2:5" x14ac:dyDescent="0.2">
      <c r="B2166" s="533">
        <v>2457</v>
      </c>
      <c r="C2166" s="541" t="s">
        <v>4740</v>
      </c>
      <c r="D2166" s="656" t="s">
        <v>407</v>
      </c>
      <c r="E2166" s="534">
        <v>799.75</v>
      </c>
    </row>
    <row r="2167" spans="2:5" x14ac:dyDescent="0.2">
      <c r="B2167" s="533">
        <v>2458</v>
      </c>
      <c r="C2167" s="541" t="s">
        <v>4621</v>
      </c>
      <c r="D2167" s="656" t="s">
        <v>407</v>
      </c>
      <c r="E2167" s="534">
        <v>790.86665900000003</v>
      </c>
    </row>
    <row r="2168" spans="2:5" x14ac:dyDescent="0.2">
      <c r="B2168" s="533">
        <v>2459</v>
      </c>
      <c r="C2168" s="541" t="s">
        <v>3889</v>
      </c>
      <c r="D2168" s="656" t="s">
        <v>407</v>
      </c>
      <c r="E2168" s="534">
        <v>738.52500199999997</v>
      </c>
    </row>
    <row r="2169" spans="2:5" x14ac:dyDescent="0.2">
      <c r="B2169" s="533">
        <v>2460</v>
      </c>
      <c r="C2169" s="541" t="s">
        <v>5938</v>
      </c>
      <c r="D2169" s="656" t="s">
        <v>407</v>
      </c>
      <c r="E2169" s="534">
        <v>1025.8461589999999</v>
      </c>
    </row>
    <row r="2170" spans="2:5" x14ac:dyDescent="0.2">
      <c r="B2170" s="533">
        <v>2461</v>
      </c>
      <c r="C2170" s="541" t="s">
        <v>7566</v>
      </c>
      <c r="D2170" s="656" t="s">
        <v>407</v>
      </c>
      <c r="E2170" s="534">
        <v>1091.9999760000001</v>
      </c>
    </row>
    <row r="2171" spans="2:5" x14ac:dyDescent="0.2">
      <c r="B2171" s="533">
        <v>2462</v>
      </c>
      <c r="C2171" s="541" t="s">
        <v>3069</v>
      </c>
      <c r="D2171" s="656" t="s">
        <v>407</v>
      </c>
      <c r="E2171" s="534">
        <v>695.06667100000004</v>
      </c>
    </row>
    <row r="2172" spans="2:5" x14ac:dyDescent="0.2">
      <c r="B2172" s="533">
        <v>2463</v>
      </c>
      <c r="C2172" s="541" t="s">
        <v>3236</v>
      </c>
      <c r="D2172" s="656" t="s">
        <v>407</v>
      </c>
      <c r="E2172" s="534">
        <v>703.18001700000002</v>
      </c>
    </row>
    <row r="2173" spans="2:5" x14ac:dyDescent="0.2">
      <c r="B2173" s="533">
        <v>2464</v>
      </c>
      <c r="C2173" s="541" t="s">
        <v>3727</v>
      </c>
      <c r="D2173" s="656" t="s">
        <v>407</v>
      </c>
      <c r="E2173" s="534">
        <v>729.02857300000005</v>
      </c>
    </row>
    <row r="2174" spans="2:5" x14ac:dyDescent="0.2">
      <c r="B2174" s="533">
        <v>2465</v>
      </c>
      <c r="C2174" s="541" t="s">
        <v>3648</v>
      </c>
      <c r="D2174" s="656" t="s">
        <v>407</v>
      </c>
      <c r="E2174" s="534">
        <v>724.56664999999998</v>
      </c>
    </row>
    <row r="2175" spans="2:5" x14ac:dyDescent="0.2">
      <c r="B2175" s="533">
        <v>2466</v>
      </c>
      <c r="C2175" s="541" t="s">
        <v>2871</v>
      </c>
      <c r="D2175" s="656" t="s">
        <v>407</v>
      </c>
      <c r="E2175" s="534">
        <v>714.95001200000002</v>
      </c>
    </row>
    <row r="2176" spans="2:5" x14ac:dyDescent="0.2">
      <c r="B2176" s="533">
        <v>2467</v>
      </c>
      <c r="C2176" s="541" t="s">
        <v>3996</v>
      </c>
      <c r="D2176" s="656" t="s">
        <v>407</v>
      </c>
      <c r="E2176" s="534">
        <v>745.12221999999997</v>
      </c>
    </row>
    <row r="2177" spans="2:5" x14ac:dyDescent="0.2">
      <c r="B2177" s="533">
        <v>2468</v>
      </c>
      <c r="C2177" s="541" t="s">
        <v>4199</v>
      </c>
      <c r="D2177" s="656" t="s">
        <v>407</v>
      </c>
      <c r="E2177" s="534">
        <v>758.05000800000005</v>
      </c>
    </row>
    <row r="2178" spans="2:5" x14ac:dyDescent="0.2">
      <c r="B2178" s="533">
        <v>2469</v>
      </c>
      <c r="C2178" s="541" t="s">
        <v>3321</v>
      </c>
      <c r="D2178" s="656" t="s">
        <v>407</v>
      </c>
      <c r="E2178" s="534">
        <v>707.5</v>
      </c>
    </row>
    <row r="2179" spans="2:5" x14ac:dyDescent="0.2">
      <c r="B2179" s="533">
        <v>2470</v>
      </c>
      <c r="C2179" s="541" t="s">
        <v>3659</v>
      </c>
      <c r="D2179" s="656" t="s">
        <v>407</v>
      </c>
      <c r="E2179" s="534">
        <v>725.27500899999995</v>
      </c>
    </row>
    <row r="2180" spans="2:5" x14ac:dyDescent="0.2">
      <c r="B2180" s="533">
        <v>2471</v>
      </c>
      <c r="C2180" s="541" t="s">
        <v>4380</v>
      </c>
      <c r="D2180" s="656" t="s">
        <v>407</v>
      </c>
      <c r="E2180" s="534">
        <v>771.34443499999998</v>
      </c>
    </row>
    <row r="2181" spans="2:5" x14ac:dyDescent="0.2">
      <c r="B2181" s="533">
        <v>2472</v>
      </c>
      <c r="C2181" s="541" t="s">
        <v>3759</v>
      </c>
      <c r="D2181" s="656" t="s">
        <v>407</v>
      </c>
      <c r="E2181" s="534">
        <v>731.13334099999997</v>
      </c>
    </row>
    <row r="2182" spans="2:5" x14ac:dyDescent="0.2">
      <c r="B2182" s="533">
        <v>2473</v>
      </c>
      <c r="C2182" s="541" t="s">
        <v>7127</v>
      </c>
      <c r="D2182" s="656" t="s">
        <v>407</v>
      </c>
      <c r="E2182" s="534">
        <v>712.259998</v>
      </c>
    </row>
    <row r="2183" spans="2:5" x14ac:dyDescent="0.2">
      <c r="B2183" s="533">
        <v>2474</v>
      </c>
      <c r="C2183" s="541" t="s">
        <v>3366</v>
      </c>
      <c r="D2183" s="656" t="s">
        <v>407</v>
      </c>
      <c r="E2183" s="534">
        <v>709.57499700000005</v>
      </c>
    </row>
    <row r="2184" spans="2:5" x14ac:dyDescent="0.2">
      <c r="B2184" s="533">
        <v>2475</v>
      </c>
      <c r="C2184" s="541" t="s">
        <v>961</v>
      </c>
      <c r="D2184" s="656" t="s">
        <v>407</v>
      </c>
      <c r="E2184" s="534">
        <v>707.51249700000005</v>
      </c>
    </row>
    <row r="2185" spans="2:5" x14ac:dyDescent="0.2">
      <c r="B2185" s="533">
        <v>2476</v>
      </c>
      <c r="C2185" s="541" t="s">
        <v>4492</v>
      </c>
      <c r="D2185" s="656" t="s">
        <v>407</v>
      </c>
      <c r="E2185" s="534">
        <v>780.14999399999999</v>
      </c>
    </row>
    <row r="2186" spans="2:5" x14ac:dyDescent="0.2">
      <c r="B2186" s="533">
        <v>2477</v>
      </c>
      <c r="C2186" s="541" t="s">
        <v>6807</v>
      </c>
      <c r="D2186" s="656" t="s">
        <v>407</v>
      </c>
      <c r="E2186" s="534">
        <v>778.62143400000002</v>
      </c>
    </row>
    <row r="2187" spans="2:5" x14ac:dyDescent="0.2">
      <c r="B2187" s="533">
        <v>2478</v>
      </c>
      <c r="C2187" s="541" t="s">
        <v>3224</v>
      </c>
      <c r="D2187" s="656" t="s">
        <v>407</v>
      </c>
      <c r="E2187" s="534">
        <v>702.69999199999995</v>
      </c>
    </row>
    <row r="2188" spans="2:5" x14ac:dyDescent="0.2">
      <c r="B2188" s="533">
        <v>2479</v>
      </c>
      <c r="C2188" s="541" t="s">
        <v>4021</v>
      </c>
      <c r="D2188" s="656" t="s">
        <v>407</v>
      </c>
      <c r="E2188" s="534">
        <v>746.90000899999995</v>
      </c>
    </row>
    <row r="2189" spans="2:5" x14ac:dyDescent="0.2">
      <c r="B2189" s="533">
        <v>2480</v>
      </c>
      <c r="C2189" s="541" t="s">
        <v>7093</v>
      </c>
      <c r="D2189" s="656" t="s">
        <v>407</v>
      </c>
      <c r="E2189" s="534">
        <v>777.30000299999995</v>
      </c>
    </row>
    <row r="2190" spans="2:5" x14ac:dyDescent="0.2">
      <c r="B2190" s="533">
        <v>2481</v>
      </c>
      <c r="C2190" s="541" t="s">
        <v>7128</v>
      </c>
      <c r="D2190" s="656" t="s">
        <v>407</v>
      </c>
      <c r="E2190" s="534">
        <v>737.45001200000002</v>
      </c>
    </row>
    <row r="2191" spans="2:5" x14ac:dyDescent="0.2">
      <c r="B2191" s="533">
        <v>2482</v>
      </c>
      <c r="C2191" s="541" t="s">
        <v>3601</v>
      </c>
      <c r="D2191" s="656" t="s">
        <v>407</v>
      </c>
      <c r="E2191" s="534">
        <v>722.16666699999996</v>
      </c>
    </row>
    <row r="2192" spans="2:5" x14ac:dyDescent="0.2">
      <c r="B2192" s="533">
        <v>2483</v>
      </c>
      <c r="C2192" s="541" t="s">
        <v>6786</v>
      </c>
      <c r="D2192" s="656" t="s">
        <v>407</v>
      </c>
      <c r="E2192" s="534">
        <v>763.20000200000004</v>
      </c>
    </row>
    <row r="2193" spans="2:5" x14ac:dyDescent="0.2">
      <c r="B2193" s="533">
        <v>2484</v>
      </c>
      <c r="C2193" s="541" t="s">
        <v>4731</v>
      </c>
      <c r="D2193" s="656" t="s">
        <v>407</v>
      </c>
      <c r="E2193" s="534">
        <v>799.33750199999997</v>
      </c>
    </row>
    <row r="2194" spans="2:5" x14ac:dyDescent="0.2">
      <c r="B2194" s="533">
        <v>2485</v>
      </c>
      <c r="C2194" s="541" t="s">
        <v>4159</v>
      </c>
      <c r="D2194" s="656" t="s">
        <v>407</v>
      </c>
      <c r="E2194" s="534">
        <v>755.35000600000001</v>
      </c>
    </row>
    <row r="2195" spans="2:5" x14ac:dyDescent="0.2">
      <c r="B2195" s="533">
        <v>2486</v>
      </c>
      <c r="C2195" s="541" t="s">
        <v>4112</v>
      </c>
      <c r="D2195" s="656" t="s">
        <v>407</v>
      </c>
      <c r="E2195" s="534">
        <v>752.14999399999999</v>
      </c>
    </row>
    <row r="2196" spans="2:5" x14ac:dyDescent="0.2">
      <c r="B2196" s="533">
        <v>2487</v>
      </c>
      <c r="C2196" s="541" t="s">
        <v>1588</v>
      </c>
      <c r="D2196" s="656" t="s">
        <v>407</v>
      </c>
      <c r="E2196" s="534">
        <v>750.17999299999997</v>
      </c>
    </row>
    <row r="2197" spans="2:5" x14ac:dyDescent="0.2">
      <c r="B2197" s="533">
        <v>2488</v>
      </c>
      <c r="C2197" s="541" t="s">
        <v>3018</v>
      </c>
      <c r="D2197" s="656" t="s">
        <v>407</v>
      </c>
      <c r="E2197" s="534">
        <v>692.16665599999999</v>
      </c>
    </row>
    <row r="2198" spans="2:5" x14ac:dyDescent="0.2">
      <c r="B2198" s="533">
        <v>2489</v>
      </c>
      <c r="C2198" s="541" t="s">
        <v>3089</v>
      </c>
      <c r="D2198" s="656" t="s">
        <v>407</v>
      </c>
      <c r="E2198" s="534">
        <v>695.90000399999997</v>
      </c>
    </row>
    <row r="2199" spans="2:5" x14ac:dyDescent="0.2">
      <c r="B2199" s="533">
        <v>2490</v>
      </c>
      <c r="C2199" s="541" t="s">
        <v>6561</v>
      </c>
      <c r="D2199" s="656" t="s">
        <v>407</v>
      </c>
      <c r="E2199" s="534">
        <v>705.15000199999997</v>
      </c>
    </row>
    <row r="2200" spans="2:5" x14ac:dyDescent="0.2">
      <c r="B2200" s="533">
        <v>2491</v>
      </c>
      <c r="C2200" s="541" t="s">
        <v>3834</v>
      </c>
      <c r="D2200" s="656" t="s">
        <v>407</v>
      </c>
      <c r="E2200" s="534">
        <v>735.25715000000002</v>
      </c>
    </row>
    <row r="2201" spans="2:5" x14ac:dyDescent="0.2">
      <c r="B2201" s="533">
        <v>2492</v>
      </c>
      <c r="C2201" s="533" t="s">
        <v>6597</v>
      </c>
      <c r="D2201" s="656" t="s">
        <v>407</v>
      </c>
      <c r="E2201" s="534">
        <v>691.59997599999997</v>
      </c>
    </row>
    <row r="2202" spans="2:5" x14ac:dyDescent="0.2">
      <c r="B2202" s="533">
        <v>2493</v>
      </c>
      <c r="C2202" s="533" t="s">
        <v>3132</v>
      </c>
      <c r="D2202" s="656" t="s">
        <v>407</v>
      </c>
      <c r="E2202" s="534">
        <v>698.34999400000004</v>
      </c>
    </row>
    <row r="2203" spans="2:5" x14ac:dyDescent="0.2">
      <c r="B2203" s="533">
        <v>2494</v>
      </c>
      <c r="C2203" s="533" t="s">
        <v>4450</v>
      </c>
      <c r="D2203" s="656" t="s">
        <v>407</v>
      </c>
      <c r="E2203" s="534">
        <v>777.37778700000001</v>
      </c>
    </row>
    <row r="2204" spans="2:5" x14ac:dyDescent="0.2">
      <c r="B2204" s="533">
        <v>2495</v>
      </c>
      <c r="C2204" s="533" t="s">
        <v>7480</v>
      </c>
      <c r="D2204" s="656" t="s">
        <v>407</v>
      </c>
      <c r="E2204" s="534">
        <v>706.20001200000002</v>
      </c>
    </row>
    <row r="2205" spans="2:5" x14ac:dyDescent="0.2">
      <c r="B2205" s="533">
        <v>2496</v>
      </c>
      <c r="C2205" s="533" t="s">
        <v>3246</v>
      </c>
      <c r="D2205" s="656" t="s">
        <v>407</v>
      </c>
      <c r="E2205" s="534">
        <v>703.43332899999996</v>
      </c>
    </row>
    <row r="2206" spans="2:5" x14ac:dyDescent="0.2">
      <c r="B2206" s="533">
        <v>2497</v>
      </c>
      <c r="C2206" s="533" t="s">
        <v>3315</v>
      </c>
      <c r="D2206" s="656" t="s">
        <v>407</v>
      </c>
      <c r="E2206" s="534">
        <v>707.22083799999996</v>
      </c>
    </row>
    <row r="2207" spans="2:5" x14ac:dyDescent="0.2">
      <c r="B2207" s="533">
        <v>2498</v>
      </c>
      <c r="C2207" s="533" t="s">
        <v>4286</v>
      </c>
      <c r="D2207" s="656" t="s">
        <v>407</v>
      </c>
      <c r="E2207" s="534">
        <v>764.13748899999996</v>
      </c>
    </row>
    <row r="2208" spans="2:5" x14ac:dyDescent="0.2">
      <c r="B2208" s="533">
        <v>2499</v>
      </c>
      <c r="C2208" s="533" t="s">
        <v>4205</v>
      </c>
      <c r="D2208" s="656" t="s">
        <v>407</v>
      </c>
      <c r="E2208" s="534">
        <v>758.5625</v>
      </c>
    </row>
    <row r="2209" spans="2:5" x14ac:dyDescent="0.2">
      <c r="B2209" s="533">
        <v>2500</v>
      </c>
      <c r="C2209" s="533" t="s">
        <v>7420</v>
      </c>
      <c r="D2209" s="656" t="s">
        <v>407</v>
      </c>
      <c r="E2209" s="534">
        <v>842.79999699999996</v>
      </c>
    </row>
    <row r="2210" spans="2:5" x14ac:dyDescent="0.2">
      <c r="B2210" s="533">
        <v>2502</v>
      </c>
      <c r="C2210" s="533" t="s">
        <v>3972</v>
      </c>
      <c r="D2210" s="656" t="s">
        <v>407</v>
      </c>
      <c r="E2210" s="534">
        <v>744</v>
      </c>
    </row>
    <row r="2211" spans="2:5" x14ac:dyDescent="0.2">
      <c r="B2211" s="533">
        <v>2503</v>
      </c>
      <c r="C2211" s="533" t="s">
        <v>4014</v>
      </c>
      <c r="D2211" s="656" t="s">
        <v>407</v>
      </c>
      <c r="E2211" s="534">
        <v>746.59090900000001</v>
      </c>
    </row>
    <row r="2212" spans="2:5" x14ac:dyDescent="0.2">
      <c r="B2212" s="533">
        <v>2504</v>
      </c>
      <c r="C2212" s="533" t="s">
        <v>3915</v>
      </c>
      <c r="D2212" s="656" t="s">
        <v>407</v>
      </c>
      <c r="E2212" s="534">
        <v>740.22500600000001</v>
      </c>
    </row>
    <row r="2213" spans="2:5" x14ac:dyDescent="0.2">
      <c r="B2213" s="533">
        <v>2505</v>
      </c>
      <c r="C2213" s="533" t="s">
        <v>3929</v>
      </c>
      <c r="D2213" s="656" t="s">
        <v>407</v>
      </c>
      <c r="E2213" s="534">
        <v>741.08333300000004</v>
      </c>
    </row>
    <row r="2214" spans="2:5" x14ac:dyDescent="0.2">
      <c r="B2214" s="533">
        <v>2506</v>
      </c>
      <c r="C2214" s="533" t="s">
        <v>3253</v>
      </c>
      <c r="D2214" s="656" t="s">
        <v>407</v>
      </c>
      <c r="E2214" s="534">
        <v>703.65999799999997</v>
      </c>
    </row>
    <row r="2215" spans="2:5" x14ac:dyDescent="0.2">
      <c r="B2215" s="533">
        <v>2507</v>
      </c>
      <c r="C2215" s="533" t="s">
        <v>3961</v>
      </c>
      <c r="D2215" s="656" t="s">
        <v>407</v>
      </c>
      <c r="E2215" s="534">
        <v>742.96667500000001</v>
      </c>
    </row>
    <row r="2216" spans="2:5" x14ac:dyDescent="0.2">
      <c r="B2216" s="533">
        <v>2508</v>
      </c>
      <c r="C2216" s="533" t="s">
        <v>3020</v>
      </c>
      <c r="D2216" s="656" t="s">
        <v>407</v>
      </c>
      <c r="E2216" s="534">
        <v>692.35000600000001</v>
      </c>
    </row>
    <row r="2217" spans="2:5" x14ac:dyDescent="0.2">
      <c r="B2217" s="533">
        <v>2509</v>
      </c>
      <c r="C2217" s="533" t="s">
        <v>3954</v>
      </c>
      <c r="D2217" s="656" t="s">
        <v>407</v>
      </c>
      <c r="E2217" s="534">
        <v>742.46667500000001</v>
      </c>
    </row>
    <row r="2218" spans="2:5" x14ac:dyDescent="0.2">
      <c r="B2218" s="533">
        <v>2510</v>
      </c>
      <c r="C2218" s="533" t="s">
        <v>7307</v>
      </c>
      <c r="D2218" s="656" t="s">
        <v>407</v>
      </c>
      <c r="E2218" s="534">
        <v>697.94999700000005</v>
      </c>
    </row>
    <row r="2219" spans="2:5" x14ac:dyDescent="0.2">
      <c r="B2219" s="533">
        <v>2511</v>
      </c>
      <c r="C2219" s="533" t="s">
        <v>3869</v>
      </c>
      <c r="D2219" s="656" t="s">
        <v>407</v>
      </c>
      <c r="E2219" s="534">
        <v>737.43332899999996</v>
      </c>
    </row>
    <row r="2220" spans="2:5" x14ac:dyDescent="0.2">
      <c r="B2220" s="533">
        <v>2512</v>
      </c>
      <c r="C2220" s="533" t="s">
        <v>3430</v>
      </c>
      <c r="D2220" s="656" t="s">
        <v>407</v>
      </c>
      <c r="E2220" s="534">
        <v>712.86665900000003</v>
      </c>
    </row>
    <row r="2221" spans="2:5" x14ac:dyDescent="0.2">
      <c r="B2221" s="533">
        <v>2513</v>
      </c>
      <c r="C2221" s="533" t="s">
        <v>2553</v>
      </c>
      <c r="D2221" s="656" t="s">
        <v>407</v>
      </c>
      <c r="E2221" s="534">
        <v>668.86665900000003</v>
      </c>
    </row>
    <row r="2222" spans="2:5" x14ac:dyDescent="0.2">
      <c r="B2222" s="533">
        <v>2514</v>
      </c>
      <c r="C2222" s="533" t="s">
        <v>3773</v>
      </c>
      <c r="D2222" s="656" t="s">
        <v>407</v>
      </c>
      <c r="E2222" s="534">
        <v>731.78000499999996</v>
      </c>
    </row>
    <row r="2223" spans="2:5" x14ac:dyDescent="0.2">
      <c r="B2223" s="533">
        <v>2515</v>
      </c>
      <c r="C2223" s="533" t="s">
        <v>7083</v>
      </c>
      <c r="D2223" s="656" t="s">
        <v>407</v>
      </c>
      <c r="E2223" s="534">
        <v>714.53332499999999</v>
      </c>
    </row>
    <row r="2224" spans="2:5" x14ac:dyDescent="0.2">
      <c r="B2224" s="533">
        <v>2516</v>
      </c>
      <c r="C2224" s="533" t="s">
        <v>2855</v>
      </c>
      <c r="D2224" s="656" t="s">
        <v>407</v>
      </c>
      <c r="E2224" s="534">
        <v>684.56667100000004</v>
      </c>
    </row>
    <row r="2225" spans="2:5" x14ac:dyDescent="0.2">
      <c r="B2225" s="533">
        <v>2517</v>
      </c>
      <c r="C2225" s="533" t="s">
        <v>3735</v>
      </c>
      <c r="D2225" s="656" t="s">
        <v>407</v>
      </c>
      <c r="E2225" s="534">
        <v>729.43332899999996</v>
      </c>
    </row>
    <row r="2226" spans="2:5" x14ac:dyDescent="0.2">
      <c r="B2226" s="533">
        <v>2518</v>
      </c>
      <c r="C2226" s="533" t="s">
        <v>2788</v>
      </c>
      <c r="D2226" s="656" t="s">
        <v>407</v>
      </c>
      <c r="E2226" s="534">
        <v>680.90002400000003</v>
      </c>
    </row>
    <row r="2227" spans="2:5" x14ac:dyDescent="0.2">
      <c r="B2227" s="533">
        <v>2519</v>
      </c>
      <c r="C2227" s="533" t="s">
        <v>3241</v>
      </c>
      <c r="D2227" s="656" t="s">
        <v>407</v>
      </c>
      <c r="E2227" s="534">
        <v>703.29999499999997</v>
      </c>
    </row>
    <row r="2228" spans="2:5" x14ac:dyDescent="0.2">
      <c r="B2228" s="533">
        <v>2520</v>
      </c>
      <c r="C2228" s="533" t="s">
        <v>3525</v>
      </c>
      <c r="D2228" s="656" t="s">
        <v>407</v>
      </c>
      <c r="E2228" s="534">
        <v>718.14999399999999</v>
      </c>
    </row>
    <row r="2229" spans="2:5" x14ac:dyDescent="0.2">
      <c r="B2229" s="533">
        <v>2521</v>
      </c>
      <c r="C2229" s="533" t="s">
        <v>3526</v>
      </c>
      <c r="D2229" s="656" t="s">
        <v>407</v>
      </c>
      <c r="E2229" s="534">
        <v>718.16667700000005</v>
      </c>
    </row>
    <row r="2230" spans="2:5" x14ac:dyDescent="0.2">
      <c r="B2230" s="533">
        <v>2522</v>
      </c>
      <c r="C2230" s="533" t="s">
        <v>3077</v>
      </c>
      <c r="D2230" s="656" t="s">
        <v>407</v>
      </c>
      <c r="E2230" s="534">
        <v>758.69998199999998</v>
      </c>
    </row>
    <row r="2231" spans="2:5" x14ac:dyDescent="0.2">
      <c r="B2231" s="533">
        <v>2523</v>
      </c>
      <c r="C2231" s="533" t="s">
        <v>4026</v>
      </c>
      <c r="D2231" s="656" t="s">
        <v>407</v>
      </c>
      <c r="E2231" s="534">
        <v>747.15000899999995</v>
      </c>
    </row>
    <row r="2232" spans="2:5" x14ac:dyDescent="0.2">
      <c r="B2232" s="533">
        <v>2524</v>
      </c>
      <c r="C2232" s="533" t="s">
        <v>4288</v>
      </c>
      <c r="D2232" s="656" t="s">
        <v>407</v>
      </c>
      <c r="E2232" s="534">
        <v>764.29998799999998</v>
      </c>
    </row>
    <row r="2233" spans="2:5" x14ac:dyDescent="0.2">
      <c r="B2233" s="533">
        <v>2525</v>
      </c>
      <c r="C2233" s="533" t="s">
        <v>4769</v>
      </c>
      <c r="D2233" s="656" t="s">
        <v>407</v>
      </c>
      <c r="E2233" s="534">
        <v>802.11250299999995</v>
      </c>
    </row>
    <row r="2234" spans="2:5" x14ac:dyDescent="0.2">
      <c r="B2234" s="533">
        <v>2526</v>
      </c>
      <c r="C2234" s="533" t="s">
        <v>6968</v>
      </c>
      <c r="D2234" s="656" t="s">
        <v>407</v>
      </c>
      <c r="E2234" s="534">
        <v>801.79375500000003</v>
      </c>
    </row>
    <row r="2235" spans="2:5" x14ac:dyDescent="0.2">
      <c r="B2235" s="533">
        <v>2527</v>
      </c>
      <c r="C2235" s="533" t="s">
        <v>7332</v>
      </c>
      <c r="D2235" s="656" t="s">
        <v>407</v>
      </c>
      <c r="E2235" s="534">
        <v>785.19999900000005</v>
      </c>
    </row>
    <row r="2236" spans="2:5" x14ac:dyDescent="0.2">
      <c r="B2236" s="533">
        <v>2528</v>
      </c>
      <c r="C2236" s="533" t="s">
        <v>7526</v>
      </c>
      <c r="D2236" s="656" t="s">
        <v>407</v>
      </c>
      <c r="E2236" s="534">
        <v>769.97997999999995</v>
      </c>
    </row>
    <row r="2237" spans="2:5" x14ac:dyDescent="0.2">
      <c r="B2237" s="533">
        <v>2529</v>
      </c>
      <c r="C2237" s="533" t="s">
        <v>5060</v>
      </c>
      <c r="D2237" s="656" t="s">
        <v>407</v>
      </c>
      <c r="E2237" s="534">
        <v>830.51250500000003</v>
      </c>
    </row>
    <row r="2238" spans="2:5" x14ac:dyDescent="0.2">
      <c r="B2238" s="533">
        <v>2530</v>
      </c>
      <c r="C2238" s="533" t="s">
        <v>5061</v>
      </c>
      <c r="D2238" s="656" t="s">
        <v>407</v>
      </c>
      <c r="E2238" s="534">
        <v>830.76153099999999</v>
      </c>
    </row>
    <row r="2239" spans="2:5" x14ac:dyDescent="0.2">
      <c r="B2239" s="533">
        <v>2531</v>
      </c>
      <c r="C2239" s="533" t="s">
        <v>5363</v>
      </c>
      <c r="D2239" s="656" t="s">
        <v>407</v>
      </c>
      <c r="E2239" s="534">
        <v>874.07499700000005</v>
      </c>
    </row>
    <row r="2240" spans="2:5" x14ac:dyDescent="0.2">
      <c r="B2240" s="533">
        <v>2532</v>
      </c>
      <c r="C2240" s="533" t="s">
        <v>7100</v>
      </c>
      <c r="D2240" s="656" t="s">
        <v>407</v>
      </c>
      <c r="E2240" s="534">
        <v>840.40002400000003</v>
      </c>
    </row>
    <row r="2241" spans="2:5" x14ac:dyDescent="0.2">
      <c r="B2241" s="533">
        <v>2533</v>
      </c>
      <c r="C2241" s="533" t="s">
        <v>5358</v>
      </c>
      <c r="D2241" s="656" t="s">
        <v>407</v>
      </c>
      <c r="E2241" s="534">
        <v>873.69999199999995</v>
      </c>
    </row>
    <row r="2242" spans="2:5" x14ac:dyDescent="0.2">
      <c r="B2242" s="533">
        <v>2534</v>
      </c>
      <c r="C2242" s="533" t="s">
        <v>5655</v>
      </c>
      <c r="D2242" s="656" t="s">
        <v>407</v>
      </c>
      <c r="E2242" s="534">
        <v>928.95998499999996</v>
      </c>
    </row>
    <row r="2243" spans="2:5" x14ac:dyDescent="0.2">
      <c r="B2243" s="533">
        <v>2535</v>
      </c>
      <c r="C2243" s="533" t="s">
        <v>7324</v>
      </c>
      <c r="D2243" s="656" t="s">
        <v>407</v>
      </c>
      <c r="E2243" s="534">
        <v>818.64999399999999</v>
      </c>
    </row>
    <row r="2244" spans="2:5" x14ac:dyDescent="0.2">
      <c r="B2244" s="533">
        <v>2536</v>
      </c>
      <c r="C2244" s="533" t="s">
        <v>4087</v>
      </c>
      <c r="D2244" s="656" t="s">
        <v>407</v>
      </c>
      <c r="E2244" s="534">
        <v>750.59999100000005</v>
      </c>
    </row>
    <row r="2245" spans="2:5" x14ac:dyDescent="0.2">
      <c r="B2245" s="533">
        <v>2537</v>
      </c>
      <c r="C2245" s="533" t="s">
        <v>4857</v>
      </c>
      <c r="D2245" s="656" t="s">
        <v>407</v>
      </c>
      <c r="E2245" s="534">
        <v>808.65000899999995</v>
      </c>
    </row>
    <row r="2246" spans="2:5" x14ac:dyDescent="0.2">
      <c r="B2246" s="533">
        <v>2538</v>
      </c>
      <c r="C2246" s="533" t="s">
        <v>6514</v>
      </c>
      <c r="D2246" s="656" t="s">
        <v>407</v>
      </c>
      <c r="E2246" s="534">
        <v>829.10000200000002</v>
      </c>
    </row>
    <row r="2247" spans="2:5" x14ac:dyDescent="0.2">
      <c r="B2247" s="533">
        <v>2539</v>
      </c>
      <c r="C2247" s="533" t="s">
        <v>2756</v>
      </c>
      <c r="D2247" s="656" t="s">
        <v>407</v>
      </c>
      <c r="E2247" s="534">
        <v>778.5</v>
      </c>
    </row>
    <row r="2248" spans="2:5" x14ac:dyDescent="0.2">
      <c r="B2248" s="533">
        <v>2540</v>
      </c>
      <c r="C2248" s="533" t="s">
        <v>4773</v>
      </c>
      <c r="D2248" s="656" t="s">
        <v>407</v>
      </c>
      <c r="E2248" s="534">
        <v>802.15555099999995</v>
      </c>
    </row>
    <row r="2249" spans="2:5" x14ac:dyDescent="0.2">
      <c r="B2249" s="533">
        <v>2541</v>
      </c>
      <c r="C2249" s="533" t="s">
        <v>7081</v>
      </c>
      <c r="D2249" s="656" t="s">
        <v>407</v>
      </c>
      <c r="E2249" s="534">
        <v>843.23333100000002</v>
      </c>
    </row>
    <row r="2250" spans="2:5" x14ac:dyDescent="0.2">
      <c r="B2250" s="533">
        <v>2542</v>
      </c>
      <c r="C2250" s="533" t="s">
        <v>5052</v>
      </c>
      <c r="D2250" s="656" t="s">
        <v>407</v>
      </c>
      <c r="E2250" s="534">
        <v>829.45000200000004</v>
      </c>
    </row>
    <row r="2251" spans="2:5" x14ac:dyDescent="0.2">
      <c r="B2251" s="533">
        <v>2543</v>
      </c>
      <c r="C2251" s="533" t="s">
        <v>4576</v>
      </c>
      <c r="D2251" s="656" t="s">
        <v>407</v>
      </c>
      <c r="E2251" s="534">
        <v>786.72855900000002</v>
      </c>
    </row>
    <row r="2252" spans="2:5" x14ac:dyDescent="0.2">
      <c r="B2252" s="533">
        <v>2544</v>
      </c>
      <c r="C2252" s="533" t="s">
        <v>4922</v>
      </c>
      <c r="D2252" s="656" t="s">
        <v>407</v>
      </c>
      <c r="E2252" s="534">
        <v>814.92857100000003</v>
      </c>
    </row>
    <row r="2253" spans="2:5" x14ac:dyDescent="0.2">
      <c r="B2253" s="533">
        <v>2545</v>
      </c>
      <c r="C2253" s="533" t="s">
        <v>5030</v>
      </c>
      <c r="D2253" s="656" t="s">
        <v>407</v>
      </c>
      <c r="E2253" s="534">
        <v>826.92500299999995</v>
      </c>
    </row>
    <row r="2254" spans="2:5" x14ac:dyDescent="0.2">
      <c r="B2254" s="533">
        <v>2546</v>
      </c>
      <c r="C2254" s="533" t="s">
        <v>5068</v>
      </c>
      <c r="D2254" s="656" t="s">
        <v>407</v>
      </c>
      <c r="E2254" s="534">
        <v>831.03749100000005</v>
      </c>
    </row>
    <row r="2255" spans="2:5" x14ac:dyDescent="0.2">
      <c r="B2255" s="533">
        <v>2547</v>
      </c>
      <c r="C2255" s="533" t="s">
        <v>5522</v>
      </c>
      <c r="D2255" s="656" t="s">
        <v>407</v>
      </c>
      <c r="E2255" s="534">
        <v>900.99998500000004</v>
      </c>
    </row>
    <row r="2256" spans="2:5" x14ac:dyDescent="0.2">
      <c r="B2256" s="533">
        <v>2548</v>
      </c>
      <c r="C2256" s="533" t="s">
        <v>5563</v>
      </c>
      <c r="D2256" s="656" t="s">
        <v>407</v>
      </c>
      <c r="E2256" s="534">
        <v>907.18000500000005</v>
      </c>
    </row>
    <row r="2257" spans="2:5" x14ac:dyDescent="0.2">
      <c r="B2257" s="533">
        <v>2549</v>
      </c>
      <c r="C2257" s="533" t="s">
        <v>5294</v>
      </c>
      <c r="D2257" s="656" t="s">
        <v>407</v>
      </c>
      <c r="E2257" s="534">
        <v>862.31819299999995</v>
      </c>
    </row>
    <row r="2258" spans="2:5" x14ac:dyDescent="0.2">
      <c r="B2258" s="533">
        <v>2550</v>
      </c>
      <c r="C2258" s="533" t="s">
        <v>5700</v>
      </c>
      <c r="D2258" s="656" t="s">
        <v>407</v>
      </c>
      <c r="E2258" s="534">
        <v>941.56664999999998</v>
      </c>
    </row>
    <row r="2259" spans="2:5" x14ac:dyDescent="0.2">
      <c r="B2259" s="533">
        <v>2551</v>
      </c>
      <c r="C2259" s="533" t="s">
        <v>5691</v>
      </c>
      <c r="D2259" s="656" t="s">
        <v>407</v>
      </c>
      <c r="E2259" s="534">
        <v>939.09999700000003</v>
      </c>
    </row>
    <row r="2260" spans="2:5" x14ac:dyDescent="0.2">
      <c r="B2260" s="533">
        <v>2552</v>
      </c>
      <c r="C2260" s="533" t="s">
        <v>5606</v>
      </c>
      <c r="D2260" s="656" t="s">
        <v>407</v>
      </c>
      <c r="E2260" s="534">
        <v>915.60001599999998</v>
      </c>
    </row>
    <row r="2261" spans="2:5" x14ac:dyDescent="0.2">
      <c r="B2261" s="533">
        <v>2553</v>
      </c>
      <c r="C2261" s="533" t="s">
        <v>5658</v>
      </c>
      <c r="D2261" s="656" t="s">
        <v>407</v>
      </c>
      <c r="E2261" s="534">
        <v>930.25385500000004</v>
      </c>
    </row>
    <row r="2262" spans="2:5" x14ac:dyDescent="0.2">
      <c r="B2262" s="533">
        <v>2554</v>
      </c>
      <c r="C2262" s="533" t="s">
        <v>5368</v>
      </c>
      <c r="D2262" s="656" t="s">
        <v>407</v>
      </c>
      <c r="E2262" s="534">
        <v>874.57778599999995</v>
      </c>
    </row>
    <row r="2263" spans="2:5" x14ac:dyDescent="0.2">
      <c r="B2263" s="533">
        <v>2555</v>
      </c>
      <c r="C2263" s="533" t="s">
        <v>5423</v>
      </c>
      <c r="D2263" s="656" t="s">
        <v>407</v>
      </c>
      <c r="E2263" s="534">
        <v>884.51429099999996</v>
      </c>
    </row>
    <row r="2264" spans="2:5" x14ac:dyDescent="0.2">
      <c r="B2264" s="533">
        <v>2556</v>
      </c>
      <c r="C2264" s="533" t="s">
        <v>5085</v>
      </c>
      <c r="D2264" s="656" t="s">
        <v>407</v>
      </c>
      <c r="E2264" s="534">
        <v>832.49824599999999</v>
      </c>
    </row>
    <row r="2265" spans="2:5" x14ac:dyDescent="0.2">
      <c r="B2265" s="533">
        <v>2601</v>
      </c>
      <c r="C2265" s="533" t="s">
        <v>7618</v>
      </c>
      <c r="D2265" s="656" t="s">
        <v>410</v>
      </c>
      <c r="E2265" s="534">
        <v>791.15555800000004</v>
      </c>
    </row>
    <row r="2266" spans="2:5" x14ac:dyDescent="0.2">
      <c r="B2266" s="533">
        <v>2602</v>
      </c>
      <c r="C2266" s="533" t="s">
        <v>5122</v>
      </c>
      <c r="D2266" s="656" t="s">
        <v>410</v>
      </c>
      <c r="E2266" s="534">
        <v>836.71666500000003</v>
      </c>
    </row>
    <row r="2267" spans="2:5" x14ac:dyDescent="0.2">
      <c r="B2267" s="533">
        <v>2603</v>
      </c>
      <c r="C2267" s="533" t="s">
        <v>4853</v>
      </c>
      <c r="D2267" s="656" t="s">
        <v>410</v>
      </c>
      <c r="E2267" s="534">
        <v>808.46666100000004</v>
      </c>
    </row>
    <row r="2268" spans="2:5" x14ac:dyDescent="0.2">
      <c r="B2268" s="533">
        <v>2604</v>
      </c>
      <c r="C2268" s="533" t="s">
        <v>4845</v>
      </c>
      <c r="D2268" s="656" t="s">
        <v>410</v>
      </c>
      <c r="E2268" s="534">
        <v>807.59999600000003</v>
      </c>
    </row>
    <row r="2269" spans="2:5" x14ac:dyDescent="0.2">
      <c r="B2269" s="533">
        <v>2605</v>
      </c>
      <c r="C2269" s="533" t="s">
        <v>4355</v>
      </c>
      <c r="D2269" s="656" t="s">
        <v>410</v>
      </c>
      <c r="E2269" s="534">
        <v>769.14000199999998</v>
      </c>
    </row>
    <row r="2270" spans="2:5" x14ac:dyDescent="0.2">
      <c r="B2270" s="533">
        <v>2606</v>
      </c>
      <c r="C2270" s="533" t="s">
        <v>4961</v>
      </c>
      <c r="D2270" s="656" t="s">
        <v>410</v>
      </c>
      <c r="E2270" s="534">
        <v>818.92000700000006</v>
      </c>
    </row>
    <row r="2271" spans="2:5" x14ac:dyDescent="0.2">
      <c r="B2271" s="533">
        <v>2607</v>
      </c>
      <c r="C2271" s="533" t="s">
        <v>5419</v>
      </c>
      <c r="D2271" s="656" t="s">
        <v>410</v>
      </c>
      <c r="E2271" s="534">
        <v>884.21999500000004</v>
      </c>
    </row>
    <row r="2272" spans="2:5" x14ac:dyDescent="0.2">
      <c r="B2272" s="533">
        <v>2608</v>
      </c>
      <c r="C2272" s="533" t="s">
        <v>5250</v>
      </c>
      <c r="D2272" s="656" t="s">
        <v>410</v>
      </c>
      <c r="E2272" s="534">
        <v>854.90000899999995</v>
      </c>
    </row>
    <row r="2273" spans="2:5" x14ac:dyDescent="0.2">
      <c r="B2273" s="533">
        <v>2609</v>
      </c>
      <c r="C2273" s="533" t="s">
        <v>7513</v>
      </c>
      <c r="D2273" s="656" t="s">
        <v>410</v>
      </c>
      <c r="E2273" s="534">
        <v>836.95001200000002</v>
      </c>
    </row>
    <row r="2274" spans="2:5" x14ac:dyDescent="0.2">
      <c r="B2274" s="533">
        <v>2610</v>
      </c>
      <c r="C2274" s="533" t="s">
        <v>6821</v>
      </c>
      <c r="D2274" s="656" t="s">
        <v>410</v>
      </c>
      <c r="E2274" s="534">
        <v>838.5</v>
      </c>
    </row>
    <row r="2275" spans="2:5" x14ac:dyDescent="0.2">
      <c r="B2275" s="533">
        <v>2611</v>
      </c>
      <c r="C2275" s="533" t="s">
        <v>6660</v>
      </c>
      <c r="D2275" s="656" t="s">
        <v>410</v>
      </c>
      <c r="E2275" s="534">
        <v>793.78334600000005</v>
      </c>
    </row>
    <row r="2276" spans="2:5" x14ac:dyDescent="0.2">
      <c r="B2276" s="533">
        <v>2612</v>
      </c>
      <c r="C2276" s="533" t="s">
        <v>4075</v>
      </c>
      <c r="D2276" s="656" t="s">
        <v>410</v>
      </c>
      <c r="E2276" s="534">
        <v>750.15998500000001</v>
      </c>
    </row>
    <row r="2277" spans="2:5" x14ac:dyDescent="0.2">
      <c r="B2277" s="533">
        <v>2613</v>
      </c>
      <c r="C2277" s="533" t="s">
        <v>7550</v>
      </c>
      <c r="D2277" s="656" t="s">
        <v>410</v>
      </c>
      <c r="E2277" s="534">
        <v>662.30001800000002</v>
      </c>
    </row>
    <row r="2278" spans="2:5" x14ac:dyDescent="0.2">
      <c r="B2278" s="533">
        <v>2614</v>
      </c>
      <c r="C2278" s="533" t="s">
        <v>3413</v>
      </c>
      <c r="D2278" s="656" t="s">
        <v>410</v>
      </c>
      <c r="E2278" s="534">
        <v>712.27500899999995</v>
      </c>
    </row>
    <row r="2279" spans="2:5" x14ac:dyDescent="0.2">
      <c r="B2279" s="533">
        <v>2615</v>
      </c>
      <c r="C2279" s="533" t="s">
        <v>1711</v>
      </c>
      <c r="D2279" s="656" t="s">
        <v>410</v>
      </c>
      <c r="E2279" s="534">
        <v>633.16666699999996</v>
      </c>
    </row>
    <row r="2280" spans="2:5" x14ac:dyDescent="0.2">
      <c r="B2280" s="533">
        <v>2616</v>
      </c>
      <c r="C2280" s="533" t="s">
        <v>2431</v>
      </c>
      <c r="D2280" s="656" t="s">
        <v>410</v>
      </c>
      <c r="E2280" s="534">
        <v>663.80910400000005</v>
      </c>
    </row>
    <row r="2281" spans="2:5" x14ac:dyDescent="0.2">
      <c r="B2281" s="533">
        <v>2617</v>
      </c>
      <c r="C2281" s="533" t="s">
        <v>4421</v>
      </c>
      <c r="D2281" s="656" t="s">
        <v>410</v>
      </c>
      <c r="E2281" s="534">
        <v>775.21667500000001</v>
      </c>
    </row>
    <row r="2282" spans="2:5" x14ac:dyDescent="0.2">
      <c r="B2282" s="533">
        <v>2618</v>
      </c>
      <c r="C2282" s="533" t="s">
        <v>4334</v>
      </c>
      <c r="D2282" s="656" t="s">
        <v>410</v>
      </c>
      <c r="E2282" s="534">
        <v>767.70001200000002</v>
      </c>
    </row>
    <row r="2283" spans="2:5" x14ac:dyDescent="0.2">
      <c r="B2283" s="533">
        <v>2619</v>
      </c>
      <c r="C2283" s="533" t="s">
        <v>3286</v>
      </c>
      <c r="D2283" s="656" t="s">
        <v>410</v>
      </c>
      <c r="E2283" s="534">
        <v>705.53332499999999</v>
      </c>
    </row>
    <row r="2284" spans="2:5" x14ac:dyDescent="0.2">
      <c r="B2284" s="533">
        <v>2620</v>
      </c>
      <c r="C2284" s="533" t="s">
        <v>6675</v>
      </c>
      <c r="D2284" s="656" t="s">
        <v>410</v>
      </c>
      <c r="E2284" s="534">
        <v>875.76667299999997</v>
      </c>
    </row>
    <row r="2285" spans="2:5" x14ac:dyDescent="0.2">
      <c r="B2285" s="533">
        <v>2621</v>
      </c>
      <c r="C2285" s="533" t="s">
        <v>4717</v>
      </c>
      <c r="D2285" s="656" t="s">
        <v>410</v>
      </c>
      <c r="E2285" s="534">
        <v>798.22499800000003</v>
      </c>
    </row>
    <row r="2286" spans="2:5" x14ac:dyDescent="0.2">
      <c r="B2286" s="533">
        <v>2622</v>
      </c>
      <c r="C2286" s="533" t="s">
        <v>4935</v>
      </c>
      <c r="D2286" s="656" t="s">
        <v>410</v>
      </c>
      <c r="E2286" s="534">
        <v>815.90002400000003</v>
      </c>
    </row>
    <row r="2287" spans="2:5" x14ac:dyDescent="0.2">
      <c r="B2287" s="533">
        <v>2623</v>
      </c>
      <c r="C2287" s="533" t="s">
        <v>4515</v>
      </c>
      <c r="D2287" s="656" t="s">
        <v>410</v>
      </c>
      <c r="E2287" s="534">
        <v>781.33331299999998</v>
      </c>
    </row>
    <row r="2288" spans="2:5" x14ac:dyDescent="0.2">
      <c r="B2288" s="533">
        <v>2624</v>
      </c>
      <c r="C2288" s="533" t="s">
        <v>4139</v>
      </c>
      <c r="D2288" s="656" t="s">
        <v>410</v>
      </c>
      <c r="E2288" s="534">
        <v>754.32856100000004</v>
      </c>
    </row>
    <row r="2289" spans="2:5" x14ac:dyDescent="0.2">
      <c r="B2289" s="533">
        <v>2625</v>
      </c>
      <c r="C2289" s="533" t="s">
        <v>4789</v>
      </c>
      <c r="D2289" s="656" t="s">
        <v>410</v>
      </c>
      <c r="E2289" s="534">
        <v>803.20000200000004</v>
      </c>
    </row>
    <row r="2290" spans="2:5" x14ac:dyDescent="0.2">
      <c r="B2290" s="533">
        <v>2626</v>
      </c>
      <c r="C2290" s="533" t="s">
        <v>4003</v>
      </c>
      <c r="D2290" s="656" t="s">
        <v>410</v>
      </c>
      <c r="E2290" s="534">
        <v>745.60000600000001</v>
      </c>
    </row>
    <row r="2291" spans="2:5" x14ac:dyDescent="0.2">
      <c r="B2291" s="533">
        <v>2627</v>
      </c>
      <c r="C2291" s="533" t="s">
        <v>1280</v>
      </c>
      <c r="D2291" s="656" t="s">
        <v>410</v>
      </c>
      <c r="E2291" s="534">
        <v>844.19999199999995</v>
      </c>
    </row>
    <row r="2292" spans="2:5" x14ac:dyDescent="0.2">
      <c r="B2292" s="533">
        <v>2628</v>
      </c>
      <c r="C2292" s="533" t="s">
        <v>7407</v>
      </c>
      <c r="D2292" s="656" t="s">
        <v>410</v>
      </c>
      <c r="E2292" s="534">
        <v>723.25</v>
      </c>
    </row>
    <row r="2293" spans="2:5" x14ac:dyDescent="0.2">
      <c r="B2293" s="533">
        <v>2629</v>
      </c>
      <c r="C2293" s="533" t="s">
        <v>7590</v>
      </c>
      <c r="D2293" s="656" t="s">
        <v>410</v>
      </c>
      <c r="E2293" s="534">
        <v>882.83332700000005</v>
      </c>
    </row>
    <row r="2294" spans="2:5" x14ac:dyDescent="0.2">
      <c r="B2294" s="533">
        <v>2630</v>
      </c>
      <c r="C2294" s="533" t="s">
        <v>4641</v>
      </c>
      <c r="D2294" s="656" t="s">
        <v>410</v>
      </c>
      <c r="E2294" s="534">
        <v>792.47499100000005</v>
      </c>
    </row>
    <row r="2295" spans="2:5" x14ac:dyDescent="0.2">
      <c r="B2295" s="533">
        <v>2631</v>
      </c>
      <c r="C2295" s="533" t="s">
        <v>5210</v>
      </c>
      <c r="D2295" s="656" t="s">
        <v>410</v>
      </c>
      <c r="E2295" s="534">
        <v>848.43332899999996</v>
      </c>
    </row>
    <row r="2296" spans="2:5" x14ac:dyDescent="0.2">
      <c r="B2296" s="533">
        <v>2632</v>
      </c>
      <c r="C2296" s="533" t="s">
        <v>3931</v>
      </c>
      <c r="D2296" s="656" t="s">
        <v>410</v>
      </c>
      <c r="E2296" s="534">
        <v>741.21999500000004</v>
      </c>
    </row>
    <row r="2297" spans="2:5" x14ac:dyDescent="0.2">
      <c r="B2297" s="533">
        <v>2633</v>
      </c>
      <c r="C2297" s="533" t="s">
        <v>7139</v>
      </c>
      <c r="D2297" s="656" t="s">
        <v>410</v>
      </c>
      <c r="E2297" s="534">
        <v>779.69998199999998</v>
      </c>
    </row>
    <row r="2298" spans="2:5" x14ac:dyDescent="0.2">
      <c r="B2298" s="533">
        <v>2634</v>
      </c>
      <c r="C2298" s="533" t="s">
        <v>3560</v>
      </c>
      <c r="D2298" s="656" t="s">
        <v>410</v>
      </c>
      <c r="E2298" s="534">
        <v>719.64999399999999</v>
      </c>
    </row>
    <row r="2299" spans="2:5" x14ac:dyDescent="0.2">
      <c r="B2299" s="533">
        <v>2635</v>
      </c>
      <c r="C2299" s="533" t="s">
        <v>3680</v>
      </c>
      <c r="D2299" s="656" t="s">
        <v>410</v>
      </c>
      <c r="E2299" s="534">
        <v>726.59997599999997</v>
      </c>
    </row>
    <row r="2300" spans="2:5" x14ac:dyDescent="0.2">
      <c r="B2300" s="533">
        <v>2636</v>
      </c>
      <c r="C2300" s="533" t="s">
        <v>5126</v>
      </c>
      <c r="D2300" s="656" t="s">
        <v>410</v>
      </c>
      <c r="E2300" s="534">
        <v>836.98571800000002</v>
      </c>
    </row>
    <row r="2301" spans="2:5" x14ac:dyDescent="0.2">
      <c r="B2301" s="533">
        <v>2637</v>
      </c>
      <c r="C2301" s="533" t="s">
        <v>4363</v>
      </c>
      <c r="D2301" s="656" t="s">
        <v>410</v>
      </c>
      <c r="E2301" s="534">
        <v>769.9375</v>
      </c>
    </row>
    <row r="2302" spans="2:5" x14ac:dyDescent="0.2">
      <c r="B2302" s="533">
        <v>2638</v>
      </c>
      <c r="C2302" s="533" t="s">
        <v>4091</v>
      </c>
      <c r="D2302" s="656" t="s">
        <v>410</v>
      </c>
      <c r="E2302" s="534">
        <v>750.92499499999997</v>
      </c>
    </row>
    <row r="2303" spans="2:5" x14ac:dyDescent="0.2">
      <c r="B2303" s="533">
        <v>2639</v>
      </c>
      <c r="C2303" s="533" t="s">
        <v>6540</v>
      </c>
      <c r="D2303" s="656" t="s">
        <v>410</v>
      </c>
      <c r="E2303" s="534">
        <v>806.54286400000001</v>
      </c>
    </row>
    <row r="2304" spans="2:5" x14ac:dyDescent="0.2">
      <c r="B2304" s="533">
        <v>2640</v>
      </c>
      <c r="C2304" s="533" t="s">
        <v>6541</v>
      </c>
      <c r="D2304" s="656" t="s">
        <v>410</v>
      </c>
      <c r="E2304" s="534">
        <v>806.77499399999999</v>
      </c>
    </row>
    <row r="2305" spans="2:5" x14ac:dyDescent="0.2">
      <c r="B2305" s="533">
        <v>2641</v>
      </c>
      <c r="C2305" s="533" t="s">
        <v>2560</v>
      </c>
      <c r="D2305" s="656" t="s">
        <v>410</v>
      </c>
      <c r="E2305" s="534">
        <v>831.60908600000005</v>
      </c>
    </row>
    <row r="2306" spans="2:5" x14ac:dyDescent="0.2">
      <c r="B2306" s="533">
        <v>2642</v>
      </c>
      <c r="C2306" s="533" t="s">
        <v>5048</v>
      </c>
      <c r="D2306" s="656" t="s">
        <v>410</v>
      </c>
      <c r="E2306" s="534">
        <v>829</v>
      </c>
    </row>
    <row r="2307" spans="2:5" x14ac:dyDescent="0.2">
      <c r="B2307" s="533">
        <v>2643</v>
      </c>
      <c r="C2307" s="533" t="s">
        <v>5311</v>
      </c>
      <c r="D2307" s="656" t="s">
        <v>410</v>
      </c>
      <c r="E2307" s="534">
        <v>865.96666500000003</v>
      </c>
    </row>
    <row r="2308" spans="2:5" x14ac:dyDescent="0.2">
      <c r="B2308" s="533">
        <v>2644</v>
      </c>
      <c r="C2308" s="533" t="s">
        <v>4948</v>
      </c>
      <c r="D2308" s="656" t="s">
        <v>410</v>
      </c>
      <c r="E2308" s="534">
        <v>817.05714599999999</v>
      </c>
    </row>
    <row r="2309" spans="2:5" x14ac:dyDescent="0.2">
      <c r="B2309" s="533">
        <v>2645</v>
      </c>
      <c r="C2309" s="533" t="s">
        <v>5454</v>
      </c>
      <c r="D2309" s="656" t="s">
        <v>410</v>
      </c>
      <c r="E2309" s="534">
        <v>890.51818300000002</v>
      </c>
    </row>
    <row r="2310" spans="2:5" x14ac:dyDescent="0.2">
      <c r="B2310" s="533">
        <v>2646</v>
      </c>
      <c r="C2310" s="533" t="s">
        <v>1880</v>
      </c>
      <c r="D2310" s="656" t="s">
        <v>410</v>
      </c>
      <c r="E2310" s="534">
        <v>639.5</v>
      </c>
    </row>
    <row r="2311" spans="2:5" x14ac:dyDescent="0.2">
      <c r="B2311" s="533">
        <v>2647</v>
      </c>
      <c r="C2311" s="533" t="s">
        <v>1783</v>
      </c>
      <c r="D2311" s="656" t="s">
        <v>410</v>
      </c>
      <c r="E2311" s="534">
        <v>635.78333499999997</v>
      </c>
    </row>
    <row r="2312" spans="2:5" x14ac:dyDescent="0.2">
      <c r="B2312" s="533">
        <v>2648</v>
      </c>
      <c r="C2312" s="533" t="s">
        <v>2118</v>
      </c>
      <c r="D2312" s="656" t="s">
        <v>410</v>
      </c>
      <c r="E2312" s="534">
        <v>649.79998799999998</v>
      </c>
    </row>
    <row r="2313" spans="2:5" x14ac:dyDescent="0.2">
      <c r="B2313" s="533">
        <v>2649</v>
      </c>
      <c r="C2313" s="533" t="s">
        <v>1425</v>
      </c>
      <c r="D2313" s="656" t="s">
        <v>410</v>
      </c>
      <c r="E2313" s="534">
        <v>617</v>
      </c>
    </row>
    <row r="2314" spans="2:5" x14ac:dyDescent="0.2">
      <c r="B2314" s="533">
        <v>2650</v>
      </c>
      <c r="C2314" s="533" t="s">
        <v>1990</v>
      </c>
      <c r="D2314" s="656" t="s">
        <v>410</v>
      </c>
      <c r="E2314" s="534">
        <v>643.25</v>
      </c>
    </row>
    <row r="2315" spans="2:5" x14ac:dyDescent="0.2">
      <c r="B2315" s="533">
        <v>2651</v>
      </c>
      <c r="C2315" s="533" t="s">
        <v>1114</v>
      </c>
      <c r="D2315" s="656" t="s">
        <v>410</v>
      </c>
      <c r="E2315" s="534">
        <v>599.28571399999998</v>
      </c>
    </row>
    <row r="2316" spans="2:5" x14ac:dyDescent="0.2">
      <c r="B2316" s="533">
        <v>2652</v>
      </c>
      <c r="C2316" s="533" t="s">
        <v>2313</v>
      </c>
      <c r="D2316" s="656" t="s">
        <v>410</v>
      </c>
      <c r="E2316" s="534">
        <v>658.35293799999999</v>
      </c>
    </row>
    <row r="2317" spans="2:5" x14ac:dyDescent="0.2">
      <c r="B2317" s="533">
        <v>2653</v>
      </c>
      <c r="C2317" s="533" t="s">
        <v>2356</v>
      </c>
      <c r="D2317" s="656" t="s">
        <v>410</v>
      </c>
      <c r="E2317" s="534">
        <v>660.4</v>
      </c>
    </row>
    <row r="2318" spans="2:5" x14ac:dyDescent="0.2">
      <c r="B2318" s="533">
        <v>2654</v>
      </c>
      <c r="C2318" s="533" t="s">
        <v>410</v>
      </c>
      <c r="D2318" s="656" t="s">
        <v>410</v>
      </c>
      <c r="E2318" s="534">
        <v>686.460869</v>
      </c>
    </row>
    <row r="2319" spans="2:5" x14ac:dyDescent="0.2">
      <c r="B2319" s="533">
        <v>2655</v>
      </c>
      <c r="C2319" s="533" t="s">
        <v>2640</v>
      </c>
      <c r="D2319" s="656" t="s">
        <v>410</v>
      </c>
      <c r="E2319" s="534">
        <v>673.77499399999999</v>
      </c>
    </row>
    <row r="2320" spans="2:5" x14ac:dyDescent="0.2">
      <c r="B2320" s="533">
        <v>2656</v>
      </c>
      <c r="C2320" s="533" t="s">
        <v>2394</v>
      </c>
      <c r="D2320" s="656" t="s">
        <v>410</v>
      </c>
      <c r="E2320" s="534">
        <v>662.48000500000001</v>
      </c>
    </row>
    <row r="2321" spans="2:5" x14ac:dyDescent="0.2">
      <c r="B2321" s="533">
        <v>2657</v>
      </c>
      <c r="C2321" s="533" t="s">
        <v>2096</v>
      </c>
      <c r="D2321" s="656" t="s">
        <v>410</v>
      </c>
      <c r="E2321" s="534">
        <v>648.68335000000002</v>
      </c>
    </row>
    <row r="2322" spans="2:5" x14ac:dyDescent="0.2">
      <c r="B2322" s="533">
        <v>2659</v>
      </c>
      <c r="C2322" s="533" t="s">
        <v>3403</v>
      </c>
      <c r="D2322" s="656" t="s">
        <v>410</v>
      </c>
      <c r="E2322" s="534">
        <v>711.875</v>
      </c>
    </row>
    <row r="2323" spans="2:5" x14ac:dyDescent="0.2">
      <c r="B2323" s="533">
        <v>2660</v>
      </c>
      <c r="C2323" s="533" t="s">
        <v>2633</v>
      </c>
      <c r="D2323" s="656" t="s">
        <v>410</v>
      </c>
      <c r="E2323" s="534">
        <v>673.5</v>
      </c>
    </row>
    <row r="2324" spans="2:5" x14ac:dyDescent="0.2">
      <c r="B2324" s="533">
        <v>2661</v>
      </c>
      <c r="C2324" s="533" t="s">
        <v>3804</v>
      </c>
      <c r="D2324" s="656" t="s">
        <v>410</v>
      </c>
      <c r="E2324" s="534">
        <v>733.53332499999999</v>
      </c>
    </row>
    <row r="2325" spans="2:5" x14ac:dyDescent="0.2">
      <c r="B2325" s="533">
        <v>2662</v>
      </c>
      <c r="C2325" s="533" t="s">
        <v>3603</v>
      </c>
      <c r="D2325" s="656" t="s">
        <v>410</v>
      </c>
      <c r="E2325" s="534">
        <v>722.34444900000005</v>
      </c>
    </row>
    <row r="2326" spans="2:5" x14ac:dyDescent="0.2">
      <c r="B2326" s="533">
        <v>2663</v>
      </c>
      <c r="C2326" s="533" t="s">
        <v>4417</v>
      </c>
      <c r="D2326" s="656" t="s">
        <v>410</v>
      </c>
      <c r="E2326" s="534">
        <v>785.32499700000005</v>
      </c>
    </row>
    <row r="2327" spans="2:5" x14ac:dyDescent="0.2">
      <c r="B2327" s="533">
        <v>2664</v>
      </c>
      <c r="C2327" s="533" t="s">
        <v>4990</v>
      </c>
      <c r="D2327" s="656" t="s">
        <v>410</v>
      </c>
      <c r="E2327" s="534">
        <v>823.01250500000003</v>
      </c>
    </row>
    <row r="2328" spans="2:5" x14ac:dyDescent="0.2">
      <c r="B2328" s="533">
        <v>2665</v>
      </c>
      <c r="C2328" s="533" t="s">
        <v>4142</v>
      </c>
      <c r="D2328" s="656" t="s">
        <v>410</v>
      </c>
      <c r="E2328" s="534">
        <v>754.00999100000001</v>
      </c>
    </row>
    <row r="2329" spans="2:5" x14ac:dyDescent="0.2">
      <c r="B2329" s="533">
        <v>2666</v>
      </c>
      <c r="C2329" s="533" t="s">
        <v>3379</v>
      </c>
      <c r="D2329" s="656" t="s">
        <v>410</v>
      </c>
      <c r="E2329" s="534">
        <v>861.54999799999996</v>
      </c>
    </row>
    <row r="2330" spans="2:5" x14ac:dyDescent="0.2">
      <c r="B2330" s="533">
        <v>2667</v>
      </c>
      <c r="C2330" s="533" t="s">
        <v>5199</v>
      </c>
      <c r="D2330" s="656" t="s">
        <v>410</v>
      </c>
      <c r="E2330" s="534">
        <v>846.75</v>
      </c>
    </row>
    <row r="2331" spans="2:5" x14ac:dyDescent="0.2">
      <c r="B2331" s="533">
        <v>2668</v>
      </c>
      <c r="C2331" s="533" t="s">
        <v>4945</v>
      </c>
      <c r="D2331" s="656" t="s">
        <v>410</v>
      </c>
      <c r="E2331" s="534">
        <v>816.80000500000006</v>
      </c>
    </row>
    <row r="2332" spans="2:5" x14ac:dyDescent="0.2">
      <c r="B2332" s="533">
        <v>2669</v>
      </c>
      <c r="C2332" s="533" t="s">
        <v>5194</v>
      </c>
      <c r="D2332" s="656" t="s">
        <v>410</v>
      </c>
      <c r="E2332" s="534">
        <v>846.19999700000005</v>
      </c>
    </row>
    <row r="2333" spans="2:5" x14ac:dyDescent="0.2">
      <c r="B2333" s="533">
        <v>2670</v>
      </c>
      <c r="C2333" s="533" t="s">
        <v>5482</v>
      </c>
      <c r="D2333" s="656" t="s">
        <v>410</v>
      </c>
      <c r="E2333" s="534">
        <v>894.09997599999997</v>
      </c>
    </row>
    <row r="2334" spans="2:5" x14ac:dyDescent="0.2">
      <c r="B2334" s="533">
        <v>2671</v>
      </c>
      <c r="C2334" s="533" t="s">
        <v>4360</v>
      </c>
      <c r="D2334" s="656" t="s">
        <v>410</v>
      </c>
      <c r="E2334" s="534">
        <v>878.45714499999997</v>
      </c>
    </row>
    <row r="2335" spans="2:5" x14ac:dyDescent="0.2">
      <c r="B2335" s="533">
        <v>2672</v>
      </c>
      <c r="C2335" s="533" t="s">
        <v>5499</v>
      </c>
      <c r="D2335" s="656" t="s">
        <v>410</v>
      </c>
      <c r="E2335" s="534">
        <v>896.65555800000004</v>
      </c>
    </row>
    <row r="2336" spans="2:5" x14ac:dyDescent="0.2">
      <c r="B2336" s="533">
        <v>2673</v>
      </c>
      <c r="C2336" s="533" t="s">
        <v>2053</v>
      </c>
      <c r="D2336" s="656" t="s">
        <v>410</v>
      </c>
      <c r="E2336" s="534">
        <v>645.99165900000003</v>
      </c>
    </row>
    <row r="2337" spans="2:5" x14ac:dyDescent="0.2">
      <c r="B2337" s="533">
        <v>2674</v>
      </c>
      <c r="C2337" s="533" t="s">
        <v>1969</v>
      </c>
      <c r="D2337" s="656" t="s">
        <v>410</v>
      </c>
      <c r="E2337" s="534">
        <v>642.66666699999996</v>
      </c>
    </row>
    <row r="2338" spans="2:5" x14ac:dyDescent="0.2">
      <c r="B2338" s="533">
        <v>2675</v>
      </c>
      <c r="C2338" s="533" t="s">
        <v>2051</v>
      </c>
      <c r="D2338" s="656" t="s">
        <v>410</v>
      </c>
      <c r="E2338" s="534">
        <v>645.93332899999996</v>
      </c>
    </row>
    <row r="2339" spans="2:5" x14ac:dyDescent="0.2">
      <c r="B2339" s="533">
        <v>2676</v>
      </c>
      <c r="C2339" s="533" t="s">
        <v>2937</v>
      </c>
      <c r="D2339" s="656" t="s">
        <v>410</v>
      </c>
      <c r="E2339" s="534">
        <v>687.57499700000005</v>
      </c>
    </row>
    <row r="2340" spans="2:5" x14ac:dyDescent="0.2">
      <c r="B2340" s="533">
        <v>2677</v>
      </c>
      <c r="C2340" s="533" t="s">
        <v>954</v>
      </c>
      <c r="D2340" s="656" t="s">
        <v>410</v>
      </c>
      <c r="E2340" s="534">
        <v>644.53749800000003</v>
      </c>
    </row>
    <row r="2341" spans="2:5" x14ac:dyDescent="0.2">
      <c r="B2341" s="533">
        <v>2678</v>
      </c>
      <c r="C2341" s="533" t="s">
        <v>3428</v>
      </c>
      <c r="D2341" s="656" t="s">
        <v>410</v>
      </c>
      <c r="E2341" s="534">
        <v>712.75</v>
      </c>
    </row>
    <row r="2342" spans="2:5" x14ac:dyDescent="0.2">
      <c r="B2342" s="533">
        <v>2679</v>
      </c>
      <c r="C2342" s="533" t="s">
        <v>3650</v>
      </c>
      <c r="D2342" s="656" t="s">
        <v>410</v>
      </c>
      <c r="E2342" s="534">
        <v>724.85000600000001</v>
      </c>
    </row>
    <row r="2343" spans="2:5" x14ac:dyDescent="0.2">
      <c r="B2343" s="533">
        <v>2680</v>
      </c>
      <c r="C2343" s="533" t="s">
        <v>2768</v>
      </c>
      <c r="D2343" s="656" t="s">
        <v>410</v>
      </c>
      <c r="E2343" s="534">
        <v>679.64000199999998</v>
      </c>
    </row>
    <row r="2344" spans="2:5" x14ac:dyDescent="0.2">
      <c r="B2344" s="533">
        <v>2681</v>
      </c>
      <c r="C2344" s="533" t="s">
        <v>3106</v>
      </c>
      <c r="D2344" s="656" t="s">
        <v>410</v>
      </c>
      <c r="E2344" s="534">
        <v>696.85000600000001</v>
      </c>
    </row>
    <row r="2345" spans="2:5" x14ac:dyDescent="0.2">
      <c r="B2345" s="533">
        <v>2682</v>
      </c>
      <c r="C2345" s="533" t="s">
        <v>2865</v>
      </c>
      <c r="D2345" s="656" t="s">
        <v>410</v>
      </c>
      <c r="E2345" s="534">
        <v>684.85000600000001</v>
      </c>
    </row>
    <row r="2346" spans="2:5" x14ac:dyDescent="0.2">
      <c r="B2346" s="533">
        <v>2683</v>
      </c>
      <c r="C2346" s="533" t="s">
        <v>3143</v>
      </c>
      <c r="D2346" s="656" t="s">
        <v>410</v>
      </c>
      <c r="E2346" s="534">
        <v>699.10000600000001</v>
      </c>
    </row>
    <row r="2347" spans="2:5" x14ac:dyDescent="0.2">
      <c r="B2347" s="533">
        <v>2684</v>
      </c>
      <c r="C2347" s="533" t="s">
        <v>4241</v>
      </c>
      <c r="D2347" s="656" t="s">
        <v>410</v>
      </c>
      <c r="E2347" s="534">
        <v>760.85000600000001</v>
      </c>
    </row>
    <row r="2348" spans="2:5" x14ac:dyDescent="0.2">
      <c r="B2348" s="533">
        <v>2685</v>
      </c>
      <c r="C2348" s="533" t="s">
        <v>2080</v>
      </c>
      <c r="D2348" s="656" t="s">
        <v>410</v>
      </c>
      <c r="E2348" s="534">
        <v>647.78001700000004</v>
      </c>
    </row>
    <row r="2349" spans="2:5" x14ac:dyDescent="0.2">
      <c r="B2349" s="533">
        <v>2686</v>
      </c>
      <c r="C2349" s="533" t="s">
        <v>3629</v>
      </c>
      <c r="D2349" s="656" t="s">
        <v>410</v>
      </c>
      <c r="E2349" s="534">
        <v>723.77999299999999</v>
      </c>
    </row>
    <row r="2350" spans="2:5" x14ac:dyDescent="0.2">
      <c r="B2350" s="533">
        <v>2687</v>
      </c>
      <c r="C2350" s="533" t="s">
        <v>3268</v>
      </c>
      <c r="D2350" s="656" t="s">
        <v>410</v>
      </c>
      <c r="E2350" s="534">
        <v>704.48888499999998</v>
      </c>
    </row>
    <row r="2351" spans="2:5" x14ac:dyDescent="0.2">
      <c r="B2351" s="533">
        <v>2688</v>
      </c>
      <c r="C2351" s="533" t="s">
        <v>2771</v>
      </c>
      <c r="D2351" s="656" t="s">
        <v>410</v>
      </c>
      <c r="E2351" s="534">
        <v>679.75</v>
      </c>
    </row>
    <row r="2352" spans="2:5" x14ac:dyDescent="0.2">
      <c r="B2352" s="533">
        <v>2689</v>
      </c>
      <c r="C2352" s="533" t="s">
        <v>5062</v>
      </c>
      <c r="D2352" s="656" t="s">
        <v>410</v>
      </c>
      <c r="E2352" s="534">
        <v>830.76923499999998</v>
      </c>
    </row>
    <row r="2353" spans="2:5" x14ac:dyDescent="0.2">
      <c r="B2353" s="533">
        <v>2690</v>
      </c>
      <c r="C2353" s="533" t="s">
        <v>4813</v>
      </c>
      <c r="D2353" s="656" t="s">
        <v>410</v>
      </c>
      <c r="E2353" s="534">
        <v>805.65555099999995</v>
      </c>
    </row>
    <row r="2354" spans="2:5" x14ac:dyDescent="0.2">
      <c r="B2354" s="533">
        <v>2691</v>
      </c>
      <c r="C2354" s="533" t="s">
        <v>6823</v>
      </c>
      <c r="D2354" s="656" t="s">
        <v>410</v>
      </c>
      <c r="E2354" s="534">
        <v>834.10000600000001</v>
      </c>
    </row>
    <row r="2355" spans="2:5" x14ac:dyDescent="0.2">
      <c r="B2355" s="533">
        <v>2692</v>
      </c>
      <c r="C2355" s="533" t="s">
        <v>5015</v>
      </c>
      <c r="D2355" s="656" t="s">
        <v>410</v>
      </c>
      <c r="E2355" s="534">
        <v>825.06664999999998</v>
      </c>
    </row>
    <row r="2356" spans="2:5" x14ac:dyDescent="0.2">
      <c r="B2356" s="533">
        <v>2693</v>
      </c>
      <c r="C2356" s="533" t="s">
        <v>5331</v>
      </c>
      <c r="D2356" s="656" t="s">
        <v>410</v>
      </c>
      <c r="E2356" s="534">
        <v>869.36250299999995</v>
      </c>
    </row>
    <row r="2357" spans="2:5" x14ac:dyDescent="0.2">
      <c r="B2357" s="533">
        <v>2694</v>
      </c>
      <c r="C2357" s="533" t="s">
        <v>5335</v>
      </c>
      <c r="D2357" s="656" t="s">
        <v>410</v>
      </c>
      <c r="E2357" s="534">
        <v>869.75713199999996</v>
      </c>
    </row>
    <row r="2358" spans="2:5" x14ac:dyDescent="0.2">
      <c r="B2358" s="533">
        <v>2695</v>
      </c>
      <c r="C2358" s="533" t="s">
        <v>5211</v>
      </c>
      <c r="D2358" s="656" t="s">
        <v>410</v>
      </c>
      <c r="E2358" s="534">
        <v>848.57777899999996</v>
      </c>
    </row>
    <row r="2359" spans="2:5" x14ac:dyDescent="0.2">
      <c r="B2359" s="533">
        <v>2696</v>
      </c>
      <c r="C2359" s="533" t="s">
        <v>5505</v>
      </c>
      <c r="D2359" s="656" t="s">
        <v>410</v>
      </c>
      <c r="E2359" s="534">
        <v>897.41667700000005</v>
      </c>
    </row>
    <row r="2360" spans="2:5" x14ac:dyDescent="0.2">
      <c r="B2360" s="533">
        <v>2697</v>
      </c>
      <c r="C2360" s="533" t="s">
        <v>4895</v>
      </c>
      <c r="D2360" s="656" t="s">
        <v>410</v>
      </c>
      <c r="E2360" s="534">
        <v>812.72500600000001</v>
      </c>
    </row>
    <row r="2361" spans="2:5" x14ac:dyDescent="0.2">
      <c r="B2361" s="533">
        <v>2698</v>
      </c>
      <c r="C2361" s="533" t="s">
        <v>3904</v>
      </c>
      <c r="D2361" s="656" t="s">
        <v>410</v>
      </c>
      <c r="E2361" s="534">
        <v>739.69999700000005</v>
      </c>
    </row>
    <row r="2362" spans="2:5" x14ac:dyDescent="0.2">
      <c r="B2362" s="533">
        <v>2699</v>
      </c>
      <c r="C2362" s="533" t="s">
        <v>4622</v>
      </c>
      <c r="D2362" s="656" t="s">
        <v>410</v>
      </c>
      <c r="E2362" s="534">
        <v>790.94999700000005</v>
      </c>
    </row>
    <row r="2363" spans="2:5" x14ac:dyDescent="0.2">
      <c r="B2363" s="533">
        <v>2700</v>
      </c>
      <c r="C2363" s="533" t="s">
        <v>7478</v>
      </c>
      <c r="D2363" s="656" t="s">
        <v>410</v>
      </c>
      <c r="E2363" s="534">
        <v>748.65999799999997</v>
      </c>
    </row>
    <row r="2364" spans="2:5" x14ac:dyDescent="0.2">
      <c r="B2364" s="533">
        <v>2701</v>
      </c>
      <c r="C2364" s="533" t="s">
        <v>3591</v>
      </c>
      <c r="D2364" s="656" t="s">
        <v>410</v>
      </c>
      <c r="E2364" s="534">
        <v>721.37999300000001</v>
      </c>
    </row>
    <row r="2365" spans="2:5" x14ac:dyDescent="0.2">
      <c r="B2365" s="533">
        <v>2702</v>
      </c>
      <c r="C2365" s="533" t="s">
        <v>7406</v>
      </c>
      <c r="D2365" s="656" t="s">
        <v>410</v>
      </c>
      <c r="E2365" s="534">
        <v>762.80000500000006</v>
      </c>
    </row>
    <row r="2366" spans="2:5" x14ac:dyDescent="0.2">
      <c r="B2366" s="533">
        <v>2703</v>
      </c>
      <c r="C2366" s="533" t="s">
        <v>7579</v>
      </c>
      <c r="D2366" s="656" t="s">
        <v>410</v>
      </c>
      <c r="E2366" s="534">
        <v>795.63332100000002</v>
      </c>
    </row>
    <row r="2367" spans="2:5" x14ac:dyDescent="0.2">
      <c r="B2367" s="533">
        <v>2704</v>
      </c>
      <c r="C2367" s="533" t="s">
        <v>4179</v>
      </c>
      <c r="D2367" s="656" t="s">
        <v>410</v>
      </c>
      <c r="E2367" s="534">
        <v>756.592309</v>
      </c>
    </row>
    <row r="2368" spans="2:5" x14ac:dyDescent="0.2">
      <c r="B2368" s="533">
        <v>2705</v>
      </c>
      <c r="C2368" s="533" t="s">
        <v>4412</v>
      </c>
      <c r="D2368" s="656" t="s">
        <v>410</v>
      </c>
      <c r="E2368" s="534">
        <v>774.33998999999994</v>
      </c>
    </row>
    <row r="2369" spans="2:5" x14ac:dyDescent="0.2">
      <c r="B2369" s="533">
        <v>2706</v>
      </c>
      <c r="C2369" s="533" t="s">
        <v>7353</v>
      </c>
      <c r="D2369" s="656" t="s">
        <v>410</v>
      </c>
      <c r="E2369" s="534">
        <v>789.60000600000001</v>
      </c>
    </row>
    <row r="2370" spans="2:5" x14ac:dyDescent="0.2">
      <c r="B2370" s="533">
        <v>2707</v>
      </c>
      <c r="C2370" s="533" t="s">
        <v>3118</v>
      </c>
      <c r="D2370" s="656" t="s">
        <v>410</v>
      </c>
      <c r="E2370" s="534">
        <v>697.52497900000003</v>
      </c>
    </row>
    <row r="2371" spans="2:5" x14ac:dyDescent="0.2">
      <c r="B2371" s="533">
        <v>2708</v>
      </c>
      <c r="C2371" s="533" t="s">
        <v>6863</v>
      </c>
      <c r="D2371" s="656" t="s">
        <v>410</v>
      </c>
      <c r="E2371" s="534">
        <v>758.72000700000001</v>
      </c>
    </row>
    <row r="2372" spans="2:5" x14ac:dyDescent="0.2">
      <c r="B2372" s="533">
        <v>2709</v>
      </c>
      <c r="C2372" s="533" t="s">
        <v>3233</v>
      </c>
      <c r="D2372" s="656" t="s">
        <v>410</v>
      </c>
      <c r="E2372" s="534">
        <v>703.14999399999999</v>
      </c>
    </row>
    <row r="2373" spans="2:5" x14ac:dyDescent="0.2">
      <c r="B2373" s="533">
        <v>2710</v>
      </c>
      <c r="C2373" s="533" t="s">
        <v>3477</v>
      </c>
      <c r="D2373" s="656" t="s">
        <v>410</v>
      </c>
      <c r="E2373" s="534">
        <v>715.30000099999995</v>
      </c>
    </row>
    <row r="2374" spans="2:5" x14ac:dyDescent="0.2">
      <c r="B2374" s="533">
        <v>2711</v>
      </c>
      <c r="C2374" s="533" t="s">
        <v>3187</v>
      </c>
      <c r="D2374" s="656" t="s">
        <v>410</v>
      </c>
      <c r="E2374" s="534">
        <v>700.95999800000004</v>
      </c>
    </row>
    <row r="2375" spans="2:5" x14ac:dyDescent="0.2">
      <c r="B2375" s="533">
        <v>2751</v>
      </c>
      <c r="C2375" s="533" t="s">
        <v>1044</v>
      </c>
      <c r="D2375" s="656" t="s">
        <v>423</v>
      </c>
      <c r="E2375" s="534">
        <v>594.13334099999997</v>
      </c>
    </row>
    <row r="2376" spans="2:5" x14ac:dyDescent="0.2">
      <c r="B2376" s="533">
        <v>2752</v>
      </c>
      <c r="C2376" s="533" t="s">
        <v>3077</v>
      </c>
      <c r="D2376" s="656" t="s">
        <v>423</v>
      </c>
      <c r="E2376" s="534">
        <v>695.39999399999999</v>
      </c>
    </row>
    <row r="2377" spans="2:5" x14ac:dyDescent="0.2">
      <c r="B2377" s="533">
        <v>2753</v>
      </c>
      <c r="C2377" s="533" t="s">
        <v>976</v>
      </c>
      <c r="D2377" s="656" t="s">
        <v>423</v>
      </c>
      <c r="E2377" s="534">
        <v>587.58333300000004</v>
      </c>
    </row>
    <row r="2378" spans="2:5" x14ac:dyDescent="0.2">
      <c r="B2378" s="533">
        <v>2754</v>
      </c>
      <c r="C2378" s="533" t="s">
        <v>3725</v>
      </c>
      <c r="D2378" s="656" t="s">
        <v>423</v>
      </c>
      <c r="E2378" s="534">
        <v>728.96665399999995</v>
      </c>
    </row>
    <row r="2379" spans="2:5" x14ac:dyDescent="0.2">
      <c r="B2379" s="533">
        <v>2755</v>
      </c>
      <c r="C2379" s="533" t="s">
        <v>1982</v>
      </c>
      <c r="D2379" s="656" t="s">
        <v>423</v>
      </c>
      <c r="E2379" s="534">
        <v>643.13333599999999</v>
      </c>
    </row>
    <row r="2380" spans="2:5" x14ac:dyDescent="0.2">
      <c r="B2380" s="533">
        <v>2756</v>
      </c>
      <c r="C2380" s="533" t="s">
        <v>4206</v>
      </c>
      <c r="D2380" s="656" t="s">
        <v>423</v>
      </c>
      <c r="E2380" s="534">
        <v>758.56667100000004</v>
      </c>
    </row>
    <row r="2381" spans="2:5" x14ac:dyDescent="0.2">
      <c r="B2381" s="533">
        <v>2757</v>
      </c>
      <c r="C2381" s="533" t="s">
        <v>887</v>
      </c>
      <c r="D2381" s="656" t="s">
        <v>423</v>
      </c>
      <c r="E2381" s="534">
        <v>579.36667899999998</v>
      </c>
    </row>
    <row r="2382" spans="2:5" x14ac:dyDescent="0.2">
      <c r="B2382" s="533">
        <v>2758</v>
      </c>
      <c r="C2382" s="533" t="s">
        <v>981</v>
      </c>
      <c r="D2382" s="656" t="s">
        <v>423</v>
      </c>
      <c r="E2382" s="534">
        <v>588.07498199999998</v>
      </c>
    </row>
    <row r="2383" spans="2:5" x14ac:dyDescent="0.2">
      <c r="B2383" s="533">
        <v>2759</v>
      </c>
      <c r="C2383" s="533" t="s">
        <v>2939</v>
      </c>
      <c r="D2383" s="656" t="s">
        <v>423</v>
      </c>
      <c r="E2383" s="534">
        <v>687.65002400000003</v>
      </c>
    </row>
    <row r="2384" spans="2:5" x14ac:dyDescent="0.2">
      <c r="B2384" s="533">
        <v>2760</v>
      </c>
      <c r="C2384" s="533" t="s">
        <v>1417</v>
      </c>
      <c r="D2384" s="656" t="s">
        <v>416</v>
      </c>
      <c r="E2384" s="534">
        <v>616.64999399999999</v>
      </c>
    </row>
    <row r="2385" spans="2:5" x14ac:dyDescent="0.2">
      <c r="B2385" s="533">
        <v>2761</v>
      </c>
      <c r="C2385" s="533" t="s">
        <v>1907</v>
      </c>
      <c r="D2385" s="656" t="s">
        <v>423</v>
      </c>
      <c r="E2385" s="534">
        <v>640.63332100000002</v>
      </c>
    </row>
    <row r="2386" spans="2:5" x14ac:dyDescent="0.2">
      <c r="B2386" s="533">
        <v>2762</v>
      </c>
      <c r="C2386" s="533" t="s">
        <v>798</v>
      </c>
      <c r="D2386" s="656" t="s">
        <v>423</v>
      </c>
      <c r="E2386" s="534">
        <v>588.65000899999995</v>
      </c>
    </row>
    <row r="2387" spans="2:5" x14ac:dyDescent="0.2">
      <c r="B2387" s="533">
        <v>2763</v>
      </c>
      <c r="C2387" s="533" t="s">
        <v>2619</v>
      </c>
      <c r="D2387" s="656" t="s">
        <v>423</v>
      </c>
      <c r="E2387" s="534">
        <v>672.85000600000001</v>
      </c>
    </row>
    <row r="2388" spans="2:5" x14ac:dyDescent="0.2">
      <c r="B2388" s="533">
        <v>2764</v>
      </c>
      <c r="C2388" s="533" t="s">
        <v>2564</v>
      </c>
      <c r="D2388" s="656" t="s">
        <v>423</v>
      </c>
      <c r="E2388" s="534">
        <v>669.24286800000004</v>
      </c>
    </row>
    <row r="2389" spans="2:5" x14ac:dyDescent="0.2">
      <c r="B2389" s="533">
        <v>2765</v>
      </c>
      <c r="C2389" s="533" t="s">
        <v>6514</v>
      </c>
      <c r="D2389" s="656" t="s">
        <v>416</v>
      </c>
      <c r="E2389" s="534">
        <v>620.15000399999997</v>
      </c>
    </row>
    <row r="2390" spans="2:5" x14ac:dyDescent="0.2">
      <c r="B2390" s="533">
        <v>2766</v>
      </c>
      <c r="C2390" s="533" t="s">
        <v>6596</v>
      </c>
      <c r="D2390" s="656" t="s">
        <v>423</v>
      </c>
      <c r="E2390" s="534">
        <v>670.59997599999997</v>
      </c>
    </row>
    <row r="2391" spans="2:5" x14ac:dyDescent="0.2">
      <c r="B2391" s="533">
        <v>2767</v>
      </c>
      <c r="C2391" s="533" t="s">
        <v>1331</v>
      </c>
      <c r="D2391" s="656" t="s">
        <v>423</v>
      </c>
      <c r="E2391" s="534">
        <v>612.03332499999999</v>
      </c>
    </row>
    <row r="2392" spans="2:5" x14ac:dyDescent="0.2">
      <c r="B2392" s="533">
        <v>2768</v>
      </c>
      <c r="C2392" s="533" t="s">
        <v>2862</v>
      </c>
      <c r="D2392" s="656" t="s">
        <v>423</v>
      </c>
      <c r="E2392" s="534">
        <v>684.78001099999994</v>
      </c>
    </row>
    <row r="2393" spans="2:5" x14ac:dyDescent="0.2">
      <c r="B2393" s="533">
        <v>2769</v>
      </c>
      <c r="C2393" s="533" t="s">
        <v>1400</v>
      </c>
      <c r="D2393" s="656" t="s">
        <v>423</v>
      </c>
      <c r="E2393" s="534">
        <v>615.5</v>
      </c>
    </row>
    <row r="2394" spans="2:5" x14ac:dyDescent="0.2">
      <c r="B2394" s="533">
        <v>2770</v>
      </c>
      <c r="C2394" s="533" t="s">
        <v>3062</v>
      </c>
      <c r="D2394" s="656" t="s">
        <v>423</v>
      </c>
      <c r="E2394" s="534">
        <v>694.57499700000005</v>
      </c>
    </row>
    <row r="2395" spans="2:5" x14ac:dyDescent="0.2">
      <c r="B2395" s="533">
        <v>2771</v>
      </c>
      <c r="C2395" s="533" t="s">
        <v>1120</v>
      </c>
      <c r="D2395" s="656" t="s">
        <v>416</v>
      </c>
      <c r="E2395" s="534">
        <v>599.51666299999999</v>
      </c>
    </row>
    <row r="2396" spans="2:5" x14ac:dyDescent="0.2">
      <c r="B2396" s="533">
        <v>2772</v>
      </c>
      <c r="C2396" s="533" t="s">
        <v>416</v>
      </c>
      <c r="D2396" s="656" t="s">
        <v>416</v>
      </c>
      <c r="E2396" s="534">
        <v>644.40454699999998</v>
      </c>
    </row>
    <row r="2397" spans="2:5" x14ac:dyDescent="0.2">
      <c r="B2397" s="533">
        <v>2773</v>
      </c>
      <c r="C2397" s="541" t="s">
        <v>2343</v>
      </c>
      <c r="D2397" s="656" t="s">
        <v>423</v>
      </c>
      <c r="E2397" s="534">
        <v>659.70000200000004</v>
      </c>
    </row>
    <row r="2398" spans="2:5" x14ac:dyDescent="0.2">
      <c r="B2398" s="533">
        <v>2774</v>
      </c>
      <c r="C2398" s="533" t="s">
        <v>2465</v>
      </c>
      <c r="D2398" s="656" t="s">
        <v>423</v>
      </c>
      <c r="E2398" s="534">
        <v>686.35999800000002</v>
      </c>
    </row>
    <row r="2399" spans="2:5" x14ac:dyDescent="0.2">
      <c r="B2399" s="533">
        <v>2775</v>
      </c>
      <c r="C2399" s="533" t="s">
        <v>1070</v>
      </c>
      <c r="D2399" s="656" t="s">
        <v>423</v>
      </c>
      <c r="E2399" s="534">
        <v>596.06923300000005</v>
      </c>
    </row>
    <row r="2400" spans="2:5" x14ac:dyDescent="0.2">
      <c r="B2400" s="533">
        <v>2776</v>
      </c>
      <c r="C2400" s="533" t="s">
        <v>939</v>
      </c>
      <c r="D2400" s="656" t="s">
        <v>423</v>
      </c>
      <c r="E2400" s="534">
        <v>583.92498799999998</v>
      </c>
    </row>
    <row r="2401" spans="2:5" x14ac:dyDescent="0.2">
      <c r="B2401" s="533">
        <v>2777</v>
      </c>
      <c r="C2401" s="533" t="s">
        <v>1089</v>
      </c>
      <c r="D2401" s="656" t="s">
        <v>423</v>
      </c>
      <c r="E2401" s="534">
        <v>597.31668100000002</v>
      </c>
    </row>
    <row r="2402" spans="2:5" x14ac:dyDescent="0.2">
      <c r="B2402" s="533">
        <v>2778</v>
      </c>
      <c r="C2402" s="533" t="s">
        <v>2200</v>
      </c>
      <c r="D2402" s="656" t="s">
        <v>423</v>
      </c>
      <c r="E2402" s="534">
        <v>653.29999899999996</v>
      </c>
    </row>
    <row r="2403" spans="2:5" x14ac:dyDescent="0.2">
      <c r="B2403" s="533">
        <v>2779</v>
      </c>
      <c r="C2403" s="533" t="s">
        <v>2854</v>
      </c>
      <c r="D2403" s="656" t="s">
        <v>423</v>
      </c>
      <c r="E2403" s="534">
        <v>684.52499399999999</v>
      </c>
    </row>
    <row r="2404" spans="2:5" x14ac:dyDescent="0.2">
      <c r="B2404" s="533">
        <v>2780</v>
      </c>
      <c r="C2404" s="533" t="s">
        <v>1265</v>
      </c>
      <c r="D2404" s="656" t="s">
        <v>416</v>
      </c>
      <c r="E2404" s="534">
        <v>607.87999300000001</v>
      </c>
    </row>
    <row r="2405" spans="2:5" x14ac:dyDescent="0.2">
      <c r="B2405" s="533">
        <v>2781</v>
      </c>
      <c r="C2405" s="533" t="s">
        <v>6745</v>
      </c>
      <c r="D2405" s="656" t="s">
        <v>423</v>
      </c>
      <c r="E2405" s="534">
        <v>630.5</v>
      </c>
    </row>
    <row r="2406" spans="2:5" x14ac:dyDescent="0.2">
      <c r="B2406" s="533">
        <v>2782</v>
      </c>
      <c r="C2406" s="533" t="s">
        <v>1095</v>
      </c>
      <c r="D2406" s="656" t="s">
        <v>423</v>
      </c>
      <c r="E2406" s="534">
        <v>598.09999600000003</v>
      </c>
    </row>
    <row r="2407" spans="2:5" x14ac:dyDescent="0.2">
      <c r="B2407" s="533">
        <v>2783</v>
      </c>
      <c r="C2407" s="533" t="s">
        <v>3260</v>
      </c>
      <c r="D2407" s="656" t="s">
        <v>423</v>
      </c>
      <c r="E2407" s="534">
        <v>703.911112</v>
      </c>
    </row>
    <row r="2408" spans="2:5" x14ac:dyDescent="0.2">
      <c r="B2408" s="533">
        <v>2784</v>
      </c>
      <c r="C2408" s="533" t="s">
        <v>891</v>
      </c>
      <c r="D2408" s="656" t="s">
        <v>423</v>
      </c>
      <c r="E2408" s="534">
        <v>579.62000699999999</v>
      </c>
    </row>
    <row r="2409" spans="2:5" x14ac:dyDescent="0.2">
      <c r="B2409" s="533">
        <v>2785</v>
      </c>
      <c r="C2409" s="533" t="s">
        <v>953</v>
      </c>
      <c r="D2409" s="656" t="s">
        <v>423</v>
      </c>
      <c r="E2409" s="534">
        <v>585.72857699999997</v>
      </c>
    </row>
    <row r="2410" spans="2:5" x14ac:dyDescent="0.2">
      <c r="B2410" s="533">
        <v>2786</v>
      </c>
      <c r="C2410" s="533" t="s">
        <v>6860</v>
      </c>
      <c r="D2410" s="656" t="s">
        <v>416</v>
      </c>
      <c r="E2410" s="534">
        <v>604.53333499999997</v>
      </c>
    </row>
    <row r="2411" spans="2:5" x14ac:dyDescent="0.2">
      <c r="B2411" s="533">
        <v>2787</v>
      </c>
      <c r="C2411" s="533" t="s">
        <v>6868</v>
      </c>
      <c r="D2411" s="656" t="s">
        <v>423</v>
      </c>
      <c r="E2411" s="534">
        <v>591.14285700000005</v>
      </c>
    </row>
    <row r="2412" spans="2:5" x14ac:dyDescent="0.2">
      <c r="B2412" s="533">
        <v>2788</v>
      </c>
      <c r="C2412" s="533" t="s">
        <v>6875</v>
      </c>
      <c r="D2412" s="656" t="s">
        <v>423</v>
      </c>
      <c r="E2412" s="534">
        <v>735.69998199999998</v>
      </c>
    </row>
    <row r="2413" spans="2:5" x14ac:dyDescent="0.2">
      <c r="B2413" s="533">
        <v>2789</v>
      </c>
      <c r="C2413" s="533" t="s">
        <v>996</v>
      </c>
      <c r="D2413" s="656" t="s">
        <v>423</v>
      </c>
      <c r="E2413" s="534">
        <v>589.68333900000005</v>
      </c>
    </row>
    <row r="2414" spans="2:5" x14ac:dyDescent="0.2">
      <c r="B2414" s="533">
        <v>2790</v>
      </c>
      <c r="C2414" s="533" t="s">
        <v>961</v>
      </c>
      <c r="D2414" s="656" t="s">
        <v>423</v>
      </c>
      <c r="E2414" s="534">
        <v>585.81110999999999</v>
      </c>
    </row>
    <row r="2415" spans="2:5" x14ac:dyDescent="0.2">
      <c r="B2415" s="533">
        <v>2791</v>
      </c>
      <c r="C2415" s="533" t="s">
        <v>1297</v>
      </c>
      <c r="D2415" s="656" t="s">
        <v>423</v>
      </c>
      <c r="E2415" s="534">
        <v>610.15000399999997</v>
      </c>
    </row>
    <row r="2416" spans="2:5" x14ac:dyDescent="0.2">
      <c r="B2416" s="533">
        <v>2792</v>
      </c>
      <c r="C2416" s="533" t="s">
        <v>1933</v>
      </c>
      <c r="D2416" s="656" t="s">
        <v>423</v>
      </c>
      <c r="E2416" s="534">
        <v>641.5</v>
      </c>
    </row>
    <row r="2417" spans="2:5" x14ac:dyDescent="0.2">
      <c r="B2417" s="533">
        <v>2793</v>
      </c>
      <c r="C2417" s="533" t="s">
        <v>6979</v>
      </c>
      <c r="D2417" s="656" t="s">
        <v>423</v>
      </c>
      <c r="E2417" s="534">
        <v>612.14999399999999</v>
      </c>
    </row>
    <row r="2418" spans="2:5" x14ac:dyDescent="0.2">
      <c r="B2418" s="533">
        <v>2794</v>
      </c>
      <c r="C2418" s="533" t="s">
        <v>2883</v>
      </c>
      <c r="D2418" s="656" t="s">
        <v>423</v>
      </c>
      <c r="E2418" s="534">
        <v>685.68332899999996</v>
      </c>
    </row>
    <row r="2419" spans="2:5" x14ac:dyDescent="0.2">
      <c r="B2419" s="533">
        <v>2795</v>
      </c>
      <c r="C2419" s="533" t="s">
        <v>1857</v>
      </c>
      <c r="D2419" s="656" t="s">
        <v>423</v>
      </c>
      <c r="E2419" s="534">
        <v>685.30001100000004</v>
      </c>
    </row>
    <row r="2420" spans="2:5" x14ac:dyDescent="0.2">
      <c r="B2420" s="533">
        <v>2796</v>
      </c>
      <c r="C2420" s="533" t="s">
        <v>1122</v>
      </c>
      <c r="D2420" s="656" t="s">
        <v>423</v>
      </c>
      <c r="E2420" s="534">
        <v>599.57500500000003</v>
      </c>
    </row>
    <row r="2421" spans="2:5" x14ac:dyDescent="0.2">
      <c r="B2421" s="533">
        <v>2797</v>
      </c>
      <c r="C2421" s="533" t="s">
        <v>6964</v>
      </c>
      <c r="D2421" s="656" t="s">
        <v>423</v>
      </c>
      <c r="E2421" s="534">
        <v>597.66363000000001</v>
      </c>
    </row>
    <row r="2422" spans="2:5" x14ac:dyDescent="0.2">
      <c r="B2422" s="533">
        <v>2798</v>
      </c>
      <c r="C2422" s="533" t="s">
        <v>919</v>
      </c>
      <c r="D2422" s="656" t="s">
        <v>423</v>
      </c>
      <c r="E2422" s="534">
        <v>582.66001000000006</v>
      </c>
    </row>
    <row r="2423" spans="2:5" x14ac:dyDescent="0.2">
      <c r="B2423" s="533">
        <v>2799</v>
      </c>
      <c r="C2423" s="533" t="s">
        <v>6549</v>
      </c>
      <c r="D2423" s="656" t="s">
        <v>423</v>
      </c>
      <c r="E2423" s="534">
        <v>581.93572600000005</v>
      </c>
    </row>
    <row r="2424" spans="2:5" x14ac:dyDescent="0.2">
      <c r="B2424" s="533">
        <v>2800</v>
      </c>
      <c r="C2424" s="533" t="s">
        <v>7034</v>
      </c>
      <c r="D2424" s="656" t="s">
        <v>416</v>
      </c>
      <c r="E2424" s="534">
        <v>599.22499100000005</v>
      </c>
    </row>
    <row r="2425" spans="2:5" x14ac:dyDescent="0.2">
      <c r="B2425" s="533">
        <v>2801</v>
      </c>
      <c r="C2425" s="533" t="s">
        <v>7047</v>
      </c>
      <c r="D2425" s="656" t="s">
        <v>423</v>
      </c>
      <c r="E2425" s="534">
        <v>589.39999399999999</v>
      </c>
    </row>
    <row r="2426" spans="2:5" x14ac:dyDescent="0.2">
      <c r="B2426" s="533">
        <v>2802</v>
      </c>
      <c r="C2426" s="533" t="s">
        <v>825</v>
      </c>
      <c r="D2426" s="656" t="s">
        <v>423</v>
      </c>
      <c r="E2426" s="534">
        <v>573.29999999999995</v>
      </c>
    </row>
    <row r="2427" spans="2:5" x14ac:dyDescent="0.2">
      <c r="B2427" s="533">
        <v>2803</v>
      </c>
      <c r="C2427" s="533" t="s">
        <v>3368</v>
      </c>
      <c r="D2427" s="656" t="s">
        <v>423</v>
      </c>
      <c r="E2427" s="534">
        <v>709.620001</v>
      </c>
    </row>
    <row r="2428" spans="2:5" x14ac:dyDescent="0.2">
      <c r="B2428" s="533">
        <v>2804</v>
      </c>
      <c r="C2428" s="533" t="s">
        <v>2741</v>
      </c>
      <c r="D2428" s="656" t="s">
        <v>423</v>
      </c>
      <c r="E2428" s="534">
        <v>678.385716</v>
      </c>
    </row>
    <row r="2429" spans="2:5" x14ac:dyDescent="0.2">
      <c r="B2429" s="533">
        <v>2805</v>
      </c>
      <c r="C2429" s="533" t="s">
        <v>3966</v>
      </c>
      <c r="D2429" s="656" t="s">
        <v>423</v>
      </c>
      <c r="E2429" s="534">
        <v>743.60000600000001</v>
      </c>
    </row>
    <row r="2430" spans="2:5" x14ac:dyDescent="0.2">
      <c r="B2430" s="533">
        <v>2806</v>
      </c>
      <c r="C2430" s="533" t="s">
        <v>1997</v>
      </c>
      <c r="D2430" s="656" t="s">
        <v>423</v>
      </c>
      <c r="E2430" s="534">
        <v>643.52000699999996</v>
      </c>
    </row>
    <row r="2431" spans="2:5" x14ac:dyDescent="0.2">
      <c r="B2431" s="533">
        <v>2807</v>
      </c>
      <c r="C2431" s="533" t="s">
        <v>1788</v>
      </c>
      <c r="D2431" s="656" t="s">
        <v>423</v>
      </c>
      <c r="E2431" s="534">
        <v>635.91332999999997</v>
      </c>
    </row>
    <row r="2432" spans="2:5" x14ac:dyDescent="0.2">
      <c r="B2432" s="533">
        <v>2808</v>
      </c>
      <c r="C2432" s="533" t="s">
        <v>1440</v>
      </c>
      <c r="D2432" s="656" t="s">
        <v>416</v>
      </c>
      <c r="E2432" s="534">
        <v>617.5</v>
      </c>
    </row>
    <row r="2433" spans="2:5" x14ac:dyDescent="0.2">
      <c r="B2433" s="533">
        <v>2809</v>
      </c>
      <c r="C2433" s="533" t="s">
        <v>1413</v>
      </c>
      <c r="D2433" s="656" t="s">
        <v>416</v>
      </c>
      <c r="E2433" s="534">
        <v>616.48571800000002</v>
      </c>
    </row>
    <row r="2434" spans="2:5" x14ac:dyDescent="0.2">
      <c r="B2434" s="533">
        <v>2810</v>
      </c>
      <c r="C2434" s="533" t="s">
        <v>2197</v>
      </c>
      <c r="D2434" s="656" t="s">
        <v>423</v>
      </c>
      <c r="E2434" s="534">
        <v>653.116669</v>
      </c>
    </row>
    <row r="2435" spans="2:5" x14ac:dyDescent="0.2">
      <c r="B2435" s="533">
        <v>2811</v>
      </c>
      <c r="C2435" s="533" t="s">
        <v>1188</v>
      </c>
      <c r="D2435" s="656" t="s">
        <v>416</v>
      </c>
      <c r="E2435" s="534">
        <v>603.6</v>
      </c>
    </row>
    <row r="2436" spans="2:5" x14ac:dyDescent="0.2">
      <c r="B2436" s="533">
        <v>2812</v>
      </c>
      <c r="C2436" s="533" t="s">
        <v>980</v>
      </c>
      <c r="D2436" s="656" t="s">
        <v>423</v>
      </c>
      <c r="E2436" s="534">
        <v>587.83332800000005</v>
      </c>
    </row>
    <row r="2437" spans="2:5" x14ac:dyDescent="0.2">
      <c r="B2437" s="533">
        <v>2813</v>
      </c>
      <c r="C2437" s="533" t="s">
        <v>928</v>
      </c>
      <c r="D2437" s="656" t="s">
        <v>423</v>
      </c>
      <c r="E2437" s="534">
        <v>583.21999500000004</v>
      </c>
    </row>
    <row r="2438" spans="2:5" x14ac:dyDescent="0.2">
      <c r="B2438" s="533">
        <v>2814</v>
      </c>
      <c r="C2438" s="533" t="s">
        <v>1867</v>
      </c>
      <c r="D2438" s="656" t="s">
        <v>423</v>
      </c>
      <c r="E2438" s="534">
        <v>639.070831</v>
      </c>
    </row>
    <row r="2439" spans="2:5" x14ac:dyDescent="0.2">
      <c r="B2439" s="533">
        <v>2815</v>
      </c>
      <c r="C2439" s="533" t="s">
        <v>3859</v>
      </c>
      <c r="D2439" s="656" t="s">
        <v>423</v>
      </c>
      <c r="E2439" s="534">
        <v>736.66666699999996</v>
      </c>
    </row>
    <row r="2440" spans="2:5" x14ac:dyDescent="0.2">
      <c r="B2440" s="533">
        <v>2816</v>
      </c>
      <c r="C2440" s="533" t="s">
        <v>7067</v>
      </c>
      <c r="D2440" s="656" t="s">
        <v>423</v>
      </c>
      <c r="E2440" s="534">
        <v>630.52857300000005</v>
      </c>
    </row>
    <row r="2441" spans="2:5" x14ac:dyDescent="0.2">
      <c r="B2441" s="533">
        <v>2817</v>
      </c>
      <c r="C2441" s="533" t="s">
        <v>7167</v>
      </c>
      <c r="D2441" s="656" t="s">
        <v>416</v>
      </c>
      <c r="E2441" s="534">
        <v>610.97499100000005</v>
      </c>
    </row>
    <row r="2442" spans="2:5" x14ac:dyDescent="0.2">
      <c r="B2442" s="533">
        <v>2818</v>
      </c>
      <c r="C2442" s="533" t="s">
        <v>6521</v>
      </c>
      <c r="D2442" s="656" t="s">
        <v>423</v>
      </c>
      <c r="E2442" s="534">
        <v>601.30768799999998</v>
      </c>
    </row>
    <row r="2443" spans="2:5" x14ac:dyDescent="0.2">
      <c r="B2443" s="533">
        <v>2819</v>
      </c>
      <c r="C2443" s="533" t="s">
        <v>7201</v>
      </c>
      <c r="D2443" s="656" t="s">
        <v>423</v>
      </c>
      <c r="E2443" s="534">
        <v>599.42857100000003</v>
      </c>
    </row>
    <row r="2444" spans="2:5" x14ac:dyDescent="0.2">
      <c r="B2444" s="533">
        <v>2820</v>
      </c>
      <c r="C2444" s="533" t="s">
        <v>1005</v>
      </c>
      <c r="D2444" s="656" t="s">
        <v>423</v>
      </c>
      <c r="E2444" s="534">
        <v>603.54999799999996</v>
      </c>
    </row>
    <row r="2445" spans="2:5" x14ac:dyDescent="0.2">
      <c r="B2445" s="533">
        <v>2821</v>
      </c>
      <c r="C2445" s="533" t="s">
        <v>1071</v>
      </c>
      <c r="D2445" s="656" t="s">
        <v>423</v>
      </c>
      <c r="E2445" s="534">
        <v>596.09997599999997</v>
      </c>
    </row>
    <row r="2446" spans="2:5" x14ac:dyDescent="0.2">
      <c r="B2446" s="533">
        <v>2822</v>
      </c>
      <c r="C2446" s="533" t="s">
        <v>1573</v>
      </c>
      <c r="D2446" s="656" t="s">
        <v>423</v>
      </c>
      <c r="E2446" s="534">
        <v>625.44999399999995</v>
      </c>
    </row>
    <row r="2447" spans="2:5" x14ac:dyDescent="0.2">
      <c r="B2447" s="533">
        <v>2823</v>
      </c>
      <c r="C2447" s="533" t="s">
        <v>1156</v>
      </c>
      <c r="D2447" s="656" t="s">
        <v>423</v>
      </c>
      <c r="E2447" s="534">
        <v>602.06667100000004</v>
      </c>
    </row>
    <row r="2448" spans="2:5" x14ac:dyDescent="0.2">
      <c r="B2448" s="533">
        <v>2824</v>
      </c>
      <c r="C2448" s="533" t="s">
        <v>910</v>
      </c>
      <c r="D2448" s="656" t="s">
        <v>423</v>
      </c>
      <c r="E2448" s="534">
        <v>581.32499700000005</v>
      </c>
    </row>
    <row r="2449" spans="2:5" x14ac:dyDescent="0.2">
      <c r="B2449" s="533">
        <v>2825</v>
      </c>
      <c r="C2449" s="533" t="s">
        <v>1405</v>
      </c>
      <c r="D2449" s="656" t="s">
        <v>423</v>
      </c>
      <c r="E2449" s="534">
        <v>616.17498799999998</v>
      </c>
    </row>
    <row r="2450" spans="2:5" x14ac:dyDescent="0.2">
      <c r="B2450" s="533">
        <v>2826</v>
      </c>
      <c r="C2450" s="533" t="s">
        <v>7277</v>
      </c>
      <c r="D2450" s="656" t="s">
        <v>423</v>
      </c>
      <c r="E2450" s="534">
        <v>682.39997900000003</v>
      </c>
    </row>
    <row r="2451" spans="2:5" x14ac:dyDescent="0.2">
      <c r="B2451" s="533">
        <v>2827</v>
      </c>
      <c r="C2451" s="533" t="s">
        <v>880</v>
      </c>
      <c r="D2451" s="656" t="s">
        <v>423</v>
      </c>
      <c r="E2451" s="534">
        <v>578.64999399999999</v>
      </c>
    </row>
    <row r="2452" spans="2:5" x14ac:dyDescent="0.2">
      <c r="B2452" s="533">
        <v>2828</v>
      </c>
      <c r="C2452" s="533" t="s">
        <v>1292</v>
      </c>
      <c r="D2452" s="656" t="s">
        <v>423</v>
      </c>
      <c r="E2452" s="534">
        <v>609.83332299999995</v>
      </c>
    </row>
    <row r="2453" spans="2:5" x14ac:dyDescent="0.2">
      <c r="B2453" s="533">
        <v>2829</v>
      </c>
      <c r="C2453" s="533" t="s">
        <v>7346</v>
      </c>
      <c r="D2453" s="656" t="s">
        <v>423</v>
      </c>
      <c r="E2453" s="534">
        <v>690.90002400000003</v>
      </c>
    </row>
    <row r="2454" spans="2:5" x14ac:dyDescent="0.2">
      <c r="B2454" s="533">
        <v>2830</v>
      </c>
      <c r="C2454" s="533" t="s">
        <v>7200</v>
      </c>
      <c r="D2454" s="656" t="s">
        <v>423</v>
      </c>
      <c r="E2454" s="534">
        <v>622.95000500000003</v>
      </c>
    </row>
    <row r="2455" spans="2:5" x14ac:dyDescent="0.2">
      <c r="B2455" s="533">
        <v>2831</v>
      </c>
      <c r="C2455" s="533" t="s">
        <v>984</v>
      </c>
      <c r="D2455" s="656" t="s">
        <v>423</v>
      </c>
      <c r="E2455" s="534">
        <v>588.53334600000005</v>
      </c>
    </row>
    <row r="2456" spans="2:5" x14ac:dyDescent="0.2">
      <c r="B2456" s="533">
        <v>2832</v>
      </c>
      <c r="C2456" s="533" t="s">
        <v>1218</v>
      </c>
      <c r="D2456" s="656" t="s">
        <v>423</v>
      </c>
      <c r="E2456" s="534">
        <v>605.37857099999997</v>
      </c>
    </row>
    <row r="2457" spans="2:5" x14ac:dyDescent="0.2">
      <c r="B2457" s="533">
        <v>2833</v>
      </c>
      <c r="C2457" s="533" t="s">
        <v>912</v>
      </c>
      <c r="D2457" s="656" t="s">
        <v>423</v>
      </c>
      <c r="E2457" s="534">
        <v>581.51428199999998</v>
      </c>
    </row>
    <row r="2458" spans="2:5" x14ac:dyDescent="0.2">
      <c r="B2458" s="533">
        <v>2834</v>
      </c>
      <c r="C2458" s="533" t="s">
        <v>3013</v>
      </c>
      <c r="D2458" s="656" t="s">
        <v>423</v>
      </c>
      <c r="E2458" s="534">
        <v>692</v>
      </c>
    </row>
    <row r="2459" spans="2:5" x14ac:dyDescent="0.2">
      <c r="B2459" s="533">
        <v>2835</v>
      </c>
      <c r="C2459" s="533" t="s">
        <v>851</v>
      </c>
      <c r="D2459" s="656" t="s">
        <v>423</v>
      </c>
      <c r="E2459" s="534">
        <v>575.51667299999997</v>
      </c>
    </row>
    <row r="2460" spans="2:5" x14ac:dyDescent="0.2">
      <c r="B2460" s="533">
        <v>2836</v>
      </c>
      <c r="C2460" s="533" t="s">
        <v>1444</v>
      </c>
      <c r="D2460" s="656" t="s">
        <v>416</v>
      </c>
      <c r="E2460" s="534">
        <v>617.866669</v>
      </c>
    </row>
    <row r="2461" spans="2:5" x14ac:dyDescent="0.2">
      <c r="B2461" s="533">
        <v>2837</v>
      </c>
      <c r="C2461" s="533" t="s">
        <v>1213</v>
      </c>
      <c r="D2461" s="656" t="s">
        <v>423</v>
      </c>
      <c r="E2461" s="534">
        <v>605.17142999999999</v>
      </c>
    </row>
    <row r="2462" spans="2:5" x14ac:dyDescent="0.2">
      <c r="B2462" s="533">
        <v>2838</v>
      </c>
      <c r="C2462" s="533" t="s">
        <v>7548</v>
      </c>
      <c r="D2462" s="656" t="s">
        <v>423</v>
      </c>
      <c r="E2462" s="534">
        <v>673.03333499999997</v>
      </c>
    </row>
    <row r="2463" spans="2:5" x14ac:dyDescent="0.2">
      <c r="B2463" s="533">
        <v>2839</v>
      </c>
      <c r="C2463" s="533" t="s">
        <v>2938</v>
      </c>
      <c r="D2463" s="656" t="s">
        <v>423</v>
      </c>
      <c r="E2463" s="534">
        <v>687.57999299999994</v>
      </c>
    </row>
    <row r="2464" spans="2:5" x14ac:dyDescent="0.2">
      <c r="B2464" s="533">
        <v>2840</v>
      </c>
      <c r="C2464" s="533" t="s">
        <v>1061</v>
      </c>
      <c r="D2464" s="656" t="s">
        <v>423</v>
      </c>
      <c r="E2464" s="534">
        <v>595.25</v>
      </c>
    </row>
    <row r="2465" spans="2:5" x14ac:dyDescent="0.2">
      <c r="B2465" s="533">
        <v>2841</v>
      </c>
      <c r="C2465" s="533" t="s">
        <v>1243</v>
      </c>
      <c r="D2465" s="656" t="s">
        <v>423</v>
      </c>
      <c r="E2465" s="534">
        <v>606.66666699999996</v>
      </c>
    </row>
    <row r="2466" spans="2:5" x14ac:dyDescent="0.2">
      <c r="B2466" s="533">
        <v>2842</v>
      </c>
      <c r="C2466" s="533" t="s">
        <v>1167</v>
      </c>
      <c r="D2466" s="656" t="s">
        <v>423</v>
      </c>
      <c r="E2466" s="534">
        <v>602.70588199999997</v>
      </c>
    </row>
    <row r="2467" spans="2:5" x14ac:dyDescent="0.2">
      <c r="B2467" s="533">
        <v>2843</v>
      </c>
      <c r="C2467" s="533" t="s">
        <v>1599</v>
      </c>
      <c r="D2467" s="656" t="s">
        <v>423</v>
      </c>
      <c r="E2467" s="534">
        <v>626.93332899999996</v>
      </c>
    </row>
    <row r="2468" spans="2:5" x14ac:dyDescent="0.2">
      <c r="B2468" s="533">
        <v>2844</v>
      </c>
      <c r="C2468" s="533" t="s">
        <v>2590</v>
      </c>
      <c r="D2468" s="656" t="s">
        <v>423</v>
      </c>
      <c r="E2468" s="534">
        <v>670.70001200000002</v>
      </c>
    </row>
    <row r="2469" spans="2:5" x14ac:dyDescent="0.2">
      <c r="B2469" s="533">
        <v>2845</v>
      </c>
      <c r="C2469" s="533" t="s">
        <v>1352</v>
      </c>
      <c r="D2469" s="656" t="s">
        <v>423</v>
      </c>
      <c r="E2469" s="534">
        <v>613.12501499999996</v>
      </c>
    </row>
    <row r="2470" spans="2:5" x14ac:dyDescent="0.2">
      <c r="B2470" s="533">
        <v>2846</v>
      </c>
      <c r="C2470" s="533" t="s">
        <v>978</v>
      </c>
      <c r="D2470" s="656" t="s">
        <v>423</v>
      </c>
      <c r="E2470" s="534">
        <v>587.78333499999997</v>
      </c>
    </row>
    <row r="2471" spans="2:5" x14ac:dyDescent="0.2">
      <c r="B2471" s="533">
        <v>2847</v>
      </c>
      <c r="C2471" s="533" t="s">
        <v>1661</v>
      </c>
      <c r="D2471" s="656" t="s">
        <v>423</v>
      </c>
      <c r="E2471" s="534">
        <v>630.70001200000002</v>
      </c>
    </row>
    <row r="2472" spans="2:5" x14ac:dyDescent="0.2">
      <c r="B2472" s="533">
        <v>2848</v>
      </c>
      <c r="C2472" s="533" t="s">
        <v>958</v>
      </c>
      <c r="D2472" s="656" t="s">
        <v>423</v>
      </c>
      <c r="E2472" s="534">
        <v>585.54284700000005</v>
      </c>
    </row>
    <row r="2473" spans="2:5" x14ac:dyDescent="0.2">
      <c r="B2473" s="533">
        <v>2849</v>
      </c>
      <c r="C2473" s="533" t="s">
        <v>1161</v>
      </c>
      <c r="D2473" s="656" t="s">
        <v>423</v>
      </c>
      <c r="E2473" s="534">
        <v>602.25</v>
      </c>
    </row>
    <row r="2474" spans="2:5" x14ac:dyDescent="0.2">
      <c r="B2474" s="533">
        <v>2850</v>
      </c>
      <c r="C2474" s="533" t="s">
        <v>1635</v>
      </c>
      <c r="D2474" s="656" t="s">
        <v>423</v>
      </c>
      <c r="E2474" s="534">
        <v>628.75</v>
      </c>
    </row>
    <row r="2475" spans="2:5" x14ac:dyDescent="0.2">
      <c r="B2475" s="533">
        <v>2851</v>
      </c>
      <c r="C2475" s="533" t="s">
        <v>1051</v>
      </c>
      <c r="D2475" s="656" t="s">
        <v>423</v>
      </c>
      <c r="E2475" s="534">
        <v>594.60768499999995</v>
      </c>
    </row>
    <row r="2476" spans="2:5" x14ac:dyDescent="0.2">
      <c r="B2476" s="533">
        <v>2852</v>
      </c>
      <c r="C2476" s="533" t="s">
        <v>1479</v>
      </c>
      <c r="D2476" s="656" t="s">
        <v>423</v>
      </c>
      <c r="E2476" s="534">
        <v>619.49999000000003</v>
      </c>
    </row>
    <row r="2477" spans="2:5" x14ac:dyDescent="0.2">
      <c r="B2477" s="533">
        <v>2901</v>
      </c>
      <c r="C2477" s="533" t="s">
        <v>883</v>
      </c>
      <c r="D2477" s="656" t="s">
        <v>7738</v>
      </c>
      <c r="E2477" s="534">
        <v>578.85000600000001</v>
      </c>
    </row>
    <row r="2478" spans="2:5" x14ac:dyDescent="0.2">
      <c r="B2478" s="533">
        <v>2902</v>
      </c>
      <c r="C2478" s="533" t="s">
        <v>1516</v>
      </c>
      <c r="D2478" s="656" t="s">
        <v>415</v>
      </c>
      <c r="E2478" s="534">
        <v>621.74545000000001</v>
      </c>
    </row>
    <row r="2479" spans="2:5" x14ac:dyDescent="0.2">
      <c r="B2479" s="533">
        <v>2903</v>
      </c>
      <c r="C2479" s="533" t="s">
        <v>1947</v>
      </c>
      <c r="D2479" s="656" t="s">
        <v>415</v>
      </c>
      <c r="E2479" s="534">
        <v>642.00000599999998</v>
      </c>
    </row>
    <row r="2480" spans="2:5" x14ac:dyDescent="0.2">
      <c r="B2480" s="533">
        <v>2904</v>
      </c>
      <c r="C2480" s="533" t="s">
        <v>2884</v>
      </c>
      <c r="D2480" s="656" t="s">
        <v>415</v>
      </c>
      <c r="E2480" s="534">
        <v>685.70000100000004</v>
      </c>
    </row>
    <row r="2481" spans="2:5" x14ac:dyDescent="0.2">
      <c r="B2481" s="533">
        <v>2905</v>
      </c>
      <c r="C2481" s="533" t="s">
        <v>1035</v>
      </c>
      <c r="D2481" s="656" t="s">
        <v>7738</v>
      </c>
      <c r="E2481" s="534">
        <v>593.04999499999997</v>
      </c>
    </row>
    <row r="2482" spans="2:5" x14ac:dyDescent="0.2">
      <c r="B2482" s="533">
        <v>2906</v>
      </c>
      <c r="C2482" s="533" t="s">
        <v>1101</v>
      </c>
      <c r="D2482" s="656" t="s">
        <v>7738</v>
      </c>
      <c r="E2482" s="534">
        <v>598.42499499999997</v>
      </c>
    </row>
    <row r="2483" spans="2:5" x14ac:dyDescent="0.2">
      <c r="B2483" s="533">
        <v>2907</v>
      </c>
      <c r="C2483" s="533" t="s">
        <v>780</v>
      </c>
      <c r="D2483" s="656" t="s">
        <v>7738</v>
      </c>
      <c r="E2483" s="534">
        <v>565.68666599999995</v>
      </c>
    </row>
    <row r="2484" spans="2:5" x14ac:dyDescent="0.2">
      <c r="B2484" s="533">
        <v>2908</v>
      </c>
      <c r="C2484" s="533" t="s">
        <v>2622</v>
      </c>
      <c r="D2484" s="656" t="s">
        <v>415</v>
      </c>
      <c r="E2484" s="534">
        <v>673.01666799999998</v>
      </c>
    </row>
    <row r="2485" spans="2:5" x14ac:dyDescent="0.2">
      <c r="B2485" s="533">
        <v>2909</v>
      </c>
      <c r="C2485" s="533" t="s">
        <v>1181</v>
      </c>
      <c r="D2485" s="656" t="s">
        <v>7738</v>
      </c>
      <c r="E2485" s="534">
        <v>603.37999300000001</v>
      </c>
    </row>
    <row r="2486" spans="2:5" x14ac:dyDescent="0.2">
      <c r="B2486" s="533">
        <v>2910</v>
      </c>
      <c r="C2486" s="533" t="s">
        <v>2183</v>
      </c>
      <c r="D2486" s="656" t="s">
        <v>415</v>
      </c>
      <c r="E2486" s="534">
        <v>652.57499700000005</v>
      </c>
    </row>
    <row r="2487" spans="2:5" x14ac:dyDescent="0.2">
      <c r="B2487" s="533">
        <v>2911</v>
      </c>
      <c r="C2487" s="533" t="s">
        <v>795</v>
      </c>
      <c r="D2487" s="656" t="s">
        <v>7738</v>
      </c>
      <c r="E2487" s="534">
        <v>567.60000600000001</v>
      </c>
    </row>
    <row r="2488" spans="2:5" x14ac:dyDescent="0.2">
      <c r="B2488" s="533">
        <v>2912</v>
      </c>
      <c r="C2488" s="533" t="s">
        <v>2361</v>
      </c>
      <c r="D2488" s="656" t="s">
        <v>415</v>
      </c>
      <c r="E2488" s="534">
        <v>660.53750600000001</v>
      </c>
    </row>
    <row r="2489" spans="2:5" x14ac:dyDescent="0.2">
      <c r="B2489" s="533">
        <v>2913</v>
      </c>
      <c r="C2489" s="533" t="s">
        <v>1487</v>
      </c>
      <c r="D2489" s="656" t="s">
        <v>415</v>
      </c>
      <c r="E2489" s="534">
        <v>620</v>
      </c>
    </row>
    <row r="2490" spans="2:5" x14ac:dyDescent="0.2">
      <c r="B2490" s="533">
        <v>2914</v>
      </c>
      <c r="C2490" s="533" t="s">
        <v>1954</v>
      </c>
      <c r="D2490" s="656" t="s">
        <v>415</v>
      </c>
      <c r="E2490" s="534">
        <v>642.12000699999999</v>
      </c>
    </row>
    <row r="2491" spans="2:5" x14ac:dyDescent="0.2">
      <c r="B2491" s="533">
        <v>2915</v>
      </c>
      <c r="C2491" s="533" t="s">
        <v>843</v>
      </c>
      <c r="D2491" s="656" t="s">
        <v>7738</v>
      </c>
      <c r="E2491" s="534">
        <v>575</v>
      </c>
    </row>
    <row r="2492" spans="2:5" x14ac:dyDescent="0.2">
      <c r="B2492" s="533">
        <v>2916</v>
      </c>
      <c r="C2492" s="533" t="s">
        <v>1745</v>
      </c>
      <c r="D2492" s="656" t="s">
        <v>415</v>
      </c>
      <c r="E2492" s="534">
        <v>708.86428799999999</v>
      </c>
    </row>
    <row r="2493" spans="2:5" x14ac:dyDescent="0.2">
      <c r="B2493" s="533">
        <v>2917</v>
      </c>
      <c r="C2493" s="533" t="s">
        <v>2139</v>
      </c>
      <c r="D2493" s="656" t="s">
        <v>415</v>
      </c>
      <c r="E2493" s="534">
        <v>650.65000199999997</v>
      </c>
    </row>
    <row r="2494" spans="2:5" x14ac:dyDescent="0.2">
      <c r="B2494" s="533">
        <v>2918</v>
      </c>
      <c r="C2494" s="533" t="s">
        <v>905</v>
      </c>
      <c r="D2494" s="656" t="s">
        <v>7738</v>
      </c>
      <c r="E2494" s="534">
        <v>580.84999600000003</v>
      </c>
    </row>
    <row r="2495" spans="2:5" x14ac:dyDescent="0.2">
      <c r="B2495" s="533">
        <v>2919</v>
      </c>
      <c r="C2495" s="533" t="s">
        <v>853</v>
      </c>
      <c r="D2495" s="656" t="s">
        <v>7738</v>
      </c>
      <c r="E2495" s="534">
        <v>575.80000500000006</v>
      </c>
    </row>
    <row r="2496" spans="2:5" x14ac:dyDescent="0.2">
      <c r="B2496" s="533">
        <v>2920</v>
      </c>
      <c r="C2496" s="533" t="s">
        <v>1168</v>
      </c>
      <c r="D2496" s="656" t="s">
        <v>7738</v>
      </c>
      <c r="E2496" s="534">
        <v>602.77856699999995</v>
      </c>
    </row>
    <row r="2497" spans="2:5" x14ac:dyDescent="0.2">
      <c r="B2497" s="533">
        <v>2921</v>
      </c>
      <c r="C2497" s="533" t="s">
        <v>2394</v>
      </c>
      <c r="D2497" s="656" t="s">
        <v>415</v>
      </c>
      <c r="E2497" s="534">
        <v>671.23750299999995</v>
      </c>
    </row>
    <row r="2498" spans="2:5" x14ac:dyDescent="0.2">
      <c r="B2498" s="533">
        <v>2922</v>
      </c>
      <c r="C2498" s="533" t="s">
        <v>1364</v>
      </c>
      <c r="D2498" s="656" t="s">
        <v>415</v>
      </c>
      <c r="E2498" s="534">
        <v>634.49998000000005</v>
      </c>
    </row>
    <row r="2499" spans="2:5" x14ac:dyDescent="0.2">
      <c r="B2499" s="533">
        <v>2923</v>
      </c>
      <c r="C2499" s="533" t="s">
        <v>1927</v>
      </c>
      <c r="D2499" s="656" t="s">
        <v>415</v>
      </c>
      <c r="E2499" s="534">
        <v>641.32499700000005</v>
      </c>
    </row>
    <row r="2500" spans="2:5" x14ac:dyDescent="0.2">
      <c r="B2500" s="533">
        <v>2924</v>
      </c>
      <c r="C2500" s="533" t="s">
        <v>1531</v>
      </c>
      <c r="D2500" s="656" t="s">
        <v>7738</v>
      </c>
      <c r="E2500" s="534">
        <v>623.01666299999999</v>
      </c>
    </row>
    <row r="2501" spans="2:5" x14ac:dyDescent="0.2">
      <c r="B2501" s="533">
        <v>2925</v>
      </c>
      <c r="C2501" s="533" t="s">
        <v>2033</v>
      </c>
      <c r="D2501" s="656" t="s">
        <v>415</v>
      </c>
      <c r="E2501" s="534">
        <v>645.07498199999998</v>
      </c>
    </row>
    <row r="2502" spans="2:5" x14ac:dyDescent="0.2">
      <c r="B2502" s="533">
        <v>2926</v>
      </c>
      <c r="C2502" s="533" t="s">
        <v>2543</v>
      </c>
      <c r="D2502" s="656" t="s">
        <v>415</v>
      </c>
      <c r="E2502" s="534">
        <v>668.61249499999997</v>
      </c>
    </row>
    <row r="2503" spans="2:5" x14ac:dyDescent="0.2">
      <c r="B2503" s="533">
        <v>2927</v>
      </c>
      <c r="C2503" s="533" t="s">
        <v>3441</v>
      </c>
      <c r="D2503" s="656" t="s">
        <v>415</v>
      </c>
      <c r="E2503" s="534">
        <v>713.36665900000003</v>
      </c>
    </row>
    <row r="2504" spans="2:5" x14ac:dyDescent="0.2">
      <c r="B2504" s="533">
        <v>2928</v>
      </c>
      <c r="C2504" s="533" t="s">
        <v>1066</v>
      </c>
      <c r="D2504" s="656" t="s">
        <v>415</v>
      </c>
      <c r="E2504" s="534">
        <v>643.53333899999996</v>
      </c>
    </row>
    <row r="2505" spans="2:5" x14ac:dyDescent="0.2">
      <c r="B2505" s="533">
        <v>2929</v>
      </c>
      <c r="C2505" s="533" t="s">
        <v>933</v>
      </c>
      <c r="D2505" s="656" t="s">
        <v>7738</v>
      </c>
      <c r="E2505" s="534">
        <v>583.61665900000003</v>
      </c>
    </row>
    <row r="2506" spans="2:5" x14ac:dyDescent="0.2">
      <c r="B2506" s="533">
        <v>2930</v>
      </c>
      <c r="C2506" s="533" t="s">
        <v>6628</v>
      </c>
      <c r="D2506" s="656" t="s">
        <v>415</v>
      </c>
      <c r="E2506" s="534">
        <v>697.81874800000003</v>
      </c>
    </row>
    <row r="2507" spans="2:5" x14ac:dyDescent="0.2">
      <c r="B2507" s="533">
        <v>2931</v>
      </c>
      <c r="C2507" s="533" t="s">
        <v>6639</v>
      </c>
      <c r="D2507" s="656" t="s">
        <v>415</v>
      </c>
      <c r="E2507" s="534">
        <v>707.35999800000002</v>
      </c>
    </row>
    <row r="2508" spans="2:5" x14ac:dyDescent="0.2">
      <c r="B2508" s="533">
        <v>2932</v>
      </c>
      <c r="C2508" s="533" t="s">
        <v>6641</v>
      </c>
      <c r="D2508" s="656" t="s">
        <v>415</v>
      </c>
      <c r="E2508" s="534">
        <v>693.13077499999997</v>
      </c>
    </row>
    <row r="2509" spans="2:5" x14ac:dyDescent="0.2">
      <c r="B2509" s="533">
        <v>2933</v>
      </c>
      <c r="C2509" s="533" t="s">
        <v>1681</v>
      </c>
      <c r="D2509" s="656" t="s">
        <v>415</v>
      </c>
      <c r="E2509" s="534">
        <v>641.65999099999999</v>
      </c>
    </row>
    <row r="2510" spans="2:5" x14ac:dyDescent="0.2">
      <c r="B2510" s="533">
        <v>2934</v>
      </c>
      <c r="C2510" s="533" t="s">
        <v>868</v>
      </c>
      <c r="D2510" s="656" t="s">
        <v>7738</v>
      </c>
      <c r="E2510" s="534">
        <v>577.49998800000003</v>
      </c>
    </row>
    <row r="2511" spans="2:5" x14ac:dyDescent="0.2">
      <c r="B2511" s="533">
        <v>2935</v>
      </c>
      <c r="C2511" s="533" t="s">
        <v>6685</v>
      </c>
      <c r="D2511" s="656" t="s">
        <v>415</v>
      </c>
      <c r="E2511" s="534">
        <v>679.78333499999997</v>
      </c>
    </row>
    <row r="2512" spans="2:5" x14ac:dyDescent="0.2">
      <c r="B2512" s="533">
        <v>2936</v>
      </c>
      <c r="C2512" s="533" t="s">
        <v>1054</v>
      </c>
      <c r="D2512" s="656" t="s">
        <v>7738</v>
      </c>
      <c r="E2512" s="534">
        <v>610.55000299999995</v>
      </c>
    </row>
    <row r="2513" spans="2:5" x14ac:dyDescent="0.2">
      <c r="B2513" s="533">
        <v>2937</v>
      </c>
      <c r="C2513" s="533" t="s">
        <v>1146</v>
      </c>
      <c r="D2513" s="656" t="s">
        <v>7738</v>
      </c>
      <c r="E2513" s="534">
        <v>601.33332700000005</v>
      </c>
    </row>
    <row r="2514" spans="2:5" x14ac:dyDescent="0.2">
      <c r="B2514" s="533">
        <v>2938</v>
      </c>
      <c r="C2514" s="533" t="s">
        <v>1301</v>
      </c>
      <c r="D2514" s="656" t="s">
        <v>415</v>
      </c>
      <c r="E2514" s="534">
        <v>610.32857000000001</v>
      </c>
    </row>
    <row r="2515" spans="2:5" x14ac:dyDescent="0.2">
      <c r="B2515" s="533">
        <v>2939</v>
      </c>
      <c r="C2515" s="533" t="s">
        <v>1008</v>
      </c>
      <c r="D2515" s="656" t="s">
        <v>7738</v>
      </c>
      <c r="E2515" s="534">
        <v>590.84285199999999</v>
      </c>
    </row>
    <row r="2516" spans="2:5" x14ac:dyDescent="0.2">
      <c r="B2516" s="533">
        <v>2940</v>
      </c>
      <c r="C2516" s="533" t="s">
        <v>1174</v>
      </c>
      <c r="D2516" s="656" t="s">
        <v>7738</v>
      </c>
      <c r="E2516" s="534">
        <v>603.14000199999998</v>
      </c>
    </row>
    <row r="2517" spans="2:5" x14ac:dyDescent="0.2">
      <c r="B2517" s="533">
        <v>2941</v>
      </c>
      <c r="C2517" s="533" t="s">
        <v>2429</v>
      </c>
      <c r="D2517" s="656" t="s">
        <v>7738</v>
      </c>
      <c r="E2517" s="534">
        <v>663.79998799999998</v>
      </c>
    </row>
    <row r="2518" spans="2:5" x14ac:dyDescent="0.2">
      <c r="B2518" s="533">
        <v>2942</v>
      </c>
      <c r="C2518" s="533" t="s">
        <v>1355</v>
      </c>
      <c r="D2518" s="656" t="s">
        <v>7738</v>
      </c>
      <c r="E2518" s="534">
        <v>613.40000699999996</v>
      </c>
    </row>
    <row r="2519" spans="2:5" x14ac:dyDescent="0.2">
      <c r="B2519" s="533">
        <v>2943</v>
      </c>
      <c r="C2519" s="533" t="s">
        <v>3577</v>
      </c>
      <c r="D2519" s="656" t="s">
        <v>415</v>
      </c>
      <c r="E2519" s="534">
        <v>720.60000200000002</v>
      </c>
    </row>
    <row r="2520" spans="2:5" x14ac:dyDescent="0.2">
      <c r="B2520" s="533">
        <v>2944</v>
      </c>
      <c r="C2520" s="533" t="s">
        <v>2143</v>
      </c>
      <c r="D2520" s="656" t="s">
        <v>415</v>
      </c>
      <c r="E2520" s="534">
        <v>742.5</v>
      </c>
    </row>
    <row r="2521" spans="2:5" x14ac:dyDescent="0.2">
      <c r="B2521" s="533">
        <v>2945</v>
      </c>
      <c r="C2521" s="533" t="s">
        <v>2867</v>
      </c>
      <c r="D2521" s="656" t="s">
        <v>415</v>
      </c>
      <c r="E2521" s="534">
        <v>684.94285400000001</v>
      </c>
    </row>
    <row r="2522" spans="2:5" x14ac:dyDescent="0.2">
      <c r="B2522" s="533">
        <v>2946</v>
      </c>
      <c r="C2522" s="533" t="s">
        <v>2076</v>
      </c>
      <c r="D2522" s="656" t="s">
        <v>415</v>
      </c>
      <c r="E2522" s="534">
        <v>647.48571800000002</v>
      </c>
    </row>
    <row r="2523" spans="2:5" x14ac:dyDescent="0.2">
      <c r="B2523" s="533">
        <v>2947</v>
      </c>
      <c r="C2523" s="533" t="s">
        <v>7416</v>
      </c>
      <c r="D2523" s="656" t="s">
        <v>7738</v>
      </c>
      <c r="E2523" s="534">
        <v>623.58572000000004</v>
      </c>
    </row>
    <row r="2524" spans="2:5" x14ac:dyDescent="0.2">
      <c r="B2524" s="533">
        <v>2948</v>
      </c>
      <c r="C2524" s="533" t="s">
        <v>3165</v>
      </c>
      <c r="D2524" s="656" t="s">
        <v>415</v>
      </c>
      <c r="E2524" s="534">
        <v>700.01666299999999</v>
      </c>
    </row>
    <row r="2525" spans="2:5" x14ac:dyDescent="0.2">
      <c r="B2525" s="533">
        <v>2949</v>
      </c>
      <c r="C2525" s="533" t="s">
        <v>3757</v>
      </c>
      <c r="D2525" s="656" t="s">
        <v>415</v>
      </c>
      <c r="E2525" s="534">
        <v>730.90000199999997</v>
      </c>
    </row>
    <row r="2526" spans="2:5" x14ac:dyDescent="0.2">
      <c r="B2526" s="533">
        <v>2950</v>
      </c>
      <c r="C2526" s="533" t="s">
        <v>941</v>
      </c>
      <c r="D2526" s="656" t="s">
        <v>7738</v>
      </c>
      <c r="E2526" s="534">
        <v>583.99998500000004</v>
      </c>
    </row>
    <row r="2527" spans="2:5" x14ac:dyDescent="0.2">
      <c r="B2527" s="533">
        <v>2951</v>
      </c>
      <c r="C2527" s="533" t="s">
        <v>2458</v>
      </c>
      <c r="D2527" s="656" t="s">
        <v>415</v>
      </c>
      <c r="E2527" s="534">
        <v>664.70832800000005</v>
      </c>
    </row>
    <row r="2528" spans="2:5" x14ac:dyDescent="0.2">
      <c r="B2528" s="533">
        <v>2952</v>
      </c>
      <c r="C2528" s="533" t="s">
        <v>1480</v>
      </c>
      <c r="D2528" s="656" t="s">
        <v>415</v>
      </c>
      <c r="E2528" s="534">
        <v>619.57500500000003</v>
      </c>
    </row>
    <row r="2529" spans="2:5" x14ac:dyDescent="0.2">
      <c r="B2529" s="533">
        <v>2953</v>
      </c>
      <c r="C2529" s="533" t="s">
        <v>1443</v>
      </c>
      <c r="D2529" s="656" t="s">
        <v>415</v>
      </c>
      <c r="E2529" s="534">
        <v>617.85999800000002</v>
      </c>
    </row>
    <row r="2530" spans="2:5" x14ac:dyDescent="0.2">
      <c r="B2530" s="533">
        <v>2954</v>
      </c>
      <c r="C2530" s="533" t="s">
        <v>906</v>
      </c>
      <c r="D2530" s="656" t="s">
        <v>7738</v>
      </c>
      <c r="E2530" s="534">
        <v>580.87999300000001</v>
      </c>
    </row>
    <row r="2531" spans="2:5" x14ac:dyDescent="0.2">
      <c r="B2531" s="533">
        <v>2955</v>
      </c>
      <c r="C2531" s="533" t="s">
        <v>6781</v>
      </c>
      <c r="D2531" s="656" t="s">
        <v>7738</v>
      </c>
      <c r="E2531" s="534">
        <v>569.83333300000004</v>
      </c>
    </row>
    <row r="2532" spans="2:5" x14ac:dyDescent="0.2">
      <c r="B2532" s="533">
        <v>2956</v>
      </c>
      <c r="C2532" s="533" t="s">
        <v>1683</v>
      </c>
      <c r="D2532" s="656" t="s">
        <v>415</v>
      </c>
      <c r="E2532" s="534">
        <v>632.03333499999997</v>
      </c>
    </row>
    <row r="2533" spans="2:5" x14ac:dyDescent="0.2">
      <c r="B2533" s="533">
        <v>2957</v>
      </c>
      <c r="C2533" s="533" t="s">
        <v>808</v>
      </c>
      <c r="D2533" s="656" t="s">
        <v>7738</v>
      </c>
      <c r="E2533" s="534">
        <v>570.50001199999997</v>
      </c>
    </row>
    <row r="2534" spans="2:5" x14ac:dyDescent="0.2">
      <c r="B2534" s="533">
        <v>2958</v>
      </c>
      <c r="C2534" s="533" t="s">
        <v>828</v>
      </c>
      <c r="D2534" s="656" t="s">
        <v>7738</v>
      </c>
      <c r="E2534" s="534">
        <v>573.67500299999995</v>
      </c>
    </row>
    <row r="2535" spans="2:5" x14ac:dyDescent="0.2">
      <c r="B2535" s="533">
        <v>2959</v>
      </c>
      <c r="C2535" s="533" t="s">
        <v>6881</v>
      </c>
      <c r="D2535" s="656" t="s">
        <v>415</v>
      </c>
      <c r="E2535" s="534">
        <v>608.52857300000005</v>
      </c>
    </row>
    <row r="2536" spans="2:5" x14ac:dyDescent="0.2">
      <c r="B2536" s="533">
        <v>2960</v>
      </c>
      <c r="C2536" s="533" t="s">
        <v>6936</v>
      </c>
      <c r="D2536" s="656" t="s">
        <v>7738</v>
      </c>
      <c r="E2536" s="534">
        <v>567.30000099999995</v>
      </c>
    </row>
    <row r="2537" spans="2:5" x14ac:dyDescent="0.2">
      <c r="B2537" s="533">
        <v>2961</v>
      </c>
      <c r="C2537" s="533" t="s">
        <v>1131</v>
      </c>
      <c r="D2537" s="656" t="s">
        <v>415</v>
      </c>
      <c r="E2537" s="534">
        <v>623.85714299999995</v>
      </c>
    </row>
    <row r="2538" spans="2:5" x14ac:dyDescent="0.2">
      <c r="B2538" s="533">
        <v>2962</v>
      </c>
      <c r="C2538" s="533" t="s">
        <v>1107</v>
      </c>
      <c r="D2538" s="656" t="s">
        <v>415</v>
      </c>
      <c r="E2538" s="534">
        <v>598.63332100000002</v>
      </c>
    </row>
    <row r="2539" spans="2:5" x14ac:dyDescent="0.2">
      <c r="B2539" s="533">
        <v>2963</v>
      </c>
      <c r="C2539" s="533" t="s">
        <v>970</v>
      </c>
      <c r="D2539" s="656" t="s">
        <v>415</v>
      </c>
      <c r="E2539" s="534">
        <v>657.64445000000001</v>
      </c>
    </row>
    <row r="2540" spans="2:5" x14ac:dyDescent="0.2">
      <c r="B2540" s="533">
        <v>2964</v>
      </c>
      <c r="C2540" s="533" t="s">
        <v>2880</v>
      </c>
      <c r="D2540" s="656" t="s">
        <v>415</v>
      </c>
      <c r="E2540" s="534">
        <v>701.60000600000001</v>
      </c>
    </row>
    <row r="2541" spans="2:5" x14ac:dyDescent="0.2">
      <c r="B2541" s="533">
        <v>2965</v>
      </c>
      <c r="C2541" s="533" t="s">
        <v>1080</v>
      </c>
      <c r="D2541" s="656" t="s">
        <v>415</v>
      </c>
      <c r="E2541" s="534">
        <v>596.77500199999997</v>
      </c>
    </row>
    <row r="2542" spans="2:5" x14ac:dyDescent="0.2">
      <c r="B2542" s="533">
        <v>2966</v>
      </c>
      <c r="C2542" s="533" t="s">
        <v>1297</v>
      </c>
      <c r="D2542" s="656" t="s">
        <v>415</v>
      </c>
      <c r="E2542" s="534">
        <v>733.71428600000002</v>
      </c>
    </row>
    <row r="2543" spans="2:5" x14ac:dyDescent="0.2">
      <c r="B2543" s="533">
        <v>2967</v>
      </c>
      <c r="C2543" s="533" t="s">
        <v>2796</v>
      </c>
      <c r="D2543" s="656" t="s">
        <v>415</v>
      </c>
      <c r="E2543" s="534">
        <v>681.46001000000001</v>
      </c>
    </row>
    <row r="2544" spans="2:5" x14ac:dyDescent="0.2">
      <c r="B2544" s="533">
        <v>2968</v>
      </c>
      <c r="C2544" s="533" t="s">
        <v>2253</v>
      </c>
      <c r="D2544" s="656" t="s">
        <v>415</v>
      </c>
      <c r="E2544" s="534">
        <v>655.860004</v>
      </c>
    </row>
    <row r="2545" spans="2:5" x14ac:dyDescent="0.2">
      <c r="B2545" s="533">
        <v>2969</v>
      </c>
      <c r="C2545" s="533" t="s">
        <v>3197</v>
      </c>
      <c r="D2545" s="656" t="s">
        <v>415</v>
      </c>
      <c r="E2545" s="534">
        <v>701.35998500000005</v>
      </c>
    </row>
    <row r="2546" spans="2:5" x14ac:dyDescent="0.2">
      <c r="B2546" s="533">
        <v>2970</v>
      </c>
      <c r="C2546" s="533" t="s">
        <v>867</v>
      </c>
      <c r="D2546" s="656" t="s">
        <v>7738</v>
      </c>
      <c r="E2546" s="534">
        <v>577.31250799999998</v>
      </c>
    </row>
    <row r="2547" spans="2:5" x14ac:dyDescent="0.2">
      <c r="B2547" s="533">
        <v>2971</v>
      </c>
      <c r="C2547" s="533" t="s">
        <v>1091</v>
      </c>
      <c r="D2547" s="656" t="s">
        <v>7738</v>
      </c>
      <c r="E2547" s="534">
        <v>597.65713900000003</v>
      </c>
    </row>
    <row r="2548" spans="2:5" x14ac:dyDescent="0.2">
      <c r="B2548" s="533">
        <v>2972</v>
      </c>
      <c r="C2548" s="533" t="s">
        <v>794</v>
      </c>
      <c r="D2548" s="656" t="s">
        <v>7738</v>
      </c>
      <c r="E2548" s="534">
        <v>567.383331</v>
      </c>
    </row>
    <row r="2549" spans="2:5" x14ac:dyDescent="0.2">
      <c r="B2549" s="533">
        <v>2973</v>
      </c>
      <c r="C2549" s="533" t="s">
        <v>1000</v>
      </c>
      <c r="D2549" s="656" t="s">
        <v>7738</v>
      </c>
      <c r="E2549" s="534">
        <v>590.06666099999995</v>
      </c>
    </row>
    <row r="2550" spans="2:5" x14ac:dyDescent="0.2">
      <c r="B2550" s="533">
        <v>2974</v>
      </c>
      <c r="C2550" s="533" t="s">
        <v>1012</v>
      </c>
      <c r="D2550" s="656" t="s">
        <v>7738</v>
      </c>
      <c r="E2550" s="534">
        <v>591.34999100000005</v>
      </c>
    </row>
    <row r="2551" spans="2:5" x14ac:dyDescent="0.2">
      <c r="B2551" s="533">
        <v>2975</v>
      </c>
      <c r="C2551" s="533" t="s">
        <v>832</v>
      </c>
      <c r="D2551" s="656" t="s">
        <v>7738</v>
      </c>
      <c r="E2551" s="534">
        <v>573.87142500000004</v>
      </c>
    </row>
    <row r="2552" spans="2:5" x14ac:dyDescent="0.2">
      <c r="B2552" s="533">
        <v>2976</v>
      </c>
      <c r="C2552" s="533" t="s">
        <v>739</v>
      </c>
      <c r="D2552" s="656" t="s">
        <v>7738</v>
      </c>
      <c r="E2552" s="534">
        <v>556.95999800000004</v>
      </c>
    </row>
    <row r="2553" spans="2:5" x14ac:dyDescent="0.2">
      <c r="B2553" s="533">
        <v>2977</v>
      </c>
      <c r="C2553" s="533" t="s">
        <v>2243</v>
      </c>
      <c r="D2553" s="656" t="s">
        <v>415</v>
      </c>
      <c r="E2553" s="534">
        <v>655.421426</v>
      </c>
    </row>
    <row r="2554" spans="2:5" x14ac:dyDescent="0.2">
      <c r="B2554" s="533">
        <v>2978</v>
      </c>
      <c r="C2554" s="533" t="s">
        <v>773</v>
      </c>
      <c r="D2554" s="656" t="s">
        <v>7738</v>
      </c>
      <c r="E2554" s="534">
        <v>564.27777800000001</v>
      </c>
    </row>
    <row r="2555" spans="2:5" x14ac:dyDescent="0.2">
      <c r="B2555" s="533">
        <v>2979</v>
      </c>
      <c r="C2555" s="533" t="s">
        <v>860</v>
      </c>
      <c r="D2555" s="656" t="s">
        <v>7738</v>
      </c>
      <c r="E2555" s="534">
        <v>576.86154899999997</v>
      </c>
    </row>
    <row r="2556" spans="2:5" x14ac:dyDescent="0.2">
      <c r="B2556" s="533">
        <v>2980</v>
      </c>
      <c r="C2556" s="533" t="s">
        <v>908</v>
      </c>
      <c r="D2556" s="656" t="s">
        <v>7738</v>
      </c>
      <c r="E2556" s="534">
        <v>580.95999800000004</v>
      </c>
    </row>
    <row r="2557" spans="2:5" x14ac:dyDescent="0.2">
      <c r="B2557" s="533">
        <v>2981</v>
      </c>
      <c r="C2557" s="533" t="s">
        <v>1905</v>
      </c>
      <c r="D2557" s="656" t="s">
        <v>415</v>
      </c>
      <c r="E2557" s="534">
        <v>640.53333499999997</v>
      </c>
    </row>
    <row r="2558" spans="2:5" x14ac:dyDescent="0.2">
      <c r="B2558" s="533">
        <v>2982</v>
      </c>
      <c r="C2558" s="533" t="s">
        <v>3090</v>
      </c>
      <c r="D2558" s="656" t="s">
        <v>415</v>
      </c>
      <c r="E2558" s="534">
        <v>695.91427999999996</v>
      </c>
    </row>
    <row r="2559" spans="2:5" x14ac:dyDescent="0.2">
      <c r="B2559" s="533">
        <v>2983</v>
      </c>
      <c r="C2559" s="533" t="s">
        <v>2558</v>
      </c>
      <c r="D2559" s="656" t="s">
        <v>415</v>
      </c>
      <c r="E2559" s="534">
        <v>668.97691899999995</v>
      </c>
    </row>
    <row r="2560" spans="2:5" x14ac:dyDescent="0.2">
      <c r="B2560" s="533">
        <v>2984</v>
      </c>
      <c r="C2560" s="533" t="s">
        <v>7105</v>
      </c>
      <c r="D2560" s="656" t="s">
        <v>7738</v>
      </c>
      <c r="E2560" s="534">
        <v>557.27500899999995</v>
      </c>
    </row>
    <row r="2561" spans="2:5" x14ac:dyDescent="0.2">
      <c r="B2561" s="533">
        <v>2985</v>
      </c>
      <c r="C2561" s="533" t="s">
        <v>1052</v>
      </c>
      <c r="D2561" s="656" t="s">
        <v>7738</v>
      </c>
      <c r="E2561" s="534">
        <v>594.610004</v>
      </c>
    </row>
    <row r="2562" spans="2:5" x14ac:dyDescent="0.2">
      <c r="B2562" s="533">
        <v>2986</v>
      </c>
      <c r="C2562" s="533" t="s">
        <v>3866</v>
      </c>
      <c r="D2562" s="656" t="s">
        <v>415</v>
      </c>
      <c r="E2562" s="534">
        <v>737.33333300000004</v>
      </c>
    </row>
    <row r="2563" spans="2:5" x14ac:dyDescent="0.2">
      <c r="B2563" s="533">
        <v>2987</v>
      </c>
      <c r="C2563" s="533" t="s">
        <v>3349</v>
      </c>
      <c r="D2563" s="656" t="s">
        <v>415</v>
      </c>
      <c r="E2563" s="534">
        <v>708.88750500000003</v>
      </c>
    </row>
    <row r="2564" spans="2:5" x14ac:dyDescent="0.2">
      <c r="B2564" s="533">
        <v>2988</v>
      </c>
      <c r="C2564" s="533" t="s">
        <v>7117</v>
      </c>
      <c r="D2564" s="656" t="s">
        <v>415</v>
      </c>
      <c r="E2564" s="534">
        <v>724.56667100000004</v>
      </c>
    </row>
    <row r="2565" spans="2:5" x14ac:dyDescent="0.2">
      <c r="B2565" s="533">
        <v>2989</v>
      </c>
      <c r="C2565" s="533" t="s">
        <v>809</v>
      </c>
      <c r="D2565" s="656" t="s">
        <v>7738</v>
      </c>
      <c r="E2565" s="534">
        <v>570.54444699999999</v>
      </c>
    </row>
    <row r="2566" spans="2:5" x14ac:dyDescent="0.2">
      <c r="B2566" s="533">
        <v>2990</v>
      </c>
      <c r="C2566" s="533" t="s">
        <v>2499</v>
      </c>
      <c r="D2566" s="656" t="s">
        <v>415</v>
      </c>
      <c r="E2566" s="534">
        <v>666.02499899999998</v>
      </c>
    </row>
    <row r="2567" spans="2:5" x14ac:dyDescent="0.2">
      <c r="B2567" s="533">
        <v>2991</v>
      </c>
      <c r="C2567" s="533" t="s">
        <v>755</v>
      </c>
      <c r="D2567" s="656" t="s">
        <v>7738</v>
      </c>
      <c r="E2567" s="534">
        <v>561.37501499999996</v>
      </c>
    </row>
    <row r="2568" spans="2:5" x14ac:dyDescent="0.2">
      <c r="B2568" s="533">
        <v>2992</v>
      </c>
      <c r="C2568" s="533" t="s">
        <v>838</v>
      </c>
      <c r="D2568" s="656" t="s">
        <v>415</v>
      </c>
      <c r="E2568" s="534">
        <v>635.14285700000005</v>
      </c>
    </row>
    <row r="2569" spans="2:5" x14ac:dyDescent="0.2">
      <c r="B2569" s="533">
        <v>2993</v>
      </c>
      <c r="C2569" s="533" t="s">
        <v>975</v>
      </c>
      <c r="D2569" s="656" t="s">
        <v>7738</v>
      </c>
      <c r="E2569" s="534">
        <v>587.57999299999994</v>
      </c>
    </row>
    <row r="2570" spans="2:5" x14ac:dyDescent="0.2">
      <c r="B2570" s="533">
        <v>2994</v>
      </c>
      <c r="C2570" s="533" t="s">
        <v>1462</v>
      </c>
      <c r="D2570" s="656" t="s">
        <v>7738</v>
      </c>
      <c r="E2570" s="534">
        <v>618.75</v>
      </c>
    </row>
    <row r="2571" spans="2:5" x14ac:dyDescent="0.2">
      <c r="B2571" s="533">
        <v>2995</v>
      </c>
      <c r="C2571" s="533" t="s">
        <v>1267</v>
      </c>
      <c r="D2571" s="656" t="s">
        <v>7738</v>
      </c>
      <c r="E2571" s="534">
        <v>608.01250500000003</v>
      </c>
    </row>
    <row r="2572" spans="2:5" x14ac:dyDescent="0.2">
      <c r="B2572" s="533">
        <v>2996</v>
      </c>
      <c r="C2572" s="533" t="s">
        <v>2256</v>
      </c>
      <c r="D2572" s="656" t="s">
        <v>415</v>
      </c>
      <c r="E2572" s="534">
        <v>655.939978</v>
      </c>
    </row>
    <row r="2573" spans="2:5" x14ac:dyDescent="0.2">
      <c r="B2573" s="533">
        <v>2997</v>
      </c>
      <c r="C2573" s="533" t="s">
        <v>7181</v>
      </c>
      <c r="D2573" s="656" t="s">
        <v>7738</v>
      </c>
      <c r="E2573" s="534">
        <v>609.01667299999997</v>
      </c>
    </row>
    <row r="2574" spans="2:5" x14ac:dyDescent="0.2">
      <c r="B2574" s="533">
        <v>2998</v>
      </c>
      <c r="C2574" s="533" t="s">
        <v>1853</v>
      </c>
      <c r="D2574" s="656" t="s">
        <v>415</v>
      </c>
      <c r="E2574" s="534">
        <v>702.21874600000001</v>
      </c>
    </row>
    <row r="2575" spans="2:5" x14ac:dyDescent="0.2">
      <c r="B2575" s="533">
        <v>2999</v>
      </c>
      <c r="C2575" s="533" t="s">
        <v>1402</v>
      </c>
      <c r="D2575" s="656" t="s">
        <v>7738</v>
      </c>
      <c r="E2575" s="534">
        <v>615.97502099999997</v>
      </c>
    </row>
    <row r="2576" spans="2:5" x14ac:dyDescent="0.2">
      <c r="B2576" s="533">
        <v>3000</v>
      </c>
      <c r="C2576" s="533" t="s">
        <v>1280</v>
      </c>
      <c r="D2576" s="656" t="s">
        <v>415</v>
      </c>
      <c r="E2576" s="534">
        <v>704.05000299999995</v>
      </c>
    </row>
    <row r="2577" spans="2:5" x14ac:dyDescent="0.2">
      <c r="B2577" s="533">
        <v>3001</v>
      </c>
      <c r="C2577" s="533" t="s">
        <v>1349</v>
      </c>
      <c r="D2577" s="656" t="s">
        <v>415</v>
      </c>
      <c r="E2577" s="534">
        <v>612.94286199999999</v>
      </c>
    </row>
    <row r="2578" spans="2:5" x14ac:dyDescent="0.2">
      <c r="B2578" s="533">
        <v>3002</v>
      </c>
      <c r="C2578" s="533" t="s">
        <v>7236</v>
      </c>
      <c r="D2578" s="656" t="s">
        <v>415</v>
      </c>
      <c r="E2578" s="534">
        <v>700.86667899999998</v>
      </c>
    </row>
    <row r="2579" spans="2:5" x14ac:dyDescent="0.2">
      <c r="B2579" s="533">
        <v>3003</v>
      </c>
      <c r="C2579" s="533" t="s">
        <v>1779</v>
      </c>
      <c r="D2579" s="656" t="s">
        <v>415</v>
      </c>
      <c r="E2579" s="534">
        <v>635.59999600000003</v>
      </c>
    </row>
    <row r="2580" spans="2:5" x14ac:dyDescent="0.2">
      <c r="B2580" s="533">
        <v>3004</v>
      </c>
      <c r="C2580" s="533" t="s">
        <v>1210</v>
      </c>
      <c r="D2580" s="656" t="s">
        <v>415</v>
      </c>
      <c r="E2580" s="534">
        <v>605.09375399999999</v>
      </c>
    </row>
    <row r="2581" spans="2:5" x14ac:dyDescent="0.2">
      <c r="B2581" s="533">
        <v>3005</v>
      </c>
      <c r="C2581" s="533" t="s">
        <v>1135</v>
      </c>
      <c r="D2581" s="656" t="s">
        <v>7738</v>
      </c>
      <c r="E2581" s="534">
        <v>600.39999899999998</v>
      </c>
    </row>
    <row r="2582" spans="2:5" x14ac:dyDescent="0.2">
      <c r="B2582" s="533">
        <v>3006</v>
      </c>
      <c r="C2582" s="533" t="s">
        <v>3953</v>
      </c>
      <c r="D2582" s="656" t="s">
        <v>415</v>
      </c>
      <c r="E2582" s="534">
        <v>742.38888899999995</v>
      </c>
    </row>
    <row r="2583" spans="2:5" x14ac:dyDescent="0.2">
      <c r="B2583" s="533">
        <v>3007</v>
      </c>
      <c r="C2583" s="533" t="s">
        <v>875</v>
      </c>
      <c r="D2583" s="656" t="s">
        <v>7738</v>
      </c>
      <c r="E2583" s="534">
        <v>578</v>
      </c>
    </row>
    <row r="2584" spans="2:5" ht="15" x14ac:dyDescent="0.2">
      <c r="B2584" s="531">
        <v>3008</v>
      </c>
      <c r="C2584" s="533" t="s">
        <v>691</v>
      </c>
      <c r="D2584" s="656" t="s">
        <v>7738</v>
      </c>
      <c r="E2584" s="532">
        <v>549.41666699999996</v>
      </c>
    </row>
    <row r="2585" spans="2:5" ht="15" x14ac:dyDescent="0.2">
      <c r="B2585" s="533">
        <v>3009</v>
      </c>
      <c r="C2585" s="531" t="s">
        <v>1667</v>
      </c>
      <c r="D2585" s="656" t="s">
        <v>7738</v>
      </c>
      <c r="E2585" s="534">
        <v>630.92000700000006</v>
      </c>
    </row>
    <row r="2586" spans="2:5" x14ac:dyDescent="0.2">
      <c r="B2586" s="533">
        <v>3010</v>
      </c>
      <c r="C2586" s="533" t="s">
        <v>951</v>
      </c>
      <c r="D2586" s="656" t="s">
        <v>7738</v>
      </c>
      <c r="E2586" s="534">
        <v>584.97999900000002</v>
      </c>
    </row>
    <row r="2587" spans="2:5" x14ac:dyDescent="0.2">
      <c r="B2587" s="533">
        <v>3011</v>
      </c>
      <c r="C2587" s="533" t="s">
        <v>938</v>
      </c>
      <c r="D2587" s="656" t="s">
        <v>7738</v>
      </c>
      <c r="E2587" s="534">
        <v>583.89999399999999</v>
      </c>
    </row>
    <row r="2588" spans="2:5" x14ac:dyDescent="0.2">
      <c r="B2588" s="533">
        <v>3012</v>
      </c>
      <c r="C2588" s="533" t="s">
        <v>3925</v>
      </c>
      <c r="D2588" s="656" t="s">
        <v>415</v>
      </c>
      <c r="E2588" s="534">
        <v>740.73333700000001</v>
      </c>
    </row>
    <row r="2589" spans="2:5" x14ac:dyDescent="0.2">
      <c r="B2589" s="533">
        <v>3013</v>
      </c>
      <c r="C2589" s="533" t="s">
        <v>7275</v>
      </c>
      <c r="D2589" s="656" t="s">
        <v>7738</v>
      </c>
      <c r="E2589" s="534">
        <v>614.01666299999999</v>
      </c>
    </row>
    <row r="2590" spans="2:5" x14ac:dyDescent="0.2">
      <c r="B2590" s="533">
        <v>3014</v>
      </c>
      <c r="C2590" s="533" t="s">
        <v>1345</v>
      </c>
      <c r="D2590" s="656" t="s">
        <v>415</v>
      </c>
      <c r="E2590" s="534">
        <v>612.65000899999995</v>
      </c>
    </row>
    <row r="2591" spans="2:5" x14ac:dyDescent="0.2">
      <c r="B2591" s="533">
        <v>3015</v>
      </c>
      <c r="C2591" s="533" t="s">
        <v>2283</v>
      </c>
      <c r="D2591" s="656" t="s">
        <v>415</v>
      </c>
      <c r="E2591" s="534">
        <v>657</v>
      </c>
    </row>
    <row r="2592" spans="2:5" x14ac:dyDescent="0.2">
      <c r="B2592" s="533">
        <v>3016</v>
      </c>
      <c r="C2592" s="533" t="s">
        <v>1115</v>
      </c>
      <c r="D2592" s="656" t="s">
        <v>415</v>
      </c>
      <c r="E2592" s="534">
        <v>599.31666600000005</v>
      </c>
    </row>
    <row r="2593" spans="2:5" x14ac:dyDescent="0.2">
      <c r="B2593" s="533">
        <v>3018</v>
      </c>
      <c r="C2593" s="533" t="s">
        <v>826</v>
      </c>
      <c r="D2593" s="656" t="s">
        <v>7738</v>
      </c>
      <c r="E2593" s="534">
        <v>573.385716</v>
      </c>
    </row>
    <row r="2594" spans="2:5" x14ac:dyDescent="0.2">
      <c r="B2594" s="533">
        <v>3019</v>
      </c>
      <c r="C2594" s="533" t="s">
        <v>1306</v>
      </c>
      <c r="D2594" s="656" t="s">
        <v>7738</v>
      </c>
      <c r="E2594" s="534">
        <v>610.5</v>
      </c>
    </row>
    <row r="2595" spans="2:5" x14ac:dyDescent="0.2">
      <c r="B2595" s="533">
        <v>3020</v>
      </c>
      <c r="C2595" s="533" t="s">
        <v>830</v>
      </c>
      <c r="D2595" s="656" t="s">
        <v>7738</v>
      </c>
      <c r="E2595" s="534">
        <v>573.759998</v>
      </c>
    </row>
    <row r="2596" spans="2:5" x14ac:dyDescent="0.2">
      <c r="B2596" s="533">
        <v>3021</v>
      </c>
      <c r="C2596" s="533" t="s">
        <v>1858</v>
      </c>
      <c r="D2596" s="656" t="s">
        <v>415</v>
      </c>
      <c r="E2596" s="534">
        <v>638.63749700000005</v>
      </c>
    </row>
    <row r="2597" spans="2:5" x14ac:dyDescent="0.2">
      <c r="B2597" s="533">
        <v>3022</v>
      </c>
      <c r="C2597" s="533" t="s">
        <v>915</v>
      </c>
      <c r="D2597" s="656" t="s">
        <v>7738</v>
      </c>
      <c r="E2597" s="534">
        <v>582.13748899999996</v>
      </c>
    </row>
    <row r="2598" spans="2:5" x14ac:dyDescent="0.2">
      <c r="B2598" s="533">
        <v>3023</v>
      </c>
      <c r="C2598" s="533" t="s">
        <v>856</v>
      </c>
      <c r="D2598" s="656" t="s">
        <v>7738</v>
      </c>
      <c r="E2598" s="534">
        <v>575.94286199999999</v>
      </c>
    </row>
    <row r="2599" spans="2:5" x14ac:dyDescent="0.2">
      <c r="B2599" s="533">
        <v>3024</v>
      </c>
      <c r="C2599" s="533" t="s">
        <v>1518</v>
      </c>
      <c r="D2599" s="656" t="s">
        <v>415</v>
      </c>
      <c r="E2599" s="534">
        <v>621.89523799999995</v>
      </c>
    </row>
    <row r="2600" spans="2:5" x14ac:dyDescent="0.2">
      <c r="B2600" s="533">
        <v>3025</v>
      </c>
      <c r="C2600" s="533" t="s">
        <v>7399</v>
      </c>
      <c r="D2600" s="656" t="s">
        <v>7738</v>
      </c>
      <c r="E2600" s="534">
        <v>599.18750799999998</v>
      </c>
    </row>
    <row r="2601" spans="2:5" x14ac:dyDescent="0.2">
      <c r="B2601" s="533">
        <v>3026</v>
      </c>
      <c r="C2601" s="533" t="s">
        <v>1484</v>
      </c>
      <c r="D2601" s="656" t="s">
        <v>7738</v>
      </c>
      <c r="E2601" s="534">
        <v>619.76667299999997</v>
      </c>
    </row>
    <row r="2602" spans="2:5" x14ac:dyDescent="0.2">
      <c r="B2602" s="533">
        <v>3027</v>
      </c>
      <c r="C2602" s="533" t="s">
        <v>6716</v>
      </c>
      <c r="D2602" s="656" t="s">
        <v>415</v>
      </c>
      <c r="E2602" s="534">
        <v>711.70000200000004</v>
      </c>
    </row>
    <row r="2603" spans="2:5" x14ac:dyDescent="0.2">
      <c r="B2603" s="533">
        <v>3028</v>
      </c>
      <c r="C2603" s="533" t="s">
        <v>3453</v>
      </c>
      <c r="D2603" s="656" t="s">
        <v>415</v>
      </c>
      <c r="E2603" s="534">
        <v>713.93998999999997</v>
      </c>
    </row>
    <row r="2604" spans="2:5" x14ac:dyDescent="0.2">
      <c r="B2604" s="533">
        <v>3029</v>
      </c>
      <c r="C2604" s="533" t="s">
        <v>2344</v>
      </c>
      <c r="D2604" s="656" t="s">
        <v>415</v>
      </c>
      <c r="E2604" s="534">
        <v>659.70624899999996</v>
      </c>
    </row>
    <row r="2605" spans="2:5" x14ac:dyDescent="0.2">
      <c r="B2605" s="533">
        <v>3030</v>
      </c>
      <c r="C2605" s="533" t="s">
        <v>678</v>
      </c>
      <c r="D2605" s="656" t="s">
        <v>7738</v>
      </c>
      <c r="E2605" s="534">
        <v>569.32499700000005</v>
      </c>
    </row>
    <row r="2606" spans="2:5" x14ac:dyDescent="0.2">
      <c r="B2606" s="533">
        <v>3031</v>
      </c>
      <c r="C2606" s="533" t="s">
        <v>885</v>
      </c>
      <c r="D2606" s="656" t="s">
        <v>415</v>
      </c>
      <c r="E2606" s="534">
        <v>579.22000700000001</v>
      </c>
    </row>
    <row r="2607" spans="2:5" x14ac:dyDescent="0.2">
      <c r="B2607" s="533">
        <v>3032</v>
      </c>
      <c r="C2607" s="533" t="s">
        <v>1544</v>
      </c>
      <c r="D2607" s="656" t="s">
        <v>7738</v>
      </c>
      <c r="E2607" s="534">
        <v>623.89999399999999</v>
      </c>
    </row>
    <row r="2608" spans="2:5" x14ac:dyDescent="0.2">
      <c r="B2608" s="533">
        <v>3033</v>
      </c>
      <c r="C2608" s="533" t="s">
        <v>3861</v>
      </c>
      <c r="D2608" s="656" t="s">
        <v>415</v>
      </c>
      <c r="E2608" s="534">
        <v>736.76002200000005</v>
      </c>
    </row>
    <row r="2609" spans="2:5" x14ac:dyDescent="0.2">
      <c r="B2609" s="533">
        <v>3034</v>
      </c>
      <c r="C2609" s="533" t="s">
        <v>3942</v>
      </c>
      <c r="D2609" s="656" t="s">
        <v>415</v>
      </c>
      <c r="E2609" s="534">
        <v>741.55999799999995</v>
      </c>
    </row>
    <row r="2610" spans="2:5" x14ac:dyDescent="0.2">
      <c r="B2610" s="533">
        <v>3035</v>
      </c>
      <c r="C2610" s="533" t="s">
        <v>879</v>
      </c>
      <c r="D2610" s="656" t="s">
        <v>7738</v>
      </c>
      <c r="E2610" s="534">
        <v>578.61999500000002</v>
      </c>
    </row>
    <row r="2611" spans="2:5" x14ac:dyDescent="0.2">
      <c r="B2611" s="533">
        <v>3036</v>
      </c>
      <c r="C2611" s="533" t="s">
        <v>3347</v>
      </c>
      <c r="D2611" s="656" t="s">
        <v>415</v>
      </c>
      <c r="E2611" s="534">
        <v>708.776926</v>
      </c>
    </row>
    <row r="2612" spans="2:5" x14ac:dyDescent="0.2">
      <c r="B2612" s="533">
        <v>3037</v>
      </c>
      <c r="C2612" s="533" t="s">
        <v>1053</v>
      </c>
      <c r="D2612" s="656" t="s">
        <v>7738</v>
      </c>
      <c r="E2612" s="534">
        <v>594.64001499999995</v>
      </c>
    </row>
    <row r="2613" spans="2:5" x14ac:dyDescent="0.2">
      <c r="B2613" s="533">
        <v>3038</v>
      </c>
      <c r="C2613" s="533" t="s">
        <v>1766</v>
      </c>
      <c r="D2613" s="656" t="s">
        <v>415</v>
      </c>
      <c r="E2613" s="534">
        <v>635.19998199999998</v>
      </c>
    </row>
    <row r="2614" spans="2:5" x14ac:dyDescent="0.2">
      <c r="B2614" s="533">
        <v>3039</v>
      </c>
      <c r="C2614" s="533" t="s">
        <v>1171</v>
      </c>
      <c r="D2614" s="656" t="s">
        <v>415</v>
      </c>
      <c r="E2614" s="534">
        <v>604.42857100000003</v>
      </c>
    </row>
    <row r="2615" spans="2:5" x14ac:dyDescent="0.2">
      <c r="B2615" s="533">
        <v>3040</v>
      </c>
      <c r="C2615" s="533" t="s">
        <v>3223</v>
      </c>
      <c r="D2615" s="656" t="s">
        <v>415</v>
      </c>
      <c r="E2615" s="534">
        <v>702.64000899999996</v>
      </c>
    </row>
    <row r="2616" spans="2:5" x14ac:dyDescent="0.2">
      <c r="B2616" s="533">
        <v>3041</v>
      </c>
      <c r="C2616" s="533" t="s">
        <v>2893</v>
      </c>
      <c r="D2616" s="656" t="s">
        <v>415</v>
      </c>
      <c r="E2616" s="534">
        <v>686.05999799999995</v>
      </c>
    </row>
    <row r="2617" spans="2:5" x14ac:dyDescent="0.2">
      <c r="B2617" s="533">
        <v>3042</v>
      </c>
      <c r="C2617" s="533" t="s">
        <v>1002</v>
      </c>
      <c r="D2617" s="656" t="s">
        <v>415</v>
      </c>
      <c r="E2617" s="534">
        <v>590.30000800000005</v>
      </c>
    </row>
    <row r="2618" spans="2:5" x14ac:dyDescent="0.2">
      <c r="B2618" s="533">
        <v>3043</v>
      </c>
      <c r="C2618" s="533" t="s">
        <v>1449</v>
      </c>
      <c r="D2618" s="656" t="s">
        <v>415</v>
      </c>
      <c r="E2618" s="534">
        <v>618.20000000000005</v>
      </c>
    </row>
    <row r="2619" spans="2:5" x14ac:dyDescent="0.2">
      <c r="B2619" s="533">
        <v>3044</v>
      </c>
      <c r="C2619" s="533" t="s">
        <v>7508</v>
      </c>
      <c r="D2619" s="656" t="s">
        <v>415</v>
      </c>
      <c r="E2619" s="534">
        <v>652.67500299999995</v>
      </c>
    </row>
    <row r="2620" spans="2:5" x14ac:dyDescent="0.2">
      <c r="B2620" s="533">
        <v>3045</v>
      </c>
      <c r="C2620" s="533" t="s">
        <v>1024</v>
      </c>
      <c r="D2620" s="656" t="s">
        <v>7738</v>
      </c>
      <c r="E2620" s="534">
        <v>592.27000699999996</v>
      </c>
    </row>
    <row r="2621" spans="2:5" x14ac:dyDescent="0.2">
      <c r="B2621" s="533">
        <v>3046</v>
      </c>
      <c r="C2621" s="533" t="s">
        <v>1233</v>
      </c>
      <c r="D2621" s="656" t="s">
        <v>7738</v>
      </c>
      <c r="E2621" s="534">
        <v>606.25000599999998</v>
      </c>
    </row>
    <row r="2622" spans="2:5" x14ac:dyDescent="0.2">
      <c r="B2622" s="533">
        <v>3047</v>
      </c>
      <c r="C2622" s="533" t="s">
        <v>873</v>
      </c>
      <c r="D2622" s="656" t="s">
        <v>7738</v>
      </c>
      <c r="E2622" s="534">
        <v>577.92000099999996</v>
      </c>
    </row>
    <row r="2623" spans="2:5" x14ac:dyDescent="0.2">
      <c r="B2623" s="533">
        <v>3048</v>
      </c>
      <c r="C2623" s="533" t="s">
        <v>3394</v>
      </c>
      <c r="D2623" s="656" t="s">
        <v>415</v>
      </c>
      <c r="E2623" s="534">
        <v>711.13635799999997</v>
      </c>
    </row>
    <row r="2624" spans="2:5" x14ac:dyDescent="0.2">
      <c r="B2624" s="533">
        <v>3049</v>
      </c>
      <c r="C2624" s="533" t="s">
        <v>2060</v>
      </c>
      <c r="D2624" s="656" t="s">
        <v>7738</v>
      </c>
      <c r="E2624" s="534">
        <v>646.26250500000003</v>
      </c>
    </row>
    <row r="2625" spans="2:5" x14ac:dyDescent="0.2">
      <c r="B2625" s="533">
        <v>3050</v>
      </c>
      <c r="C2625" s="533" t="s">
        <v>841</v>
      </c>
      <c r="D2625" s="656" t="s">
        <v>7738</v>
      </c>
      <c r="E2625" s="534">
        <v>574.80001800000002</v>
      </c>
    </row>
    <row r="2626" spans="2:5" x14ac:dyDescent="0.2">
      <c r="B2626" s="533">
        <v>3051</v>
      </c>
      <c r="C2626" s="533" t="s">
        <v>750</v>
      </c>
      <c r="D2626" s="656" t="s">
        <v>7738</v>
      </c>
      <c r="E2626" s="534">
        <v>560.29998799999998</v>
      </c>
    </row>
    <row r="2627" spans="2:5" x14ac:dyDescent="0.2">
      <c r="B2627" s="533">
        <v>3052</v>
      </c>
      <c r="C2627" s="533" t="s">
        <v>1393</v>
      </c>
      <c r="D2627" s="656" t="s">
        <v>7738</v>
      </c>
      <c r="E2627" s="534">
        <v>615.11111100000005</v>
      </c>
    </row>
    <row r="2628" spans="2:5" x14ac:dyDescent="0.2">
      <c r="B2628" s="533">
        <v>3053</v>
      </c>
      <c r="C2628" s="533" t="s">
        <v>1092</v>
      </c>
      <c r="D2628" s="656" t="s">
        <v>7738</v>
      </c>
      <c r="E2628" s="534">
        <v>597.71666500000003</v>
      </c>
    </row>
    <row r="2629" spans="2:5" x14ac:dyDescent="0.2">
      <c r="B2629" s="533">
        <v>3054</v>
      </c>
      <c r="C2629" s="533" t="s">
        <v>2714</v>
      </c>
      <c r="D2629" s="656" t="s">
        <v>415</v>
      </c>
      <c r="E2629" s="534">
        <v>677.01333399999999</v>
      </c>
    </row>
    <row r="2630" spans="2:5" x14ac:dyDescent="0.2">
      <c r="B2630" s="533">
        <v>3055</v>
      </c>
      <c r="C2630" s="533" t="s">
        <v>974</v>
      </c>
      <c r="D2630" s="656" t="s">
        <v>7738</v>
      </c>
      <c r="E2630" s="534">
        <v>587.56664999999998</v>
      </c>
    </row>
    <row r="2631" spans="2:5" x14ac:dyDescent="0.2">
      <c r="B2631" s="533">
        <v>3056</v>
      </c>
      <c r="C2631" s="533" t="s">
        <v>4144</v>
      </c>
      <c r="D2631" s="656" t="s">
        <v>415</v>
      </c>
      <c r="E2631" s="534">
        <v>755.05999799999995</v>
      </c>
    </row>
    <row r="2632" spans="2:5" x14ac:dyDescent="0.2">
      <c r="B2632" s="533">
        <v>3057</v>
      </c>
      <c r="C2632" s="533" t="s">
        <v>7565</v>
      </c>
      <c r="D2632" s="656" t="s">
        <v>415</v>
      </c>
      <c r="E2632" s="534">
        <v>716.61999500000002</v>
      </c>
    </row>
    <row r="2633" spans="2:5" x14ac:dyDescent="0.2">
      <c r="B2633" s="533">
        <v>3058</v>
      </c>
      <c r="C2633" s="533" t="s">
        <v>1106</v>
      </c>
      <c r="D2633" s="656" t="s">
        <v>7738</v>
      </c>
      <c r="E2633" s="534">
        <v>598.56664999999998</v>
      </c>
    </row>
    <row r="2634" spans="2:5" x14ac:dyDescent="0.2">
      <c r="B2634" s="533">
        <v>3059</v>
      </c>
      <c r="C2634" s="533" t="s">
        <v>1077</v>
      </c>
      <c r="D2634" s="656" t="s">
        <v>7738</v>
      </c>
      <c r="E2634" s="534">
        <v>596.59999600000003</v>
      </c>
    </row>
    <row r="2635" spans="2:5" x14ac:dyDescent="0.2">
      <c r="B2635" s="533">
        <v>3060</v>
      </c>
      <c r="C2635" s="533" t="s">
        <v>3826</v>
      </c>
      <c r="D2635" s="656" t="s">
        <v>415</v>
      </c>
      <c r="E2635" s="534">
        <v>734.88748899999996</v>
      </c>
    </row>
    <row r="2636" spans="2:5" x14ac:dyDescent="0.2">
      <c r="B2636" s="533">
        <v>3061</v>
      </c>
      <c r="C2636" s="533" t="s">
        <v>1344</v>
      </c>
      <c r="D2636" s="656" t="s">
        <v>7738</v>
      </c>
      <c r="E2636" s="534">
        <v>612.60000100000002</v>
      </c>
    </row>
    <row r="2637" spans="2:5" x14ac:dyDescent="0.2">
      <c r="B2637" s="533">
        <v>3062</v>
      </c>
      <c r="C2637" s="533" t="s">
        <v>900</v>
      </c>
      <c r="D2637" s="656" t="s">
        <v>7738</v>
      </c>
      <c r="E2637" s="534">
        <v>580.49999500000001</v>
      </c>
    </row>
    <row r="2638" spans="2:5" x14ac:dyDescent="0.2">
      <c r="B2638" s="533">
        <v>3063</v>
      </c>
      <c r="C2638" s="533" t="s">
        <v>1130</v>
      </c>
      <c r="D2638" s="656" t="s">
        <v>7738</v>
      </c>
      <c r="E2638" s="534">
        <v>600.1</v>
      </c>
    </row>
    <row r="2639" spans="2:5" x14ac:dyDescent="0.2">
      <c r="B2639" s="533">
        <v>3064</v>
      </c>
      <c r="C2639" s="533" t="s">
        <v>1003</v>
      </c>
      <c r="D2639" s="656" t="s">
        <v>415</v>
      </c>
      <c r="E2639" s="534">
        <v>703.42941499999995</v>
      </c>
    </row>
    <row r="2640" spans="2:5" x14ac:dyDescent="0.2">
      <c r="B2640" s="533">
        <v>3065</v>
      </c>
      <c r="C2640" s="533" t="s">
        <v>859</v>
      </c>
      <c r="D2640" s="656" t="s">
        <v>7738</v>
      </c>
      <c r="E2640" s="534">
        <v>576.51666299999999</v>
      </c>
    </row>
    <row r="2641" spans="2:5" x14ac:dyDescent="0.2">
      <c r="B2641" s="533">
        <v>3066</v>
      </c>
      <c r="C2641" s="533" t="s">
        <v>2131</v>
      </c>
      <c r="D2641" s="656" t="s">
        <v>415</v>
      </c>
      <c r="E2641" s="534">
        <v>650.34444900000005</v>
      </c>
    </row>
    <row r="2642" spans="2:5" x14ac:dyDescent="0.2">
      <c r="B2642" s="533">
        <v>3067</v>
      </c>
      <c r="C2642" s="533" t="s">
        <v>3814</v>
      </c>
      <c r="D2642" s="656" t="s">
        <v>415</v>
      </c>
      <c r="E2642" s="534">
        <v>734.03749800000003</v>
      </c>
    </row>
    <row r="2643" spans="2:5" x14ac:dyDescent="0.2">
      <c r="B2643" s="533">
        <v>3068</v>
      </c>
      <c r="C2643" s="533" t="s">
        <v>1259</v>
      </c>
      <c r="D2643" s="656" t="s">
        <v>415</v>
      </c>
      <c r="E2643" s="534">
        <v>607.55713800000001</v>
      </c>
    </row>
    <row r="2644" spans="2:5" x14ac:dyDescent="0.2">
      <c r="B2644" s="533">
        <v>3069</v>
      </c>
      <c r="C2644" s="533" t="s">
        <v>6706</v>
      </c>
      <c r="D2644" s="656" t="s">
        <v>415</v>
      </c>
      <c r="E2644" s="534">
        <v>721.5625</v>
      </c>
    </row>
    <row r="2645" spans="2:5" x14ac:dyDescent="0.2">
      <c r="B2645" s="533">
        <v>3070</v>
      </c>
      <c r="C2645" s="533" t="s">
        <v>3997</v>
      </c>
      <c r="D2645" s="656" t="s">
        <v>415</v>
      </c>
      <c r="E2645" s="534">
        <v>745.21666500000003</v>
      </c>
    </row>
    <row r="2646" spans="2:5" x14ac:dyDescent="0.2">
      <c r="B2646" s="533">
        <v>3071</v>
      </c>
      <c r="C2646" s="533" t="s">
        <v>3545</v>
      </c>
      <c r="D2646" s="656" t="s">
        <v>415</v>
      </c>
      <c r="E2646" s="534">
        <v>718.89999399999999</v>
      </c>
    </row>
    <row r="2647" spans="2:5" x14ac:dyDescent="0.2">
      <c r="B2647" s="533">
        <v>3101</v>
      </c>
      <c r="C2647" s="533" t="s">
        <v>1570</v>
      </c>
      <c r="D2647" s="656" t="s">
        <v>415</v>
      </c>
      <c r="E2647" s="534">
        <v>625.29999999999995</v>
      </c>
    </row>
    <row r="2648" spans="2:5" x14ac:dyDescent="0.2">
      <c r="B2648" s="533">
        <v>3102</v>
      </c>
      <c r="C2648" s="533" t="s">
        <v>1471</v>
      </c>
      <c r="D2648" s="656" t="s">
        <v>415</v>
      </c>
      <c r="E2648" s="534">
        <v>628.822225</v>
      </c>
    </row>
    <row r="2649" spans="2:5" x14ac:dyDescent="0.2">
      <c r="B2649" s="533">
        <v>3103</v>
      </c>
      <c r="C2649" s="533" t="s">
        <v>1802</v>
      </c>
      <c r="D2649" s="656" t="s">
        <v>415</v>
      </c>
      <c r="E2649" s="534">
        <v>636.5</v>
      </c>
    </row>
    <row r="2650" spans="2:5" x14ac:dyDescent="0.2">
      <c r="B2650" s="533">
        <v>3104</v>
      </c>
      <c r="C2650" s="533" t="s">
        <v>1975</v>
      </c>
      <c r="D2650" s="656" t="s">
        <v>415</v>
      </c>
      <c r="E2650" s="534">
        <v>642.84001499999999</v>
      </c>
    </row>
    <row r="2651" spans="2:5" x14ac:dyDescent="0.2">
      <c r="B2651" s="533">
        <v>3105</v>
      </c>
      <c r="C2651" s="533" t="s">
        <v>415</v>
      </c>
      <c r="D2651" s="656" t="s">
        <v>415</v>
      </c>
      <c r="E2651" s="534">
        <v>645.79333499999996</v>
      </c>
    </row>
    <row r="2652" spans="2:5" x14ac:dyDescent="0.2">
      <c r="B2652" s="533">
        <v>3106</v>
      </c>
      <c r="C2652" s="533" t="s">
        <v>1536</v>
      </c>
      <c r="D2652" s="656" t="s">
        <v>415</v>
      </c>
      <c r="E2652" s="534">
        <v>623.305879</v>
      </c>
    </row>
    <row r="2653" spans="2:5" x14ac:dyDescent="0.2">
      <c r="B2653" s="533">
        <v>3107</v>
      </c>
      <c r="C2653" s="533" t="s">
        <v>2338</v>
      </c>
      <c r="D2653" s="656" t="s">
        <v>415</v>
      </c>
      <c r="E2653" s="534">
        <v>659.43333900000005</v>
      </c>
    </row>
    <row r="2654" spans="2:5" x14ac:dyDescent="0.2">
      <c r="B2654" s="533">
        <v>3108</v>
      </c>
      <c r="C2654" s="533" t="s">
        <v>1951</v>
      </c>
      <c r="D2654" s="656" t="s">
        <v>415</v>
      </c>
      <c r="E2654" s="534">
        <v>642.04999099999998</v>
      </c>
    </row>
    <row r="2655" spans="2:5" x14ac:dyDescent="0.2">
      <c r="B2655" s="533">
        <v>3109</v>
      </c>
      <c r="C2655" s="533" t="s">
        <v>1613</v>
      </c>
      <c r="D2655" s="656" t="s">
        <v>415</v>
      </c>
      <c r="E2655" s="534">
        <v>627.62498500000004</v>
      </c>
    </row>
    <row r="2656" spans="2:5" x14ac:dyDescent="0.2">
      <c r="B2656" s="533">
        <v>3110</v>
      </c>
      <c r="C2656" s="533" t="s">
        <v>1501</v>
      </c>
      <c r="D2656" s="656" t="s">
        <v>415</v>
      </c>
      <c r="E2656" s="534">
        <v>621.125</v>
      </c>
    </row>
    <row r="2657" spans="2:5" x14ac:dyDescent="0.2">
      <c r="B2657" s="533">
        <v>3111</v>
      </c>
      <c r="C2657" s="533" t="s">
        <v>2233</v>
      </c>
      <c r="D2657" s="656" t="s">
        <v>415</v>
      </c>
      <c r="E2657" s="534">
        <v>654.88750500000003</v>
      </c>
    </row>
    <row r="2658" spans="2:5" x14ac:dyDescent="0.2">
      <c r="B2658" s="533">
        <v>3112</v>
      </c>
      <c r="C2658" s="533" t="s">
        <v>1509</v>
      </c>
      <c r="D2658" s="656" t="s">
        <v>415</v>
      </c>
      <c r="E2658" s="534">
        <v>621.56667100000004</v>
      </c>
    </row>
    <row r="2659" spans="2:5" x14ac:dyDescent="0.2">
      <c r="B2659" s="533">
        <v>3113</v>
      </c>
      <c r="C2659" s="533" t="s">
        <v>986</v>
      </c>
      <c r="D2659" s="656" t="s">
        <v>415</v>
      </c>
      <c r="E2659" s="534">
        <v>588.66667700000005</v>
      </c>
    </row>
    <row r="2660" spans="2:5" x14ac:dyDescent="0.2">
      <c r="B2660" s="533">
        <v>3114</v>
      </c>
      <c r="C2660" s="533" t="s">
        <v>1568</v>
      </c>
      <c r="D2660" s="656" t="s">
        <v>415</v>
      </c>
      <c r="E2660" s="534">
        <v>625.09999600000003</v>
      </c>
    </row>
    <row r="2661" spans="2:5" x14ac:dyDescent="0.2">
      <c r="B2661" s="533">
        <v>3115</v>
      </c>
      <c r="C2661" s="533" t="s">
        <v>1899</v>
      </c>
      <c r="D2661" s="656" t="s">
        <v>415</v>
      </c>
      <c r="E2661" s="534">
        <v>640.19999399999995</v>
      </c>
    </row>
    <row r="2662" spans="2:5" x14ac:dyDescent="0.2">
      <c r="B2662" s="533">
        <v>3116</v>
      </c>
      <c r="C2662" s="533" t="s">
        <v>1492</v>
      </c>
      <c r="D2662" s="656" t="s">
        <v>415</v>
      </c>
      <c r="E2662" s="534">
        <v>625.95455100000004</v>
      </c>
    </row>
    <row r="2663" spans="2:5" x14ac:dyDescent="0.2">
      <c r="B2663" s="533">
        <v>3117</v>
      </c>
      <c r="C2663" s="533" t="s">
        <v>1182</v>
      </c>
      <c r="D2663" s="656" t="s">
        <v>415</v>
      </c>
      <c r="E2663" s="534">
        <v>603.48750299999995</v>
      </c>
    </row>
    <row r="2664" spans="2:5" x14ac:dyDescent="0.2">
      <c r="B2664" s="533">
        <v>3118</v>
      </c>
      <c r="C2664" s="533" t="s">
        <v>1726</v>
      </c>
      <c r="D2664" s="656" t="s">
        <v>415</v>
      </c>
      <c r="E2664" s="534">
        <v>633.67778199999998</v>
      </c>
    </row>
    <row r="2665" spans="2:5" x14ac:dyDescent="0.2">
      <c r="B2665" s="533">
        <v>3119</v>
      </c>
      <c r="C2665" s="533" t="s">
        <v>1257</v>
      </c>
      <c r="D2665" s="656" t="s">
        <v>415</v>
      </c>
      <c r="E2665" s="534">
        <v>607.32500500000003</v>
      </c>
    </row>
    <row r="2666" spans="2:5" x14ac:dyDescent="0.2">
      <c r="B2666" s="533">
        <v>3120</v>
      </c>
      <c r="C2666" s="533" t="s">
        <v>6585</v>
      </c>
      <c r="D2666" s="656" t="s">
        <v>415</v>
      </c>
      <c r="E2666" s="534">
        <v>640.70768899999996</v>
      </c>
    </row>
    <row r="2667" spans="2:5" x14ac:dyDescent="0.2">
      <c r="B2667" s="533">
        <v>3121</v>
      </c>
      <c r="C2667" s="533" t="s">
        <v>1067</v>
      </c>
      <c r="D2667" s="656" t="s">
        <v>415</v>
      </c>
      <c r="E2667" s="534">
        <v>637.33333300000004</v>
      </c>
    </row>
    <row r="2668" spans="2:5" x14ac:dyDescent="0.2">
      <c r="B2668" s="533">
        <v>3122</v>
      </c>
      <c r="C2668" s="533" t="s">
        <v>2538</v>
      </c>
      <c r="D2668" s="656" t="s">
        <v>415</v>
      </c>
      <c r="E2668" s="534">
        <v>668.31999499999995</v>
      </c>
    </row>
    <row r="2669" spans="2:5" x14ac:dyDescent="0.2">
      <c r="B2669" s="533">
        <v>3123</v>
      </c>
      <c r="C2669" s="533" t="s">
        <v>6589</v>
      </c>
      <c r="D2669" s="656" t="s">
        <v>415</v>
      </c>
      <c r="E2669" s="534">
        <v>636.01666799999998</v>
      </c>
    </row>
    <row r="2670" spans="2:5" x14ac:dyDescent="0.2">
      <c r="B2670" s="533">
        <v>3124</v>
      </c>
      <c r="C2670" s="533" t="s">
        <v>6605</v>
      </c>
      <c r="D2670" s="656" t="s">
        <v>415</v>
      </c>
      <c r="E2670" s="534">
        <v>567.17498799999998</v>
      </c>
    </row>
    <row r="2671" spans="2:5" x14ac:dyDescent="0.2">
      <c r="B2671" s="533">
        <v>3125</v>
      </c>
      <c r="C2671" s="533" t="s">
        <v>1641</v>
      </c>
      <c r="D2671" s="656" t="s">
        <v>415</v>
      </c>
      <c r="E2671" s="534">
        <v>629.07499700000005</v>
      </c>
    </row>
    <row r="2672" spans="2:5" x14ac:dyDescent="0.2">
      <c r="B2672" s="533">
        <v>3126</v>
      </c>
      <c r="C2672" s="533" t="s">
        <v>1740</v>
      </c>
      <c r="D2672" s="656" t="s">
        <v>415</v>
      </c>
      <c r="E2672" s="534">
        <v>634.10000600000001</v>
      </c>
    </row>
    <row r="2673" spans="2:5" x14ac:dyDescent="0.2">
      <c r="B2673" s="533">
        <v>3127</v>
      </c>
      <c r="C2673" s="533" t="s">
        <v>2586</v>
      </c>
      <c r="D2673" s="656" t="s">
        <v>415</v>
      </c>
      <c r="E2673" s="534">
        <v>670.54545499999995</v>
      </c>
    </row>
    <row r="2674" spans="2:5" x14ac:dyDescent="0.2">
      <c r="B2674" s="533">
        <v>3128</v>
      </c>
      <c r="C2674" s="533" t="s">
        <v>1566</v>
      </c>
      <c r="D2674" s="656" t="s">
        <v>415</v>
      </c>
      <c r="E2674" s="534">
        <v>624.95001200000002</v>
      </c>
    </row>
    <row r="2675" spans="2:5" x14ac:dyDescent="0.2">
      <c r="B2675" s="533">
        <v>3129</v>
      </c>
      <c r="C2675" s="533" t="s">
        <v>789</v>
      </c>
      <c r="D2675" s="656" t="s">
        <v>415</v>
      </c>
      <c r="E2675" s="534">
        <v>566.78333499999997</v>
      </c>
    </row>
    <row r="2676" spans="2:5" x14ac:dyDescent="0.2">
      <c r="B2676" s="533">
        <v>3130</v>
      </c>
      <c r="C2676" s="533" t="s">
        <v>815</v>
      </c>
      <c r="D2676" s="656" t="s">
        <v>415</v>
      </c>
      <c r="E2676" s="534">
        <v>571.85000600000001</v>
      </c>
    </row>
    <row r="2677" spans="2:5" x14ac:dyDescent="0.2">
      <c r="B2677" s="533">
        <v>3131</v>
      </c>
      <c r="C2677" s="533" t="s">
        <v>2562</v>
      </c>
      <c r="D2677" s="656" t="s">
        <v>415</v>
      </c>
      <c r="E2677" s="534">
        <v>669.15999799999997</v>
      </c>
    </row>
    <row r="2678" spans="2:5" x14ac:dyDescent="0.2">
      <c r="B2678" s="533">
        <v>3132</v>
      </c>
      <c r="C2678" s="533" t="s">
        <v>1868</v>
      </c>
      <c r="D2678" s="656" t="s">
        <v>415</v>
      </c>
      <c r="E2678" s="534">
        <v>639.08124499999997</v>
      </c>
    </row>
    <row r="2679" spans="2:5" x14ac:dyDescent="0.2">
      <c r="B2679" s="533">
        <v>3133</v>
      </c>
      <c r="C2679" s="533" t="s">
        <v>2339</v>
      </c>
      <c r="D2679" s="656" t="s">
        <v>415</v>
      </c>
      <c r="E2679" s="534">
        <v>659.45384799999999</v>
      </c>
    </row>
    <row r="2680" spans="2:5" x14ac:dyDescent="0.2">
      <c r="B2680" s="533">
        <v>3134</v>
      </c>
      <c r="C2680" s="533" t="s">
        <v>2010</v>
      </c>
      <c r="D2680" s="656" t="s">
        <v>415</v>
      </c>
      <c r="E2680" s="534">
        <v>643.95001200000002</v>
      </c>
    </row>
    <row r="2681" spans="2:5" x14ac:dyDescent="0.2">
      <c r="B2681" s="533">
        <v>3135</v>
      </c>
      <c r="C2681" s="533" t="s">
        <v>874</v>
      </c>
      <c r="D2681" s="656" t="s">
        <v>415</v>
      </c>
      <c r="E2681" s="534">
        <v>644.89999799999998</v>
      </c>
    </row>
    <row r="2682" spans="2:5" x14ac:dyDescent="0.2">
      <c r="B2682" s="533">
        <v>3136</v>
      </c>
      <c r="C2682" s="533" t="s">
        <v>1426</v>
      </c>
      <c r="D2682" s="656" t="s">
        <v>415</v>
      </c>
      <c r="E2682" s="534">
        <v>617.02220999999997</v>
      </c>
    </row>
    <row r="2683" spans="2:5" x14ac:dyDescent="0.2">
      <c r="B2683" s="533">
        <v>3137</v>
      </c>
      <c r="C2683" s="533" t="s">
        <v>1737</v>
      </c>
      <c r="D2683" s="656" t="s">
        <v>415</v>
      </c>
      <c r="E2683" s="534">
        <v>633.9375</v>
      </c>
    </row>
    <row r="2684" spans="2:5" x14ac:dyDescent="0.2">
      <c r="B2684" s="533">
        <v>3138</v>
      </c>
      <c r="C2684" s="533" t="s">
        <v>1219</v>
      </c>
      <c r="D2684" s="656" t="s">
        <v>415</v>
      </c>
      <c r="E2684" s="534">
        <v>636.77499399999999</v>
      </c>
    </row>
    <row r="2685" spans="2:5" x14ac:dyDescent="0.2">
      <c r="B2685" s="533">
        <v>3139</v>
      </c>
      <c r="C2685" s="533" t="s">
        <v>1755</v>
      </c>
      <c r="D2685" s="656" t="s">
        <v>415</v>
      </c>
      <c r="E2685" s="534">
        <v>634.66666199999997</v>
      </c>
    </row>
    <row r="2686" spans="2:5" x14ac:dyDescent="0.2">
      <c r="B2686" s="533">
        <v>3140</v>
      </c>
      <c r="C2686" s="533" t="s">
        <v>1189</v>
      </c>
      <c r="D2686" s="656" t="s">
        <v>415</v>
      </c>
      <c r="E2686" s="534">
        <v>603.64285700000005</v>
      </c>
    </row>
    <row r="2687" spans="2:5" x14ac:dyDescent="0.2">
      <c r="B2687" s="533">
        <v>3141</v>
      </c>
      <c r="C2687" s="533" t="s">
        <v>1877</v>
      </c>
      <c r="D2687" s="656" t="s">
        <v>415</v>
      </c>
      <c r="E2687" s="534">
        <v>639.42999299999997</v>
      </c>
    </row>
    <row r="2688" spans="2:5" x14ac:dyDescent="0.2">
      <c r="B2688" s="533">
        <v>3142</v>
      </c>
      <c r="C2688" s="533" t="s">
        <v>1227</v>
      </c>
      <c r="D2688" s="656" t="s">
        <v>415</v>
      </c>
      <c r="E2688" s="534">
        <v>605.86665900000003</v>
      </c>
    </row>
    <row r="2689" spans="2:5" x14ac:dyDescent="0.2">
      <c r="B2689" s="533">
        <v>3143</v>
      </c>
      <c r="C2689" s="533" t="s">
        <v>1949</v>
      </c>
      <c r="D2689" s="656" t="s">
        <v>415</v>
      </c>
      <c r="E2689" s="534">
        <v>642.04998799999998</v>
      </c>
    </row>
    <row r="2690" spans="2:5" x14ac:dyDescent="0.2">
      <c r="B2690" s="533">
        <v>3144</v>
      </c>
      <c r="C2690" s="533" t="s">
        <v>973</v>
      </c>
      <c r="D2690" s="656" t="s">
        <v>415</v>
      </c>
      <c r="E2690" s="534">
        <v>587.32857799999999</v>
      </c>
    </row>
    <row r="2691" spans="2:5" x14ac:dyDescent="0.2">
      <c r="B2691" s="533">
        <v>3145</v>
      </c>
      <c r="C2691" s="533" t="s">
        <v>6815</v>
      </c>
      <c r="D2691" s="656" t="s">
        <v>415</v>
      </c>
      <c r="E2691" s="534">
        <v>589.78000499999996</v>
      </c>
    </row>
    <row r="2692" spans="2:5" x14ac:dyDescent="0.2">
      <c r="B2692" s="533">
        <v>3146</v>
      </c>
      <c r="C2692" s="533" t="s">
        <v>6824</v>
      </c>
      <c r="D2692" s="656" t="s">
        <v>415</v>
      </c>
      <c r="E2692" s="534">
        <v>632.16001000000006</v>
      </c>
    </row>
    <row r="2693" spans="2:5" x14ac:dyDescent="0.2">
      <c r="B2693" s="533">
        <v>3147</v>
      </c>
      <c r="C2693" s="533" t="s">
        <v>6859</v>
      </c>
      <c r="D2693" s="656" t="s">
        <v>415</v>
      </c>
      <c r="E2693" s="534">
        <v>617.56363199999998</v>
      </c>
    </row>
    <row r="2694" spans="2:5" x14ac:dyDescent="0.2">
      <c r="B2694" s="533">
        <v>3148</v>
      </c>
      <c r="C2694" s="533" t="s">
        <v>6866</v>
      </c>
      <c r="D2694" s="656" t="s">
        <v>415</v>
      </c>
      <c r="E2694" s="534">
        <v>603.39999799999998</v>
      </c>
    </row>
    <row r="2695" spans="2:5" x14ac:dyDescent="0.2">
      <c r="B2695" s="533">
        <v>3149</v>
      </c>
      <c r="C2695" s="533" t="s">
        <v>6882</v>
      </c>
      <c r="D2695" s="656" t="s">
        <v>415</v>
      </c>
      <c r="E2695" s="534">
        <v>624.61333000000002</v>
      </c>
    </row>
    <row r="2696" spans="2:5" x14ac:dyDescent="0.2">
      <c r="B2696" s="533">
        <v>3150</v>
      </c>
      <c r="C2696" s="533" t="s">
        <v>6897</v>
      </c>
      <c r="D2696" s="656" t="s">
        <v>415</v>
      </c>
      <c r="E2696" s="534">
        <v>649.03998999999999</v>
      </c>
    </row>
    <row r="2697" spans="2:5" x14ac:dyDescent="0.2">
      <c r="B2697" s="533">
        <v>3151</v>
      </c>
      <c r="C2697" s="533" t="s">
        <v>1588</v>
      </c>
      <c r="D2697" s="656" t="s">
        <v>415</v>
      </c>
      <c r="E2697" s="534">
        <v>626.18333900000005</v>
      </c>
    </row>
    <row r="2698" spans="2:5" x14ac:dyDescent="0.2">
      <c r="B2698" s="533">
        <v>3152</v>
      </c>
      <c r="C2698" s="533" t="s">
        <v>1150</v>
      </c>
      <c r="D2698" s="656" t="s">
        <v>415</v>
      </c>
      <c r="E2698" s="534">
        <v>601.48666600000001</v>
      </c>
    </row>
    <row r="2699" spans="2:5" x14ac:dyDescent="0.2">
      <c r="B2699" s="533">
        <v>3153</v>
      </c>
      <c r="C2699" s="533" t="s">
        <v>1183</v>
      </c>
      <c r="D2699" s="656" t="s">
        <v>415</v>
      </c>
      <c r="E2699" s="534">
        <v>603.5</v>
      </c>
    </row>
    <row r="2700" spans="2:5" x14ac:dyDescent="0.2">
      <c r="B2700" s="533">
        <v>3154</v>
      </c>
      <c r="C2700" s="533" t="s">
        <v>1647</v>
      </c>
      <c r="D2700" s="656" t="s">
        <v>415</v>
      </c>
      <c r="E2700" s="534">
        <v>629.43846699999995</v>
      </c>
    </row>
    <row r="2701" spans="2:5" x14ac:dyDescent="0.2">
      <c r="B2701" s="533">
        <v>3155</v>
      </c>
      <c r="C2701" s="533" t="s">
        <v>1665</v>
      </c>
      <c r="D2701" s="656" t="s">
        <v>415</v>
      </c>
      <c r="E2701" s="534">
        <v>630.85293799999999</v>
      </c>
    </row>
    <row r="2702" spans="2:5" x14ac:dyDescent="0.2">
      <c r="B2702" s="533">
        <v>3156</v>
      </c>
      <c r="C2702" s="533" t="s">
        <v>1686</v>
      </c>
      <c r="D2702" s="656" t="s">
        <v>415</v>
      </c>
      <c r="E2702" s="534">
        <v>632.13332100000002</v>
      </c>
    </row>
    <row r="2703" spans="2:5" x14ac:dyDescent="0.2">
      <c r="B2703" s="533">
        <v>3157</v>
      </c>
      <c r="C2703" s="533" t="s">
        <v>799</v>
      </c>
      <c r="D2703" s="656" t="s">
        <v>415</v>
      </c>
      <c r="E2703" s="534">
        <v>568.29999999999995</v>
      </c>
    </row>
    <row r="2704" spans="2:5" x14ac:dyDescent="0.2">
      <c r="B2704" s="533">
        <v>3158</v>
      </c>
      <c r="C2704" s="533" t="s">
        <v>1857</v>
      </c>
      <c r="D2704" s="656" t="s">
        <v>415</v>
      </c>
      <c r="E2704" s="534">
        <v>653.385716</v>
      </c>
    </row>
    <row r="2705" spans="2:5" x14ac:dyDescent="0.2">
      <c r="B2705" s="533">
        <v>3159</v>
      </c>
      <c r="C2705" s="533" t="s">
        <v>1606</v>
      </c>
      <c r="D2705" s="656" t="s">
        <v>415</v>
      </c>
      <c r="E2705" s="534">
        <v>627.32857000000001</v>
      </c>
    </row>
    <row r="2706" spans="2:5" x14ac:dyDescent="0.2">
      <c r="B2706" s="533">
        <v>3160</v>
      </c>
      <c r="C2706" s="533" t="s">
        <v>6980</v>
      </c>
      <c r="D2706" s="656" t="s">
        <v>415</v>
      </c>
      <c r="E2706" s="534">
        <v>640.53333499999997</v>
      </c>
    </row>
    <row r="2707" spans="2:5" x14ac:dyDescent="0.2">
      <c r="B2707" s="533">
        <v>3161</v>
      </c>
      <c r="C2707" s="533" t="s">
        <v>1382</v>
      </c>
      <c r="D2707" s="656" t="s">
        <v>415</v>
      </c>
      <c r="E2707" s="534">
        <v>614.71428600000002</v>
      </c>
    </row>
    <row r="2708" spans="2:5" x14ac:dyDescent="0.2">
      <c r="B2708" s="533">
        <v>3162</v>
      </c>
      <c r="C2708" s="533" t="s">
        <v>1019</v>
      </c>
      <c r="D2708" s="656" t="s">
        <v>415</v>
      </c>
      <c r="E2708" s="534">
        <v>591.92857100000003</v>
      </c>
    </row>
    <row r="2709" spans="2:5" x14ac:dyDescent="0.2">
      <c r="B2709" s="533">
        <v>3163</v>
      </c>
      <c r="C2709" s="533" t="s">
        <v>6996</v>
      </c>
      <c r="D2709" s="656" t="s">
        <v>415</v>
      </c>
      <c r="E2709" s="534">
        <v>602.53333499999997</v>
      </c>
    </row>
    <row r="2710" spans="2:5" x14ac:dyDescent="0.2">
      <c r="B2710" s="533">
        <v>3164</v>
      </c>
      <c r="C2710" s="533" t="s">
        <v>1896</v>
      </c>
      <c r="D2710" s="656" t="s">
        <v>415</v>
      </c>
      <c r="E2710" s="534">
        <v>640.10909800000002</v>
      </c>
    </row>
    <row r="2711" spans="2:5" x14ac:dyDescent="0.2">
      <c r="B2711" s="533">
        <v>3165</v>
      </c>
      <c r="C2711" s="533" t="s">
        <v>1688</v>
      </c>
      <c r="D2711" s="656" t="s">
        <v>415</v>
      </c>
      <c r="E2711" s="534">
        <v>632.19999700000005</v>
      </c>
    </row>
    <row r="2712" spans="2:5" x14ac:dyDescent="0.2">
      <c r="B2712" s="533">
        <v>3166</v>
      </c>
      <c r="C2712" s="533" t="s">
        <v>2083</v>
      </c>
      <c r="D2712" s="656" t="s">
        <v>415</v>
      </c>
      <c r="E2712" s="534">
        <v>647.883331</v>
      </c>
    </row>
    <row r="2713" spans="2:5" x14ac:dyDescent="0.2">
      <c r="B2713" s="533">
        <v>3167</v>
      </c>
      <c r="C2713" s="533" t="s">
        <v>1653</v>
      </c>
      <c r="D2713" s="656" t="s">
        <v>415</v>
      </c>
      <c r="E2713" s="534">
        <v>630.38570700000002</v>
      </c>
    </row>
    <row r="2714" spans="2:5" x14ac:dyDescent="0.2">
      <c r="B2714" s="533">
        <v>3168</v>
      </c>
      <c r="C2714" s="533" t="s">
        <v>1749</v>
      </c>
      <c r="D2714" s="656" t="s">
        <v>415</v>
      </c>
      <c r="E2714" s="534">
        <v>634.34000200000003</v>
      </c>
    </row>
    <row r="2715" spans="2:5" x14ac:dyDescent="0.2">
      <c r="B2715" s="533">
        <v>3169</v>
      </c>
      <c r="C2715" s="533" t="s">
        <v>7052</v>
      </c>
      <c r="D2715" s="656" t="s">
        <v>415</v>
      </c>
      <c r="E2715" s="534">
        <v>555.27999299999999</v>
      </c>
    </row>
    <row r="2716" spans="2:5" x14ac:dyDescent="0.2">
      <c r="B2716" s="533">
        <v>3170</v>
      </c>
      <c r="C2716" s="533" t="s">
        <v>2160</v>
      </c>
      <c r="D2716" s="656" t="s">
        <v>415</v>
      </c>
      <c r="E2716" s="534">
        <v>651.79998799999998</v>
      </c>
    </row>
    <row r="2717" spans="2:5" x14ac:dyDescent="0.2">
      <c r="B2717" s="533">
        <v>3171</v>
      </c>
      <c r="C2717" s="533" t="s">
        <v>1333</v>
      </c>
      <c r="D2717" s="656" t="s">
        <v>415</v>
      </c>
      <c r="E2717" s="534">
        <v>612.07501200000002</v>
      </c>
    </row>
    <row r="2718" spans="2:5" x14ac:dyDescent="0.2">
      <c r="B2718" s="533">
        <v>3172</v>
      </c>
      <c r="C2718" s="533" t="s">
        <v>7054</v>
      </c>
      <c r="D2718" s="656" t="s">
        <v>415</v>
      </c>
      <c r="E2718" s="534">
        <v>646.56428300000005</v>
      </c>
    </row>
    <row r="2719" spans="2:5" x14ac:dyDescent="0.2">
      <c r="B2719" s="533">
        <v>3173</v>
      </c>
      <c r="C2719" s="533" t="s">
        <v>936</v>
      </c>
      <c r="D2719" s="656" t="s">
        <v>415</v>
      </c>
      <c r="E2719" s="534">
        <v>583.76667099999997</v>
      </c>
    </row>
    <row r="2720" spans="2:5" x14ac:dyDescent="0.2">
      <c r="B2720" s="533">
        <v>3174</v>
      </c>
      <c r="C2720" s="533" t="s">
        <v>2242</v>
      </c>
      <c r="D2720" s="656" t="s">
        <v>415</v>
      </c>
      <c r="E2720" s="534">
        <v>655.36667899999998</v>
      </c>
    </row>
    <row r="2721" spans="2:5" x14ac:dyDescent="0.2">
      <c r="B2721" s="533">
        <v>3175</v>
      </c>
      <c r="C2721" s="533" t="s">
        <v>7078</v>
      </c>
      <c r="D2721" s="656" t="s">
        <v>415</v>
      </c>
      <c r="E2721" s="534">
        <v>644.42857100000003</v>
      </c>
    </row>
    <row r="2722" spans="2:5" x14ac:dyDescent="0.2">
      <c r="B2722" s="533">
        <v>3176</v>
      </c>
      <c r="C2722" s="533" t="s">
        <v>1549</v>
      </c>
      <c r="D2722" s="656" t="s">
        <v>415</v>
      </c>
      <c r="E2722" s="534">
        <v>624.23333700000001</v>
      </c>
    </row>
    <row r="2723" spans="2:5" x14ac:dyDescent="0.2">
      <c r="B2723" s="533">
        <v>3177</v>
      </c>
      <c r="C2723" s="533" t="s">
        <v>1768</v>
      </c>
      <c r="D2723" s="656" t="s">
        <v>415</v>
      </c>
      <c r="E2723" s="534">
        <v>635.31052099999999</v>
      </c>
    </row>
    <row r="2724" spans="2:5" x14ac:dyDescent="0.2">
      <c r="B2724" s="533">
        <v>3178</v>
      </c>
      <c r="C2724" s="533" t="s">
        <v>1109</v>
      </c>
      <c r="D2724" s="656" t="s">
        <v>415</v>
      </c>
      <c r="E2724" s="534">
        <v>598.70769299999995</v>
      </c>
    </row>
    <row r="2725" spans="2:5" x14ac:dyDescent="0.2">
      <c r="B2725" s="533">
        <v>3179</v>
      </c>
      <c r="C2725" s="533" t="s">
        <v>754</v>
      </c>
      <c r="D2725" s="656" t="s">
        <v>415</v>
      </c>
      <c r="E2725" s="534">
        <v>561.23331700000006</v>
      </c>
    </row>
    <row r="2726" spans="2:5" x14ac:dyDescent="0.2">
      <c r="B2726" s="533">
        <v>3180</v>
      </c>
      <c r="C2726" s="533" t="s">
        <v>1493</v>
      </c>
      <c r="D2726" s="656" t="s">
        <v>415</v>
      </c>
      <c r="E2726" s="534">
        <v>620.65999799999997</v>
      </c>
    </row>
    <row r="2727" spans="2:5" x14ac:dyDescent="0.2">
      <c r="B2727" s="533">
        <v>3181</v>
      </c>
      <c r="C2727" s="533" t="s">
        <v>1675</v>
      </c>
      <c r="D2727" s="656" t="s">
        <v>415</v>
      </c>
      <c r="E2727" s="534">
        <v>631.50000899999998</v>
      </c>
    </row>
    <row r="2728" spans="2:5" x14ac:dyDescent="0.2">
      <c r="B2728" s="533">
        <v>3182</v>
      </c>
      <c r="C2728" s="533" t="s">
        <v>1575</v>
      </c>
      <c r="D2728" s="656" t="s">
        <v>415</v>
      </c>
      <c r="E2728" s="534">
        <v>625.51999499999999</v>
      </c>
    </row>
    <row r="2729" spans="2:5" x14ac:dyDescent="0.2">
      <c r="B2729" s="533">
        <v>3183</v>
      </c>
      <c r="C2729" s="533" t="s">
        <v>1763</v>
      </c>
      <c r="D2729" s="656" t="s">
        <v>415</v>
      </c>
      <c r="E2729" s="534">
        <v>635.12000699999999</v>
      </c>
    </row>
    <row r="2730" spans="2:5" x14ac:dyDescent="0.2">
      <c r="B2730" s="533">
        <v>3184</v>
      </c>
      <c r="C2730" s="533" t="s">
        <v>1337</v>
      </c>
      <c r="D2730" s="656" t="s">
        <v>415</v>
      </c>
      <c r="E2730" s="534">
        <v>612.14286600000003</v>
      </c>
    </row>
    <row r="2731" spans="2:5" x14ac:dyDescent="0.2">
      <c r="B2731" s="533">
        <v>3185</v>
      </c>
      <c r="C2731" s="533" t="s">
        <v>1523</v>
      </c>
      <c r="D2731" s="656" t="s">
        <v>415</v>
      </c>
      <c r="E2731" s="534">
        <v>622.20999800000004</v>
      </c>
    </row>
    <row r="2732" spans="2:5" x14ac:dyDescent="0.2">
      <c r="B2732" s="533">
        <v>3186</v>
      </c>
      <c r="C2732" s="533" t="s">
        <v>2571</v>
      </c>
      <c r="D2732" s="656" t="s">
        <v>415</v>
      </c>
      <c r="E2732" s="534">
        <v>669.68181300000003</v>
      </c>
    </row>
    <row r="2733" spans="2:5" x14ac:dyDescent="0.2">
      <c r="B2733" s="533">
        <v>3187</v>
      </c>
      <c r="C2733" s="533" t="s">
        <v>2191</v>
      </c>
      <c r="D2733" s="656" t="s">
        <v>415</v>
      </c>
      <c r="E2733" s="534">
        <v>652.85554999999999</v>
      </c>
    </row>
    <row r="2734" spans="2:5" x14ac:dyDescent="0.2">
      <c r="B2734" s="533">
        <v>3188</v>
      </c>
      <c r="C2734" s="533" t="s">
        <v>7180</v>
      </c>
      <c r="D2734" s="656" t="s">
        <v>415</v>
      </c>
      <c r="E2734" s="534">
        <v>597.13334099999997</v>
      </c>
    </row>
    <row r="2735" spans="2:5" x14ac:dyDescent="0.2">
      <c r="B2735" s="533">
        <v>3189</v>
      </c>
      <c r="C2735" s="533" t="s">
        <v>7184</v>
      </c>
      <c r="D2735" s="656" t="s">
        <v>415</v>
      </c>
      <c r="E2735" s="534">
        <v>608.88334099999997</v>
      </c>
    </row>
    <row r="2736" spans="2:5" x14ac:dyDescent="0.2">
      <c r="B2736" s="533">
        <v>3190</v>
      </c>
      <c r="C2736" s="533" t="s">
        <v>1911</v>
      </c>
      <c r="D2736" s="656" t="s">
        <v>415</v>
      </c>
      <c r="E2736" s="534">
        <v>640.77500899999995</v>
      </c>
    </row>
    <row r="2737" spans="2:5" x14ac:dyDescent="0.2">
      <c r="B2737" s="533">
        <v>3191</v>
      </c>
      <c r="C2737" s="533" t="s">
        <v>7212</v>
      </c>
      <c r="D2737" s="656" t="s">
        <v>415</v>
      </c>
      <c r="E2737" s="534">
        <v>595.94000200000005</v>
      </c>
    </row>
    <row r="2738" spans="2:5" x14ac:dyDescent="0.2">
      <c r="B2738" s="533">
        <v>3192</v>
      </c>
      <c r="C2738" s="533" t="s">
        <v>839</v>
      </c>
      <c r="D2738" s="656" t="s">
        <v>415</v>
      </c>
      <c r="E2738" s="534">
        <v>574.55999799999995</v>
      </c>
    </row>
    <row r="2739" spans="2:5" x14ac:dyDescent="0.2">
      <c r="B2739" s="533">
        <v>3193</v>
      </c>
      <c r="C2739" s="533" t="s">
        <v>1578</v>
      </c>
      <c r="D2739" s="656" t="s">
        <v>415</v>
      </c>
      <c r="E2739" s="534">
        <v>625.65713900000003</v>
      </c>
    </row>
    <row r="2740" spans="2:5" x14ac:dyDescent="0.2">
      <c r="B2740" s="533">
        <v>3194</v>
      </c>
      <c r="C2740" s="533" t="s">
        <v>2296</v>
      </c>
      <c r="D2740" s="656" t="s">
        <v>415</v>
      </c>
      <c r="E2740" s="534">
        <v>657.62727500000005</v>
      </c>
    </row>
    <row r="2741" spans="2:5" x14ac:dyDescent="0.2">
      <c r="B2741" s="533">
        <v>3195</v>
      </c>
      <c r="C2741" s="533" t="s">
        <v>1576</v>
      </c>
      <c r="D2741" s="656" t="s">
        <v>415</v>
      </c>
      <c r="E2741" s="534">
        <v>625.61667399999999</v>
      </c>
    </row>
    <row r="2742" spans="2:5" x14ac:dyDescent="0.2">
      <c r="B2742" s="533">
        <v>3196</v>
      </c>
      <c r="C2742" s="533" t="s">
        <v>1280</v>
      </c>
      <c r="D2742" s="656" t="s">
        <v>415</v>
      </c>
      <c r="E2742" s="534">
        <v>632.84997599999997</v>
      </c>
    </row>
    <row r="2743" spans="2:5" x14ac:dyDescent="0.2">
      <c r="B2743" s="533">
        <v>3197</v>
      </c>
      <c r="C2743" s="533" t="s">
        <v>1654</v>
      </c>
      <c r="D2743" s="656" t="s">
        <v>415</v>
      </c>
      <c r="E2743" s="534">
        <v>630.41110600000002</v>
      </c>
    </row>
    <row r="2744" spans="2:5" x14ac:dyDescent="0.2">
      <c r="B2744" s="533">
        <v>3198</v>
      </c>
      <c r="C2744" s="533" t="s">
        <v>1936</v>
      </c>
      <c r="D2744" s="656" t="s">
        <v>415</v>
      </c>
      <c r="E2744" s="534">
        <v>641.60001</v>
      </c>
    </row>
    <row r="2745" spans="2:5" x14ac:dyDescent="0.2">
      <c r="B2745" s="533">
        <v>3199</v>
      </c>
      <c r="C2745" s="533" t="s">
        <v>1302</v>
      </c>
      <c r="D2745" s="656" t="s">
        <v>415</v>
      </c>
      <c r="E2745" s="534">
        <v>610.33333300000004</v>
      </c>
    </row>
    <row r="2746" spans="2:5" x14ac:dyDescent="0.2">
      <c r="B2746" s="533">
        <v>3200</v>
      </c>
      <c r="C2746" s="533" t="s">
        <v>1410</v>
      </c>
      <c r="D2746" s="656" t="s">
        <v>415</v>
      </c>
      <c r="E2746" s="534">
        <v>616.41250600000001</v>
      </c>
    </row>
    <row r="2747" spans="2:5" x14ac:dyDescent="0.2">
      <c r="B2747" s="533">
        <v>3201</v>
      </c>
      <c r="C2747" s="533" t="s">
        <v>2230</v>
      </c>
      <c r="D2747" s="656" t="s">
        <v>415</v>
      </c>
      <c r="E2747" s="534">
        <v>654.67999299999997</v>
      </c>
    </row>
    <row r="2748" spans="2:5" x14ac:dyDescent="0.2">
      <c r="B2748" s="533">
        <v>3202</v>
      </c>
      <c r="C2748" s="533" t="s">
        <v>7279</v>
      </c>
      <c r="D2748" s="656" t="s">
        <v>415</v>
      </c>
      <c r="E2748" s="534">
        <v>641.52857300000005</v>
      </c>
    </row>
    <row r="2749" spans="2:5" x14ac:dyDescent="0.2">
      <c r="B2749" s="533">
        <v>3203</v>
      </c>
      <c r="C2749" s="533" t="s">
        <v>2201</v>
      </c>
      <c r="D2749" s="656" t="s">
        <v>415</v>
      </c>
      <c r="E2749" s="534">
        <v>653.33333300000004</v>
      </c>
    </row>
    <row r="2750" spans="2:5" x14ac:dyDescent="0.2">
      <c r="B2750" s="533">
        <v>3204</v>
      </c>
      <c r="C2750" s="533" t="s">
        <v>901</v>
      </c>
      <c r="D2750" s="656" t="s">
        <v>415</v>
      </c>
      <c r="E2750" s="534">
        <v>580.58332299999995</v>
      </c>
    </row>
    <row r="2751" spans="2:5" x14ac:dyDescent="0.2">
      <c r="B2751" s="533">
        <v>3205</v>
      </c>
      <c r="C2751" s="533" t="s">
        <v>2122</v>
      </c>
      <c r="D2751" s="656" t="s">
        <v>415</v>
      </c>
      <c r="E2751" s="534">
        <v>649.93636300000003</v>
      </c>
    </row>
    <row r="2752" spans="2:5" x14ac:dyDescent="0.2">
      <c r="B2752" s="533">
        <v>3206</v>
      </c>
      <c r="C2752" s="533" t="s">
        <v>1952</v>
      </c>
      <c r="D2752" s="656" t="s">
        <v>415</v>
      </c>
      <c r="E2752" s="534">
        <v>642.09999600000003</v>
      </c>
    </row>
    <row r="2753" spans="2:5" x14ac:dyDescent="0.2">
      <c r="B2753" s="533">
        <v>3207</v>
      </c>
      <c r="C2753" s="533" t="s">
        <v>1729</v>
      </c>
      <c r="D2753" s="656" t="s">
        <v>415</v>
      </c>
      <c r="E2753" s="534">
        <v>633.69998799999996</v>
      </c>
    </row>
    <row r="2754" spans="2:5" x14ac:dyDescent="0.2">
      <c r="B2754" s="533">
        <v>3208</v>
      </c>
      <c r="C2754" s="533" t="s">
        <v>1709</v>
      </c>
      <c r="D2754" s="656" t="s">
        <v>415</v>
      </c>
      <c r="E2754" s="534">
        <v>633</v>
      </c>
    </row>
    <row r="2755" spans="2:5" x14ac:dyDescent="0.2">
      <c r="B2755" s="533">
        <v>3209</v>
      </c>
      <c r="C2755" s="533" t="s">
        <v>1790</v>
      </c>
      <c r="D2755" s="656" t="s">
        <v>415</v>
      </c>
      <c r="E2755" s="534">
        <v>635.96922900000004</v>
      </c>
    </row>
    <row r="2756" spans="2:5" x14ac:dyDescent="0.2">
      <c r="B2756" s="533">
        <v>3210</v>
      </c>
      <c r="C2756" s="533" t="s">
        <v>1839</v>
      </c>
      <c r="D2756" s="656" t="s">
        <v>415</v>
      </c>
      <c r="E2756" s="534">
        <v>637.72499100000005</v>
      </c>
    </row>
    <row r="2757" spans="2:5" x14ac:dyDescent="0.2">
      <c r="B2757" s="533">
        <v>3211</v>
      </c>
      <c r="C2757" s="533" t="s">
        <v>2181</v>
      </c>
      <c r="D2757" s="656" t="s">
        <v>415</v>
      </c>
      <c r="E2757" s="534">
        <v>652.4</v>
      </c>
    </row>
    <row r="2758" spans="2:5" x14ac:dyDescent="0.2">
      <c r="B2758" s="533">
        <v>3212</v>
      </c>
      <c r="C2758" s="533" t="s">
        <v>7401</v>
      </c>
      <c r="D2758" s="656" t="s">
        <v>415</v>
      </c>
      <c r="E2758" s="534">
        <v>611.03997800000002</v>
      </c>
    </row>
    <row r="2759" spans="2:5" x14ac:dyDescent="0.2">
      <c r="B2759" s="533">
        <v>3213</v>
      </c>
      <c r="C2759" s="533" t="s">
        <v>1919</v>
      </c>
      <c r="D2759" s="656" t="s">
        <v>415</v>
      </c>
      <c r="E2759" s="534">
        <v>641.22499800000003</v>
      </c>
    </row>
    <row r="2760" spans="2:5" x14ac:dyDescent="0.2">
      <c r="B2760" s="533">
        <v>3214</v>
      </c>
      <c r="C2760" s="533" t="s">
        <v>1796</v>
      </c>
      <c r="D2760" s="656" t="s">
        <v>415</v>
      </c>
      <c r="E2760" s="534">
        <v>636.25998500000003</v>
      </c>
    </row>
    <row r="2761" spans="2:5" x14ac:dyDescent="0.2">
      <c r="B2761" s="533">
        <v>3215</v>
      </c>
      <c r="C2761" s="533" t="s">
        <v>1721</v>
      </c>
      <c r="D2761" s="656" t="s">
        <v>415</v>
      </c>
      <c r="E2761" s="534">
        <v>633.59998599999994</v>
      </c>
    </row>
    <row r="2762" spans="2:5" x14ac:dyDescent="0.2">
      <c r="B2762" s="533">
        <v>3216</v>
      </c>
      <c r="C2762" s="533" t="s">
        <v>2035</v>
      </c>
      <c r="D2762" s="656" t="s">
        <v>415</v>
      </c>
      <c r="E2762" s="534">
        <v>645.18571299999996</v>
      </c>
    </row>
    <row r="2763" spans="2:5" x14ac:dyDescent="0.2">
      <c r="B2763" s="533">
        <v>3217</v>
      </c>
      <c r="C2763" s="533" t="s">
        <v>1507</v>
      </c>
      <c r="D2763" s="656" t="s">
        <v>415</v>
      </c>
      <c r="E2763" s="534">
        <v>621.5</v>
      </c>
    </row>
    <row r="2764" spans="2:5" x14ac:dyDescent="0.2">
      <c r="B2764" s="533">
        <v>3218</v>
      </c>
      <c r="C2764" s="533" t="s">
        <v>1427</v>
      </c>
      <c r="D2764" s="656" t="s">
        <v>415</v>
      </c>
      <c r="E2764" s="534">
        <v>617.02498600000001</v>
      </c>
    </row>
    <row r="2765" spans="2:5" x14ac:dyDescent="0.2">
      <c r="B2765" s="533">
        <v>3219</v>
      </c>
      <c r="C2765" s="533" t="s">
        <v>2066</v>
      </c>
      <c r="D2765" s="656" t="s">
        <v>415</v>
      </c>
      <c r="E2765" s="534">
        <v>646.95999800000004</v>
      </c>
    </row>
    <row r="2766" spans="2:5" x14ac:dyDescent="0.2">
      <c r="B2766" s="533">
        <v>3220</v>
      </c>
      <c r="C2766" s="533" t="s">
        <v>852</v>
      </c>
      <c r="D2766" s="656" t="s">
        <v>415</v>
      </c>
      <c r="E2766" s="534">
        <v>575.5625</v>
      </c>
    </row>
    <row r="2767" spans="2:5" x14ac:dyDescent="0.2">
      <c r="B2767" s="533">
        <v>3221</v>
      </c>
      <c r="C2767" s="533" t="s">
        <v>1138</v>
      </c>
      <c r="D2767" s="656" t="s">
        <v>415</v>
      </c>
      <c r="E2767" s="534">
        <v>600.70001200000002</v>
      </c>
    </row>
    <row r="2768" spans="2:5" x14ac:dyDescent="0.2">
      <c r="B2768" s="533">
        <v>3222</v>
      </c>
      <c r="C2768" s="533" t="s">
        <v>934</v>
      </c>
      <c r="D2768" s="656" t="s">
        <v>415</v>
      </c>
      <c r="E2768" s="534">
        <v>583.66666699999996</v>
      </c>
    </row>
    <row r="2769" spans="2:5" x14ac:dyDescent="0.2">
      <c r="B2769" s="533">
        <v>3223</v>
      </c>
      <c r="C2769" s="533" t="s">
        <v>760</v>
      </c>
      <c r="D2769" s="656" t="s">
        <v>415</v>
      </c>
      <c r="E2769" s="534">
        <v>618.02000699999996</v>
      </c>
    </row>
    <row r="2770" spans="2:5" x14ac:dyDescent="0.2">
      <c r="B2770" s="533">
        <v>3224</v>
      </c>
      <c r="C2770" s="533" t="s">
        <v>1639</v>
      </c>
      <c r="D2770" s="656" t="s">
        <v>415</v>
      </c>
      <c r="E2770" s="534">
        <v>629.06669099999999</v>
      </c>
    </row>
    <row r="2771" spans="2:5" x14ac:dyDescent="0.2">
      <c r="B2771" s="533">
        <v>3225</v>
      </c>
      <c r="C2771" s="533" t="s">
        <v>1328</v>
      </c>
      <c r="D2771" s="656" t="s">
        <v>415</v>
      </c>
      <c r="E2771" s="534">
        <v>611.86665900000003</v>
      </c>
    </row>
    <row r="2772" spans="2:5" x14ac:dyDescent="0.2">
      <c r="B2772" s="533">
        <v>3226</v>
      </c>
      <c r="C2772" s="533" t="s">
        <v>1027</v>
      </c>
      <c r="D2772" s="656" t="s">
        <v>415</v>
      </c>
      <c r="E2772" s="534">
        <v>649.99999000000003</v>
      </c>
    </row>
    <row r="2773" spans="2:5" x14ac:dyDescent="0.2">
      <c r="B2773" s="533">
        <v>3227</v>
      </c>
      <c r="C2773" s="533" t="s">
        <v>1270</v>
      </c>
      <c r="D2773" s="656" t="s">
        <v>415</v>
      </c>
      <c r="E2773" s="534">
        <v>608.34999900000003</v>
      </c>
    </row>
    <row r="2774" spans="2:5" x14ac:dyDescent="0.2">
      <c r="B2774" s="533">
        <v>3228</v>
      </c>
      <c r="C2774" s="533" t="s">
        <v>1597</v>
      </c>
      <c r="D2774" s="656" t="s">
        <v>415</v>
      </c>
      <c r="E2774" s="534">
        <v>626.85999800000002</v>
      </c>
    </row>
    <row r="2775" spans="2:5" x14ac:dyDescent="0.2">
      <c r="B2775" s="533">
        <v>3229</v>
      </c>
      <c r="C2775" s="533" t="s">
        <v>1648</v>
      </c>
      <c r="D2775" s="656" t="s">
        <v>415</v>
      </c>
      <c r="E2775" s="534">
        <v>629.58000500000003</v>
      </c>
    </row>
    <row r="2776" spans="2:5" x14ac:dyDescent="0.2">
      <c r="B2776" s="533">
        <v>3230</v>
      </c>
      <c r="C2776" s="533" t="s">
        <v>1744</v>
      </c>
      <c r="D2776" s="656" t="s">
        <v>415</v>
      </c>
      <c r="E2776" s="534">
        <v>634.16249800000003</v>
      </c>
    </row>
    <row r="2777" spans="2:5" x14ac:dyDescent="0.2">
      <c r="B2777" s="533">
        <v>3231</v>
      </c>
      <c r="C2777" s="533" t="s">
        <v>1495</v>
      </c>
      <c r="D2777" s="656" t="s">
        <v>415</v>
      </c>
      <c r="E2777" s="534">
        <v>620.74001499999997</v>
      </c>
    </row>
    <row r="2778" spans="2:5" x14ac:dyDescent="0.2">
      <c r="B2778" s="533">
        <v>3232</v>
      </c>
      <c r="C2778" s="533" t="s">
        <v>1284</v>
      </c>
      <c r="D2778" s="656" t="s">
        <v>415</v>
      </c>
      <c r="E2778" s="534">
        <v>609.29999999999995</v>
      </c>
    </row>
    <row r="2779" spans="2:5" x14ac:dyDescent="0.2">
      <c r="B2779" s="533">
        <v>3233</v>
      </c>
      <c r="C2779" s="533" t="s">
        <v>1832</v>
      </c>
      <c r="D2779" s="656" t="s">
        <v>415</v>
      </c>
      <c r="E2779" s="534">
        <v>637.39999399999999</v>
      </c>
    </row>
    <row r="2780" spans="2:5" x14ac:dyDescent="0.2">
      <c r="B2780" s="533">
        <v>3234</v>
      </c>
      <c r="C2780" s="533" t="s">
        <v>1968</v>
      </c>
      <c r="D2780" s="656" t="s">
        <v>415</v>
      </c>
      <c r="E2780" s="534">
        <v>642.64999399999999</v>
      </c>
    </row>
    <row r="2781" spans="2:5" x14ac:dyDescent="0.2">
      <c r="B2781" s="533">
        <v>3235</v>
      </c>
      <c r="C2781" s="533" t="s">
        <v>899</v>
      </c>
      <c r="D2781" s="656" t="s">
        <v>415</v>
      </c>
      <c r="E2781" s="534">
        <v>580.32499700000005</v>
      </c>
    </row>
    <row r="2782" spans="2:5" x14ac:dyDescent="0.2">
      <c r="B2782" s="533">
        <v>3236</v>
      </c>
      <c r="C2782" s="533" t="s">
        <v>1166</v>
      </c>
      <c r="D2782" s="656" t="s">
        <v>415</v>
      </c>
      <c r="E2782" s="534">
        <v>602.69091800000001</v>
      </c>
    </row>
    <row r="2783" spans="2:5" x14ac:dyDescent="0.2">
      <c r="B2783" s="533">
        <v>3237</v>
      </c>
      <c r="C2783" s="533" t="s">
        <v>2744</v>
      </c>
      <c r="D2783" s="656" t="s">
        <v>415</v>
      </c>
      <c r="E2783" s="534">
        <v>678.45000300000004</v>
      </c>
    </row>
    <row r="2784" spans="2:5" x14ac:dyDescent="0.2">
      <c r="B2784" s="533">
        <v>3238</v>
      </c>
      <c r="C2784" s="533" t="s">
        <v>7576</v>
      </c>
      <c r="D2784" s="656" t="s">
        <v>415</v>
      </c>
      <c r="E2784" s="534">
        <v>620.11249499999997</v>
      </c>
    </row>
    <row r="2785" spans="2:5" x14ac:dyDescent="0.2">
      <c r="B2785" s="533">
        <v>3239</v>
      </c>
      <c r="C2785" s="533" t="s">
        <v>1389</v>
      </c>
      <c r="D2785" s="656" t="s">
        <v>415</v>
      </c>
      <c r="E2785" s="534">
        <v>615</v>
      </c>
    </row>
    <row r="2786" spans="2:5" x14ac:dyDescent="0.2">
      <c r="B2786" s="533">
        <v>3240</v>
      </c>
      <c r="C2786" s="533" t="s">
        <v>1861</v>
      </c>
      <c r="D2786" s="656" t="s">
        <v>415</v>
      </c>
      <c r="E2786" s="534">
        <v>638.68750799999998</v>
      </c>
    </row>
    <row r="2787" spans="2:5" x14ac:dyDescent="0.2">
      <c r="B2787" s="533">
        <v>3241</v>
      </c>
      <c r="C2787" s="533" t="s">
        <v>1209</v>
      </c>
      <c r="D2787" s="656" t="s">
        <v>415</v>
      </c>
      <c r="E2787" s="534">
        <v>605.08333300000004</v>
      </c>
    </row>
    <row r="2788" spans="2:5" x14ac:dyDescent="0.2">
      <c r="B2788" s="533">
        <v>3242</v>
      </c>
      <c r="C2788" s="533" t="s">
        <v>1591</v>
      </c>
      <c r="D2788" s="656" t="s">
        <v>415</v>
      </c>
      <c r="E2788" s="534">
        <v>626.45001200000002</v>
      </c>
    </row>
    <row r="2789" spans="2:5" x14ac:dyDescent="0.2">
      <c r="B2789" s="533">
        <v>3243</v>
      </c>
      <c r="C2789" s="533" t="s">
        <v>1281</v>
      </c>
      <c r="D2789" s="656" t="s">
        <v>415</v>
      </c>
      <c r="E2789" s="534">
        <v>609.07499700000005</v>
      </c>
    </row>
    <row r="2790" spans="2:5" x14ac:dyDescent="0.2">
      <c r="B2790" s="533">
        <v>3244</v>
      </c>
      <c r="C2790" s="533" t="s">
        <v>1938</v>
      </c>
      <c r="D2790" s="656" t="s">
        <v>415</v>
      </c>
      <c r="E2790" s="534">
        <v>641.66666699999996</v>
      </c>
    </row>
    <row r="2791" spans="2:5" x14ac:dyDescent="0.2">
      <c r="B2791" s="533">
        <v>3245</v>
      </c>
      <c r="C2791" s="533" t="s">
        <v>2261</v>
      </c>
      <c r="D2791" s="656" t="s">
        <v>415</v>
      </c>
      <c r="E2791" s="534">
        <v>656.15999799999997</v>
      </c>
    </row>
    <row r="2792" spans="2:5" x14ac:dyDescent="0.2">
      <c r="B2792" s="533">
        <v>3246</v>
      </c>
      <c r="C2792" s="533" t="s">
        <v>2023</v>
      </c>
      <c r="D2792" s="656" t="s">
        <v>415</v>
      </c>
      <c r="E2792" s="534">
        <v>644.389996</v>
      </c>
    </row>
    <row r="2793" spans="2:5" x14ac:dyDescent="0.2">
      <c r="B2793" s="533">
        <v>3247</v>
      </c>
      <c r="C2793" s="533" t="s">
        <v>1539</v>
      </c>
      <c r="D2793" s="656" t="s">
        <v>415</v>
      </c>
      <c r="E2793" s="534">
        <v>623.76667299999997</v>
      </c>
    </row>
    <row r="2794" spans="2:5" x14ac:dyDescent="0.2">
      <c r="B2794" s="533">
        <v>3251</v>
      </c>
      <c r="C2794" s="533" t="s">
        <v>1730</v>
      </c>
      <c r="D2794" s="656" t="s">
        <v>7738</v>
      </c>
      <c r="E2794" s="534">
        <v>633.75</v>
      </c>
    </row>
    <row r="2795" spans="2:5" x14ac:dyDescent="0.2">
      <c r="B2795" s="533">
        <v>3252</v>
      </c>
      <c r="C2795" s="533" t="s">
        <v>1283</v>
      </c>
      <c r="D2795" s="656" t="s">
        <v>7738</v>
      </c>
      <c r="E2795" s="534">
        <v>609.25</v>
      </c>
    </row>
    <row r="2796" spans="2:5" x14ac:dyDescent="0.2">
      <c r="B2796" s="533">
        <v>3253</v>
      </c>
      <c r="C2796" s="533" t="s">
        <v>7216</v>
      </c>
      <c r="D2796" s="656" t="s">
        <v>7738</v>
      </c>
      <c r="E2796" s="534">
        <v>657.19999199999995</v>
      </c>
    </row>
    <row r="2797" spans="2:5" x14ac:dyDescent="0.2">
      <c r="B2797" s="533">
        <v>3254</v>
      </c>
      <c r="C2797" s="533" t="s">
        <v>7174</v>
      </c>
      <c r="D2797" s="656" t="s">
        <v>7738</v>
      </c>
      <c r="E2797" s="534">
        <v>649.86665900000003</v>
      </c>
    </row>
    <row r="2798" spans="2:5" x14ac:dyDescent="0.2">
      <c r="B2798" s="533">
        <v>3255</v>
      </c>
      <c r="C2798" s="533" t="s">
        <v>6963</v>
      </c>
      <c r="D2798" s="656" t="s">
        <v>7738</v>
      </c>
      <c r="E2798" s="534">
        <v>601.6</v>
      </c>
    </row>
    <row r="2799" spans="2:5" x14ac:dyDescent="0.2">
      <c r="B2799" s="533">
        <v>3256</v>
      </c>
      <c r="C2799" s="533" t="s">
        <v>6467</v>
      </c>
      <c r="D2799" s="656" t="s">
        <v>7738</v>
      </c>
      <c r="E2799" s="534">
        <v>622.94999399999995</v>
      </c>
    </row>
    <row r="2800" spans="2:5" x14ac:dyDescent="0.2">
      <c r="B2800" s="533">
        <v>3257</v>
      </c>
      <c r="C2800" s="533" t="s">
        <v>2032</v>
      </c>
      <c r="D2800" s="656" t="s">
        <v>7738</v>
      </c>
      <c r="E2800" s="534">
        <v>644.96666500000003</v>
      </c>
    </row>
    <row r="2801" spans="2:5" x14ac:dyDescent="0.2">
      <c r="B2801" s="533">
        <v>3258</v>
      </c>
      <c r="C2801" s="533" t="s">
        <v>2045</v>
      </c>
      <c r="D2801" s="656" t="s">
        <v>7738</v>
      </c>
      <c r="E2801" s="534">
        <v>645.67142999999999</v>
      </c>
    </row>
    <row r="2802" spans="2:5" x14ac:dyDescent="0.2">
      <c r="B2802" s="533">
        <v>3259</v>
      </c>
      <c r="C2802" s="533" t="s">
        <v>1780</v>
      </c>
      <c r="D2802" s="656" t="s">
        <v>7738</v>
      </c>
      <c r="E2802" s="534">
        <v>635.625</v>
      </c>
    </row>
    <row r="2803" spans="2:5" x14ac:dyDescent="0.2">
      <c r="B2803" s="533">
        <v>3260</v>
      </c>
      <c r="C2803" s="533" t="s">
        <v>1121</v>
      </c>
      <c r="D2803" s="656" t="s">
        <v>7738</v>
      </c>
      <c r="E2803" s="534">
        <v>599.53636600000004</v>
      </c>
    </row>
    <row r="2804" spans="2:5" x14ac:dyDescent="0.2">
      <c r="B2804" s="533">
        <v>3261</v>
      </c>
      <c r="C2804" s="533" t="s">
        <v>1457</v>
      </c>
      <c r="D2804" s="656" t="s">
        <v>7738</v>
      </c>
      <c r="E2804" s="534">
        <v>618.40002400000003</v>
      </c>
    </row>
    <row r="2805" spans="2:5" x14ac:dyDescent="0.2">
      <c r="B2805" s="533">
        <v>3262</v>
      </c>
      <c r="C2805" s="533" t="s">
        <v>797</v>
      </c>
      <c r="D2805" s="656" t="s">
        <v>7738</v>
      </c>
      <c r="E2805" s="534">
        <v>605.80000800000005</v>
      </c>
    </row>
    <row r="2806" spans="2:5" x14ac:dyDescent="0.2">
      <c r="B2806" s="533">
        <v>3263</v>
      </c>
      <c r="C2806" s="533" t="s">
        <v>987</v>
      </c>
      <c r="D2806" s="656" t="s">
        <v>7738</v>
      </c>
      <c r="E2806" s="534">
        <v>588.69999700000005</v>
      </c>
    </row>
    <row r="2807" spans="2:5" x14ac:dyDescent="0.2">
      <c r="B2807" s="533">
        <v>3264</v>
      </c>
      <c r="C2807" s="533" t="s">
        <v>881</v>
      </c>
      <c r="D2807" s="656" t="s">
        <v>7738</v>
      </c>
      <c r="E2807" s="534">
        <v>578.66666699999996</v>
      </c>
    </row>
    <row r="2808" spans="2:5" x14ac:dyDescent="0.2">
      <c r="B2808" s="533">
        <v>3265</v>
      </c>
      <c r="C2808" s="533" t="s">
        <v>886</v>
      </c>
      <c r="D2808" s="656" t="s">
        <v>7738</v>
      </c>
      <c r="E2808" s="534">
        <v>579.33999600000004</v>
      </c>
    </row>
    <row r="2809" spans="2:5" x14ac:dyDescent="0.2">
      <c r="B2809" s="533">
        <v>3266</v>
      </c>
      <c r="C2809" s="533" t="s">
        <v>7491</v>
      </c>
      <c r="D2809" s="656" t="s">
        <v>7738</v>
      </c>
      <c r="E2809" s="534">
        <v>601.01249700000005</v>
      </c>
    </row>
    <row r="2810" spans="2:5" x14ac:dyDescent="0.2">
      <c r="B2810" s="533">
        <v>3267</v>
      </c>
      <c r="C2810" s="533" t="s">
        <v>1031</v>
      </c>
      <c r="D2810" s="656" t="s">
        <v>7738</v>
      </c>
      <c r="E2810" s="534">
        <v>592.52500899999995</v>
      </c>
    </row>
    <row r="2811" spans="2:5" x14ac:dyDescent="0.2">
      <c r="B2811" s="533">
        <v>3268</v>
      </c>
      <c r="C2811" s="533" t="s">
        <v>1068</v>
      </c>
      <c r="D2811" s="656" t="s">
        <v>7738</v>
      </c>
      <c r="E2811" s="534">
        <v>596.03999599999997</v>
      </c>
    </row>
    <row r="2812" spans="2:5" x14ac:dyDescent="0.2">
      <c r="B2812" s="533">
        <v>3269</v>
      </c>
      <c r="C2812" s="533" t="s">
        <v>1319</v>
      </c>
      <c r="D2812" s="656" t="s">
        <v>7738</v>
      </c>
      <c r="E2812" s="534">
        <v>611.28889300000003</v>
      </c>
    </row>
    <row r="2813" spans="2:5" x14ac:dyDescent="0.2">
      <c r="B2813" s="533">
        <v>3270</v>
      </c>
      <c r="C2813" s="533" t="s">
        <v>7519</v>
      </c>
      <c r="D2813" s="656" t="s">
        <v>7738</v>
      </c>
      <c r="E2813" s="534">
        <v>597.16666699999996</v>
      </c>
    </row>
    <row r="2814" spans="2:5" x14ac:dyDescent="0.2">
      <c r="B2814" s="533">
        <v>3271</v>
      </c>
      <c r="C2814" s="533" t="s">
        <v>6619</v>
      </c>
      <c r="D2814" s="656" t="s">
        <v>7738</v>
      </c>
      <c r="E2814" s="534">
        <v>571.42000700000006</v>
      </c>
    </row>
    <row r="2815" spans="2:5" x14ac:dyDescent="0.2">
      <c r="B2815" s="533">
        <v>3272</v>
      </c>
      <c r="C2815" s="533" t="s">
        <v>7297</v>
      </c>
      <c r="D2815" s="656" t="s">
        <v>7738</v>
      </c>
      <c r="E2815" s="534">
        <v>590.08334400000001</v>
      </c>
    </row>
    <row r="2816" spans="2:5" x14ac:dyDescent="0.2">
      <c r="B2816" s="533">
        <v>3273</v>
      </c>
      <c r="C2816" s="533" t="s">
        <v>822</v>
      </c>
      <c r="D2816" s="656" t="s">
        <v>7738</v>
      </c>
      <c r="E2816" s="534">
        <v>572.75001499999996</v>
      </c>
    </row>
    <row r="2817" spans="2:5" x14ac:dyDescent="0.2">
      <c r="B2817" s="533">
        <v>3274</v>
      </c>
      <c r="C2817" s="533" t="s">
        <v>1249</v>
      </c>
      <c r="D2817" s="656" t="s">
        <v>7738</v>
      </c>
      <c r="E2817" s="534">
        <v>607.04998799999998</v>
      </c>
    </row>
    <row r="2818" spans="2:5" x14ac:dyDescent="0.2">
      <c r="B2818" s="533">
        <v>3275</v>
      </c>
      <c r="C2818" s="533" t="s">
        <v>7261</v>
      </c>
      <c r="D2818" s="656" t="s">
        <v>7738</v>
      </c>
      <c r="E2818" s="534">
        <v>581.94999700000005</v>
      </c>
    </row>
    <row r="2819" spans="2:5" x14ac:dyDescent="0.2">
      <c r="B2819" s="533">
        <v>3276</v>
      </c>
      <c r="C2819" s="533" t="s">
        <v>7520</v>
      </c>
      <c r="D2819" s="656" t="s">
        <v>7738</v>
      </c>
      <c r="E2819" s="534">
        <v>596.37499200000002</v>
      </c>
    </row>
    <row r="2820" spans="2:5" x14ac:dyDescent="0.2">
      <c r="B2820" s="533">
        <v>3277</v>
      </c>
      <c r="C2820" s="533" t="s">
        <v>926</v>
      </c>
      <c r="D2820" s="656" t="s">
        <v>7738</v>
      </c>
      <c r="E2820" s="534">
        <v>582.93571699999995</v>
      </c>
    </row>
    <row r="2821" spans="2:5" x14ac:dyDescent="0.2">
      <c r="B2821" s="533">
        <v>3278</v>
      </c>
      <c r="C2821" s="533" t="s">
        <v>1013</v>
      </c>
      <c r="D2821" s="656" t="s">
        <v>7738</v>
      </c>
      <c r="E2821" s="534">
        <v>591.53332499999999</v>
      </c>
    </row>
    <row r="2822" spans="2:5" x14ac:dyDescent="0.2">
      <c r="B2822" s="533">
        <v>3279</v>
      </c>
      <c r="C2822" s="533" t="s">
        <v>7050</v>
      </c>
      <c r="D2822" s="656" t="s">
        <v>7738</v>
      </c>
      <c r="E2822" s="534">
        <v>610.00000899999998</v>
      </c>
    </row>
    <row r="2823" spans="2:5" x14ac:dyDescent="0.2">
      <c r="B2823" s="533">
        <v>3280</v>
      </c>
      <c r="C2823" s="533" t="s">
        <v>1248</v>
      </c>
      <c r="D2823" s="656" t="s">
        <v>7738</v>
      </c>
      <c r="E2823" s="534">
        <v>606.85000600000001</v>
      </c>
    </row>
    <row r="2824" spans="2:5" x14ac:dyDescent="0.2">
      <c r="B2824" s="533">
        <v>3281</v>
      </c>
      <c r="C2824" s="533" t="s">
        <v>6816</v>
      </c>
      <c r="D2824" s="656" t="s">
        <v>7738</v>
      </c>
      <c r="E2824" s="534">
        <v>600.5</v>
      </c>
    </row>
    <row r="2825" spans="2:5" x14ac:dyDescent="0.2">
      <c r="B2825" s="533">
        <v>3282</v>
      </c>
      <c r="C2825" s="533" t="s">
        <v>1119</v>
      </c>
      <c r="D2825" s="656" t="s">
        <v>7738</v>
      </c>
      <c r="E2825" s="534">
        <v>599.50499600000001</v>
      </c>
    </row>
    <row r="2826" spans="2:5" x14ac:dyDescent="0.2">
      <c r="B2826" s="533">
        <v>3283</v>
      </c>
      <c r="C2826" s="533" t="s">
        <v>1066</v>
      </c>
      <c r="D2826" s="656" t="s">
        <v>7738</v>
      </c>
      <c r="E2826" s="534">
        <v>608.73333700000001</v>
      </c>
    </row>
    <row r="2827" spans="2:5" x14ac:dyDescent="0.2">
      <c r="B2827" s="533">
        <v>3284</v>
      </c>
      <c r="C2827" s="533" t="s">
        <v>1206</v>
      </c>
      <c r="D2827" s="656" t="s">
        <v>7738</v>
      </c>
      <c r="E2827" s="534">
        <v>604.87141599999995</v>
      </c>
    </row>
    <row r="2828" spans="2:5" x14ac:dyDescent="0.2">
      <c r="B2828" s="533">
        <v>3285</v>
      </c>
      <c r="C2828" s="533" t="s">
        <v>924</v>
      </c>
      <c r="D2828" s="656" t="s">
        <v>7738</v>
      </c>
      <c r="E2828" s="534">
        <v>582.89999399999999</v>
      </c>
    </row>
    <row r="2829" spans="2:5" x14ac:dyDescent="0.2">
      <c r="B2829" s="533">
        <v>3286</v>
      </c>
      <c r="C2829" s="533" t="s">
        <v>1230</v>
      </c>
      <c r="D2829" s="656" t="s">
        <v>7738</v>
      </c>
      <c r="E2829" s="534">
        <v>606.05000299999995</v>
      </c>
    </row>
    <row r="2830" spans="2:5" x14ac:dyDescent="0.2">
      <c r="B2830" s="533">
        <v>3287</v>
      </c>
      <c r="C2830" s="533" t="s">
        <v>1173</v>
      </c>
      <c r="D2830" s="656" t="s">
        <v>7738</v>
      </c>
      <c r="E2830" s="534">
        <v>603.116669</v>
      </c>
    </row>
    <row r="2831" spans="2:5" x14ac:dyDescent="0.2">
      <c r="B2831" s="533">
        <v>3288</v>
      </c>
      <c r="C2831" s="533" t="s">
        <v>1429</v>
      </c>
      <c r="D2831" s="656" t="s">
        <v>7738</v>
      </c>
      <c r="E2831" s="534">
        <v>617.14999399999999</v>
      </c>
    </row>
    <row r="2832" spans="2:5" x14ac:dyDescent="0.2">
      <c r="B2832" s="533">
        <v>3289</v>
      </c>
      <c r="C2832" s="533" t="s">
        <v>1014</v>
      </c>
      <c r="D2832" s="656" t="s">
        <v>7738</v>
      </c>
      <c r="E2832" s="534">
        <v>591.65555099999995</v>
      </c>
    </row>
    <row r="2833" spans="2:5" x14ac:dyDescent="0.2">
      <c r="B2833" s="533">
        <v>3290</v>
      </c>
      <c r="C2833" s="533" t="s">
        <v>1423</v>
      </c>
      <c r="D2833" s="656" t="s">
        <v>7738</v>
      </c>
      <c r="E2833" s="534">
        <v>616.97143600000004</v>
      </c>
    </row>
    <row r="2834" spans="2:5" x14ac:dyDescent="0.2">
      <c r="B2834" s="533">
        <v>3291</v>
      </c>
      <c r="C2834" s="533" t="s">
        <v>1067</v>
      </c>
      <c r="D2834" s="656" t="s">
        <v>7738</v>
      </c>
      <c r="E2834" s="534">
        <v>595.9</v>
      </c>
    </row>
    <row r="2835" spans="2:5" x14ac:dyDescent="0.2">
      <c r="B2835" s="533">
        <v>3292</v>
      </c>
      <c r="C2835" s="533" t="s">
        <v>1463</v>
      </c>
      <c r="D2835" s="656" t="s">
        <v>7738</v>
      </c>
      <c r="E2835" s="534">
        <v>618.811103</v>
      </c>
    </row>
    <row r="2836" spans="2:5" x14ac:dyDescent="0.2">
      <c r="B2836" s="533">
        <v>3293</v>
      </c>
      <c r="C2836" s="533" t="s">
        <v>1194</v>
      </c>
      <c r="D2836" s="656" t="s">
        <v>7738</v>
      </c>
      <c r="E2836" s="534">
        <v>603.93998999999997</v>
      </c>
    </row>
    <row r="2837" spans="2:5" x14ac:dyDescent="0.2">
      <c r="B2837" s="533">
        <v>3294</v>
      </c>
      <c r="C2837" s="533" t="s">
        <v>1009</v>
      </c>
      <c r="D2837" s="656" t="s">
        <v>7738</v>
      </c>
      <c r="E2837" s="534">
        <v>591</v>
      </c>
    </row>
    <row r="2838" spans="2:5" x14ac:dyDescent="0.2">
      <c r="B2838" s="533">
        <v>3295</v>
      </c>
      <c r="C2838" s="533" t="s">
        <v>1064</v>
      </c>
      <c r="D2838" s="656" t="s">
        <v>7738</v>
      </c>
      <c r="E2838" s="534">
        <v>595.64999399999999</v>
      </c>
    </row>
    <row r="2839" spans="2:5" x14ac:dyDescent="0.2">
      <c r="B2839" s="533">
        <v>3296</v>
      </c>
      <c r="C2839" s="533" t="s">
        <v>1131</v>
      </c>
      <c r="D2839" s="656" t="s">
        <v>7738</v>
      </c>
      <c r="E2839" s="534">
        <v>600.13334099999997</v>
      </c>
    </row>
    <row r="2840" spans="2:5" x14ac:dyDescent="0.2">
      <c r="B2840" s="533">
        <v>3297</v>
      </c>
      <c r="C2840" s="533" t="s">
        <v>1239</v>
      </c>
      <c r="D2840" s="656" t="s">
        <v>7738</v>
      </c>
      <c r="E2840" s="534">
        <v>606.46250199999997</v>
      </c>
    </row>
    <row r="2841" spans="2:5" x14ac:dyDescent="0.2">
      <c r="B2841" s="533">
        <v>3298</v>
      </c>
      <c r="C2841" s="533" t="s">
        <v>1147</v>
      </c>
      <c r="D2841" s="656" t="s">
        <v>7738</v>
      </c>
      <c r="E2841" s="534">
        <v>601.33333300000004</v>
      </c>
    </row>
    <row r="2842" spans="2:5" x14ac:dyDescent="0.2">
      <c r="B2842" s="533">
        <v>3299</v>
      </c>
      <c r="C2842" s="533" t="s">
        <v>1163</v>
      </c>
      <c r="D2842" s="656" t="s">
        <v>7738</v>
      </c>
      <c r="E2842" s="534">
        <v>602.29999799999996</v>
      </c>
    </row>
    <row r="2843" spans="2:5" x14ac:dyDescent="0.2">
      <c r="B2843" s="533">
        <v>3300</v>
      </c>
      <c r="C2843" s="533" t="s">
        <v>6683</v>
      </c>
      <c r="D2843" s="656" t="s">
        <v>7738</v>
      </c>
      <c r="E2843" s="534">
        <v>593.46001000000001</v>
      </c>
    </row>
    <row r="2844" spans="2:5" x14ac:dyDescent="0.2">
      <c r="B2844" s="533">
        <v>3301</v>
      </c>
      <c r="C2844" s="533" t="s">
        <v>1083</v>
      </c>
      <c r="D2844" s="656" t="s">
        <v>7738</v>
      </c>
      <c r="E2844" s="534">
        <v>597</v>
      </c>
    </row>
    <row r="2845" spans="2:5" x14ac:dyDescent="0.2">
      <c r="B2845" s="533">
        <v>3302</v>
      </c>
      <c r="C2845" s="533" t="s">
        <v>1419</v>
      </c>
      <c r="D2845" s="656" t="s">
        <v>7738</v>
      </c>
      <c r="E2845" s="534">
        <v>616.81667100000004</v>
      </c>
    </row>
    <row r="2846" spans="2:5" x14ac:dyDescent="0.2">
      <c r="B2846" s="533">
        <v>3303</v>
      </c>
      <c r="C2846" s="533" t="s">
        <v>6572</v>
      </c>
      <c r="D2846" s="656" t="s">
        <v>7738</v>
      </c>
      <c r="E2846" s="534">
        <v>578.18572099999994</v>
      </c>
    </row>
    <row r="2847" spans="2:5" x14ac:dyDescent="0.2">
      <c r="B2847" s="533">
        <v>3304</v>
      </c>
      <c r="C2847" s="533" t="s">
        <v>6571</v>
      </c>
      <c r="D2847" s="656" t="s">
        <v>7738</v>
      </c>
      <c r="E2847" s="534">
        <v>580.39999399999999</v>
      </c>
    </row>
    <row r="2848" spans="2:5" x14ac:dyDescent="0.2">
      <c r="B2848" s="533">
        <v>3305</v>
      </c>
      <c r="C2848" s="533" t="s">
        <v>1164</v>
      </c>
      <c r="D2848" s="656" t="s">
        <v>7738</v>
      </c>
      <c r="E2848" s="534">
        <v>602.61429299999998</v>
      </c>
    </row>
    <row r="2849" spans="2:5" x14ac:dyDescent="0.2">
      <c r="B2849" s="533">
        <v>3306</v>
      </c>
      <c r="C2849" s="533" t="s">
        <v>1193</v>
      </c>
      <c r="D2849" s="656" t="s">
        <v>7738</v>
      </c>
      <c r="E2849" s="534">
        <v>603.87999300000001</v>
      </c>
    </row>
    <row r="2850" spans="2:5" x14ac:dyDescent="0.2">
      <c r="B2850" s="533">
        <v>3307</v>
      </c>
      <c r="C2850" s="533" t="s">
        <v>1255</v>
      </c>
      <c r="D2850" s="656" t="s">
        <v>7738</v>
      </c>
      <c r="E2850" s="534">
        <v>607.30000800000005</v>
      </c>
    </row>
    <row r="2851" spans="2:5" x14ac:dyDescent="0.2">
      <c r="B2851" s="533">
        <v>3308</v>
      </c>
      <c r="C2851" s="533" t="s">
        <v>1139</v>
      </c>
      <c r="D2851" s="656" t="s">
        <v>7738</v>
      </c>
      <c r="E2851" s="534">
        <v>600.84001499999999</v>
      </c>
    </row>
    <row r="2852" spans="2:5" x14ac:dyDescent="0.2">
      <c r="B2852" s="533">
        <v>3309</v>
      </c>
      <c r="C2852" s="533" t="s">
        <v>1228</v>
      </c>
      <c r="D2852" s="656" t="s">
        <v>7738</v>
      </c>
      <c r="E2852" s="534">
        <v>605.92500299999995</v>
      </c>
    </row>
    <row r="2853" spans="2:5" x14ac:dyDescent="0.2">
      <c r="B2853" s="533">
        <v>3310</v>
      </c>
      <c r="C2853" s="533" t="s">
        <v>1059</v>
      </c>
      <c r="D2853" s="656" t="s">
        <v>7738</v>
      </c>
      <c r="E2853" s="534">
        <v>595.22857699999997</v>
      </c>
    </row>
    <row r="2854" spans="2:5" x14ac:dyDescent="0.2">
      <c r="B2854" s="533">
        <v>3311</v>
      </c>
      <c r="C2854" s="533" t="s">
        <v>1127</v>
      </c>
      <c r="D2854" s="656" t="s">
        <v>7738</v>
      </c>
      <c r="E2854" s="534">
        <v>599.73637299999996</v>
      </c>
    </row>
    <row r="2855" spans="2:5" x14ac:dyDescent="0.2">
      <c r="B2855" s="533">
        <v>3312</v>
      </c>
      <c r="C2855" s="533" t="s">
        <v>1273</v>
      </c>
      <c r="D2855" s="656" t="s">
        <v>7738</v>
      </c>
      <c r="E2855" s="534">
        <v>608.63332100000002</v>
      </c>
    </row>
    <row r="2856" spans="2:5" x14ac:dyDescent="0.2">
      <c r="B2856" s="533">
        <v>3313</v>
      </c>
      <c r="C2856" s="533" t="s">
        <v>1234</v>
      </c>
      <c r="D2856" s="656" t="s">
        <v>7738</v>
      </c>
      <c r="E2856" s="534">
        <v>606.31667100000004</v>
      </c>
    </row>
    <row r="2857" spans="2:5" x14ac:dyDescent="0.2">
      <c r="B2857" s="533">
        <v>3314</v>
      </c>
      <c r="C2857" s="533" t="s">
        <v>962</v>
      </c>
      <c r="D2857" s="656" t="s">
        <v>7738</v>
      </c>
      <c r="E2857" s="534">
        <v>585.84286899999995</v>
      </c>
    </row>
    <row r="2858" spans="2:5" x14ac:dyDescent="0.2">
      <c r="B2858" s="533">
        <v>3315</v>
      </c>
      <c r="C2858" s="533" t="s">
        <v>1048</v>
      </c>
      <c r="D2858" s="656" t="s">
        <v>7738</v>
      </c>
      <c r="E2858" s="534">
        <v>594.53333899999996</v>
      </c>
    </row>
    <row r="2859" spans="2:5" x14ac:dyDescent="0.2">
      <c r="B2859" s="533">
        <v>3316</v>
      </c>
      <c r="C2859" s="533" t="s">
        <v>798</v>
      </c>
      <c r="D2859" s="656" t="s">
        <v>7738</v>
      </c>
      <c r="E2859" s="534">
        <v>575.53636600000004</v>
      </c>
    </row>
    <row r="2860" spans="2:5" x14ac:dyDescent="0.2">
      <c r="B2860" s="533">
        <v>3317</v>
      </c>
      <c r="C2860" s="533" t="s">
        <v>782</v>
      </c>
      <c r="D2860" s="656" t="s">
        <v>7738</v>
      </c>
      <c r="E2860" s="534">
        <v>566.04666299999997</v>
      </c>
    </row>
    <row r="2861" spans="2:5" x14ac:dyDescent="0.2">
      <c r="B2861" s="533">
        <v>3318</v>
      </c>
      <c r="C2861" s="533" t="s">
        <v>7240</v>
      </c>
      <c r="D2861" s="656" t="s">
        <v>7738</v>
      </c>
      <c r="E2861" s="534">
        <v>599.40002400000003</v>
      </c>
    </row>
    <row r="2862" spans="2:5" x14ac:dyDescent="0.2">
      <c r="B2862" s="533">
        <v>3319</v>
      </c>
      <c r="C2862" s="533" t="s">
        <v>882</v>
      </c>
      <c r="D2862" s="656" t="s">
        <v>7738</v>
      </c>
      <c r="E2862" s="534">
        <v>578.72221500000001</v>
      </c>
    </row>
    <row r="2863" spans="2:5" x14ac:dyDescent="0.2">
      <c r="B2863" s="533">
        <v>3320</v>
      </c>
      <c r="C2863" s="533" t="s">
        <v>801</v>
      </c>
      <c r="D2863" s="656" t="s">
        <v>7738</v>
      </c>
      <c r="E2863" s="534">
        <v>568.93332899999996</v>
      </c>
    </row>
    <row r="2864" spans="2:5" x14ac:dyDescent="0.2">
      <c r="B2864" s="533">
        <v>3321</v>
      </c>
      <c r="C2864" s="533" t="s">
        <v>805</v>
      </c>
      <c r="D2864" s="656" t="s">
        <v>418</v>
      </c>
      <c r="E2864" s="534">
        <v>569.85554999999999</v>
      </c>
    </row>
    <row r="2865" spans="2:5" x14ac:dyDescent="0.2">
      <c r="B2865" s="533">
        <v>3322</v>
      </c>
      <c r="C2865" s="533" t="s">
        <v>872</v>
      </c>
      <c r="D2865" s="656" t="s">
        <v>418</v>
      </c>
      <c r="E2865" s="534">
        <v>577.68572099999994</v>
      </c>
    </row>
    <row r="2866" spans="2:5" x14ac:dyDescent="0.2">
      <c r="B2866" s="533">
        <v>3323</v>
      </c>
      <c r="C2866" s="533" t="s">
        <v>892</v>
      </c>
      <c r="D2866" s="656" t="s">
        <v>418</v>
      </c>
      <c r="E2866" s="534">
        <v>579.64285700000005</v>
      </c>
    </row>
    <row r="2867" spans="2:5" x14ac:dyDescent="0.2">
      <c r="B2867" s="533">
        <v>3324</v>
      </c>
      <c r="C2867" s="533" t="s">
        <v>864</v>
      </c>
      <c r="D2867" s="656" t="s">
        <v>418</v>
      </c>
      <c r="E2867" s="534">
        <v>577.12857499999996</v>
      </c>
    </row>
    <row r="2868" spans="2:5" x14ac:dyDescent="0.2">
      <c r="B2868" s="533">
        <v>3325</v>
      </c>
      <c r="C2868" s="533" t="s">
        <v>756</v>
      </c>
      <c r="D2868" s="656" t="s">
        <v>418</v>
      </c>
      <c r="E2868" s="534">
        <v>561.41818499999999</v>
      </c>
    </row>
    <row r="2869" spans="2:5" x14ac:dyDescent="0.2">
      <c r="B2869" s="533">
        <v>3326</v>
      </c>
      <c r="C2869" s="533" t="s">
        <v>781</v>
      </c>
      <c r="D2869" s="656" t="s">
        <v>418</v>
      </c>
      <c r="E2869" s="534">
        <v>565.84546499999999</v>
      </c>
    </row>
    <row r="2870" spans="2:5" x14ac:dyDescent="0.2">
      <c r="B2870" s="533">
        <v>3327</v>
      </c>
      <c r="C2870" s="533" t="s">
        <v>865</v>
      </c>
      <c r="D2870" s="656" t="s">
        <v>418</v>
      </c>
      <c r="E2870" s="534">
        <v>577.17999299999997</v>
      </c>
    </row>
    <row r="2871" spans="2:5" x14ac:dyDescent="0.2">
      <c r="B2871" s="533">
        <v>3328</v>
      </c>
      <c r="C2871" s="533" t="s">
        <v>835</v>
      </c>
      <c r="D2871" s="656" t="s">
        <v>418</v>
      </c>
      <c r="E2871" s="534">
        <v>574.14285700000005</v>
      </c>
    </row>
    <row r="2872" spans="2:5" x14ac:dyDescent="0.2">
      <c r="B2872" s="533">
        <v>3329</v>
      </c>
      <c r="C2872" s="533" t="s">
        <v>947</v>
      </c>
      <c r="D2872" s="656" t="s">
        <v>418</v>
      </c>
      <c r="E2872" s="534">
        <v>584.72500100000002</v>
      </c>
    </row>
    <row r="2873" spans="2:5" x14ac:dyDescent="0.2">
      <c r="B2873" s="533">
        <v>3330</v>
      </c>
      <c r="C2873" s="533" t="s">
        <v>1277</v>
      </c>
      <c r="D2873" s="656" t="s">
        <v>418</v>
      </c>
      <c r="E2873" s="534">
        <v>608.73333700000001</v>
      </c>
    </row>
    <row r="2874" spans="2:5" x14ac:dyDescent="0.2">
      <c r="B2874" s="533">
        <v>3331</v>
      </c>
      <c r="C2874" s="533" t="s">
        <v>1229</v>
      </c>
      <c r="D2874" s="656" t="s">
        <v>418</v>
      </c>
      <c r="E2874" s="534">
        <v>605.93636300000003</v>
      </c>
    </row>
    <row r="2875" spans="2:5" x14ac:dyDescent="0.2">
      <c r="B2875" s="533">
        <v>3332</v>
      </c>
      <c r="C2875" s="533" t="s">
        <v>982</v>
      </c>
      <c r="D2875" s="656" t="s">
        <v>418</v>
      </c>
      <c r="E2875" s="534">
        <v>588.09090900000001</v>
      </c>
    </row>
    <row r="2876" spans="2:5" x14ac:dyDescent="0.2">
      <c r="B2876" s="533">
        <v>3333</v>
      </c>
      <c r="C2876" s="533" t="s">
        <v>1356</v>
      </c>
      <c r="D2876" s="656" t="s">
        <v>418</v>
      </c>
      <c r="E2876" s="534">
        <v>613.54999999999995</v>
      </c>
    </row>
    <row r="2877" spans="2:5" x14ac:dyDescent="0.2">
      <c r="B2877" s="533">
        <v>3334</v>
      </c>
      <c r="C2877" s="533" t="s">
        <v>937</v>
      </c>
      <c r="D2877" s="656" t="s">
        <v>418</v>
      </c>
      <c r="E2877" s="534">
        <v>583.82500500000003</v>
      </c>
    </row>
    <row r="2878" spans="2:5" x14ac:dyDescent="0.2">
      <c r="B2878" s="533">
        <v>3335</v>
      </c>
      <c r="C2878" s="533" t="s">
        <v>418</v>
      </c>
      <c r="D2878" s="656" t="s">
        <v>418</v>
      </c>
      <c r="E2878" s="534">
        <v>571.55453799999998</v>
      </c>
    </row>
    <row r="2879" spans="2:5" x14ac:dyDescent="0.2">
      <c r="B2879" s="533">
        <v>3336</v>
      </c>
      <c r="C2879" s="533" t="s">
        <v>1060</v>
      </c>
      <c r="D2879" s="656" t="s">
        <v>418</v>
      </c>
      <c r="E2879" s="534">
        <v>595.23750299999995</v>
      </c>
    </row>
    <row r="2880" spans="2:5" x14ac:dyDescent="0.2">
      <c r="B2880" s="533">
        <v>3337</v>
      </c>
      <c r="C2880" s="533" t="s">
        <v>846</v>
      </c>
      <c r="D2880" s="656" t="s">
        <v>418</v>
      </c>
      <c r="E2880" s="534">
        <v>575.18332899999996</v>
      </c>
    </row>
    <row r="2881" spans="2:5" x14ac:dyDescent="0.2">
      <c r="B2881" s="533">
        <v>3338</v>
      </c>
      <c r="C2881" s="533" t="s">
        <v>870</v>
      </c>
      <c r="D2881" s="656" t="s">
        <v>418</v>
      </c>
      <c r="E2881" s="534">
        <v>577.59997599999997</v>
      </c>
    </row>
    <row r="2882" spans="2:5" x14ac:dyDescent="0.2">
      <c r="B2882" s="533">
        <v>3339</v>
      </c>
      <c r="C2882" s="533" t="s">
        <v>916</v>
      </c>
      <c r="D2882" s="656" t="s">
        <v>418</v>
      </c>
      <c r="E2882" s="534">
        <v>582.33749399999999</v>
      </c>
    </row>
    <row r="2883" spans="2:5" x14ac:dyDescent="0.2">
      <c r="B2883" s="533">
        <v>3340</v>
      </c>
      <c r="C2883" s="533" t="s">
        <v>863</v>
      </c>
      <c r="D2883" s="656" t="s">
        <v>418</v>
      </c>
      <c r="E2883" s="534">
        <v>577.09999400000004</v>
      </c>
    </row>
    <row r="2884" spans="2:5" x14ac:dyDescent="0.2">
      <c r="B2884" s="533">
        <v>3341</v>
      </c>
      <c r="C2884" s="533" t="s">
        <v>849</v>
      </c>
      <c r="D2884" s="656" t="s">
        <v>418</v>
      </c>
      <c r="E2884" s="534">
        <v>575.32501200000002</v>
      </c>
    </row>
    <row r="2885" spans="2:5" x14ac:dyDescent="0.2">
      <c r="B2885" s="533">
        <v>3342</v>
      </c>
      <c r="C2885" s="533" t="s">
        <v>816</v>
      </c>
      <c r="D2885" s="656" t="s">
        <v>418</v>
      </c>
      <c r="E2885" s="534">
        <v>571.92500299999995</v>
      </c>
    </row>
    <row r="2886" spans="2:5" x14ac:dyDescent="0.2">
      <c r="B2886" s="533">
        <v>3343</v>
      </c>
      <c r="C2886" s="533" t="s">
        <v>6764</v>
      </c>
      <c r="D2886" s="656" t="s">
        <v>418</v>
      </c>
      <c r="E2886" s="534">
        <v>599.25</v>
      </c>
    </row>
    <row r="2887" spans="2:5" x14ac:dyDescent="0.2">
      <c r="B2887" s="533">
        <v>3344</v>
      </c>
      <c r="C2887" s="533" t="s">
        <v>814</v>
      </c>
      <c r="D2887" s="656" t="s">
        <v>418</v>
      </c>
      <c r="E2887" s="534">
        <v>571.72858499999995</v>
      </c>
    </row>
    <row r="2888" spans="2:5" x14ac:dyDescent="0.2">
      <c r="B2888" s="533">
        <v>3345</v>
      </c>
      <c r="C2888" s="533" t="s">
        <v>1032</v>
      </c>
      <c r="D2888" s="656" t="s">
        <v>418</v>
      </c>
      <c r="E2888" s="534">
        <v>592.616669</v>
      </c>
    </row>
    <row r="2889" spans="2:5" x14ac:dyDescent="0.2">
      <c r="B2889" s="533">
        <v>3346</v>
      </c>
      <c r="C2889" s="533" t="s">
        <v>7371</v>
      </c>
      <c r="D2889" s="656" t="s">
        <v>418</v>
      </c>
      <c r="E2889" s="534">
        <v>577.48181199999999</v>
      </c>
    </row>
    <row r="2890" spans="2:5" x14ac:dyDescent="0.2">
      <c r="B2890" s="533">
        <v>3347</v>
      </c>
      <c r="C2890" s="533" t="s">
        <v>907</v>
      </c>
      <c r="D2890" s="656" t="s">
        <v>418</v>
      </c>
      <c r="E2890" s="534">
        <v>580.93124799999998</v>
      </c>
    </row>
    <row r="2891" spans="2:5" x14ac:dyDescent="0.2">
      <c r="B2891" s="533">
        <v>3348</v>
      </c>
      <c r="C2891" s="533" t="s">
        <v>1033</v>
      </c>
      <c r="D2891" s="656" t="s">
        <v>418</v>
      </c>
      <c r="E2891" s="534">
        <v>592.72351800000001</v>
      </c>
    </row>
    <row r="2892" spans="2:5" x14ac:dyDescent="0.2">
      <c r="B2892" s="533">
        <v>3349</v>
      </c>
      <c r="C2892" s="533" t="s">
        <v>964</v>
      </c>
      <c r="D2892" s="656" t="s">
        <v>418</v>
      </c>
      <c r="E2892" s="534">
        <v>586</v>
      </c>
    </row>
    <row r="2893" spans="2:5" x14ac:dyDescent="0.2">
      <c r="B2893" s="533">
        <v>3350</v>
      </c>
      <c r="C2893" s="533" t="s">
        <v>1022</v>
      </c>
      <c r="D2893" s="656" t="s">
        <v>418</v>
      </c>
      <c r="E2893" s="534">
        <v>592.08571099999995</v>
      </c>
    </row>
    <row r="2894" spans="2:5" x14ac:dyDescent="0.2">
      <c r="B2894" s="533">
        <v>3351</v>
      </c>
      <c r="C2894" s="533" t="s">
        <v>728</v>
      </c>
      <c r="D2894" s="656" t="s">
        <v>418</v>
      </c>
      <c r="E2894" s="534">
        <v>552.21334200000001</v>
      </c>
    </row>
    <row r="2895" spans="2:5" x14ac:dyDescent="0.2">
      <c r="B2895" s="533">
        <v>3352</v>
      </c>
      <c r="C2895" s="533" t="s">
        <v>834</v>
      </c>
      <c r="D2895" s="656" t="s">
        <v>418</v>
      </c>
      <c r="E2895" s="534">
        <v>574.09167500000001</v>
      </c>
    </row>
    <row r="2896" spans="2:5" x14ac:dyDescent="0.2">
      <c r="B2896" s="533">
        <v>3353</v>
      </c>
      <c r="C2896" s="533" t="s">
        <v>824</v>
      </c>
      <c r="D2896" s="656" t="s">
        <v>418</v>
      </c>
      <c r="E2896" s="534">
        <v>573.25453900000002</v>
      </c>
    </row>
    <row r="2897" spans="2:5" x14ac:dyDescent="0.2">
      <c r="B2897" s="533">
        <v>3354</v>
      </c>
      <c r="C2897" s="533" t="s">
        <v>6616</v>
      </c>
      <c r="D2897" s="656" t="s">
        <v>418</v>
      </c>
      <c r="E2897" s="534">
        <v>555.22220900000002</v>
      </c>
    </row>
    <row r="2898" spans="2:5" x14ac:dyDescent="0.2">
      <c r="B2898" s="533">
        <v>3355</v>
      </c>
      <c r="C2898" s="533" t="s">
        <v>861</v>
      </c>
      <c r="D2898" s="656" t="s">
        <v>418</v>
      </c>
      <c r="E2898" s="534">
        <v>577.07000100000005</v>
      </c>
    </row>
    <row r="2899" spans="2:5" x14ac:dyDescent="0.2">
      <c r="B2899" s="533">
        <v>3356</v>
      </c>
      <c r="C2899" s="533" t="s">
        <v>6718</v>
      </c>
      <c r="D2899" s="656" t="s">
        <v>418</v>
      </c>
      <c r="E2899" s="534">
        <v>562.276926</v>
      </c>
    </row>
    <row r="2900" spans="2:5" ht="15" x14ac:dyDescent="0.2">
      <c r="B2900" s="531">
        <v>3357</v>
      </c>
      <c r="C2900" s="533" t="s">
        <v>705</v>
      </c>
      <c r="D2900" s="656" t="s">
        <v>418</v>
      </c>
      <c r="E2900" s="532">
        <v>542.77499399999999</v>
      </c>
    </row>
    <row r="2901" spans="2:5" x14ac:dyDescent="0.2">
      <c r="B2901" s="533">
        <v>3358</v>
      </c>
      <c r="C2901" s="533" t="s">
        <v>6594</v>
      </c>
      <c r="D2901" s="656" t="s">
        <v>418</v>
      </c>
      <c r="E2901" s="534">
        <v>570.08571099999995</v>
      </c>
    </row>
    <row r="2902" spans="2:5" x14ac:dyDescent="0.2">
      <c r="B2902" s="533">
        <v>3359</v>
      </c>
      <c r="C2902" s="533" t="s">
        <v>878</v>
      </c>
      <c r="D2902" s="656" t="s">
        <v>418</v>
      </c>
      <c r="E2902" s="534">
        <v>578.44285400000001</v>
      </c>
    </row>
    <row r="2903" spans="2:5" ht="15" x14ac:dyDescent="0.2">
      <c r="B2903" s="533">
        <v>3360</v>
      </c>
      <c r="C2903" s="531" t="s">
        <v>893</v>
      </c>
      <c r="D2903" s="656" t="s">
        <v>418</v>
      </c>
      <c r="E2903" s="534">
        <v>579.71538799999996</v>
      </c>
    </row>
    <row r="2904" spans="2:5" x14ac:dyDescent="0.2">
      <c r="B2904" s="533">
        <v>3361</v>
      </c>
      <c r="C2904" s="533" t="s">
        <v>6914</v>
      </c>
      <c r="D2904" s="656" t="s">
        <v>418</v>
      </c>
      <c r="E2904" s="534">
        <v>620.18572099999994</v>
      </c>
    </row>
    <row r="2905" spans="2:5" x14ac:dyDescent="0.2">
      <c r="B2905" s="533">
        <v>3362</v>
      </c>
      <c r="C2905" s="533" t="s">
        <v>1018</v>
      </c>
      <c r="D2905" s="656" t="s">
        <v>418</v>
      </c>
      <c r="E2905" s="534">
        <v>591.86666400000001</v>
      </c>
    </row>
    <row r="2906" spans="2:5" x14ac:dyDescent="0.2">
      <c r="B2906" s="533">
        <v>3363</v>
      </c>
      <c r="C2906" s="533" t="s">
        <v>1232</v>
      </c>
      <c r="D2906" s="656" t="s">
        <v>418</v>
      </c>
      <c r="E2906" s="534">
        <v>606.214294</v>
      </c>
    </row>
    <row r="2907" spans="2:5" x14ac:dyDescent="0.2">
      <c r="B2907" s="533">
        <v>3401</v>
      </c>
      <c r="C2907" s="533" t="s">
        <v>1026</v>
      </c>
      <c r="D2907" s="656" t="s">
        <v>420</v>
      </c>
      <c r="E2907" s="534">
        <v>592.33333300000004</v>
      </c>
    </row>
    <row r="2908" spans="2:5" x14ac:dyDescent="0.2">
      <c r="B2908" s="533">
        <v>3402</v>
      </c>
      <c r="C2908" s="533" t="s">
        <v>6475</v>
      </c>
      <c r="D2908" s="656" t="s">
        <v>425</v>
      </c>
      <c r="E2908" s="534">
        <v>769.69091200000003</v>
      </c>
    </row>
    <row r="2909" spans="2:5" x14ac:dyDescent="0.2">
      <c r="B2909" s="533">
        <v>3403</v>
      </c>
      <c r="C2909" s="533" t="s">
        <v>3293</v>
      </c>
      <c r="D2909" s="656" t="s">
        <v>425</v>
      </c>
      <c r="E2909" s="534">
        <v>763</v>
      </c>
    </row>
    <row r="2910" spans="2:5" x14ac:dyDescent="0.2">
      <c r="B2910" s="533">
        <v>3404</v>
      </c>
      <c r="C2910" s="533" t="s">
        <v>2300</v>
      </c>
      <c r="D2910" s="656" t="s">
        <v>425</v>
      </c>
      <c r="E2910" s="534">
        <v>657.75</v>
      </c>
    </row>
    <row r="2911" spans="2:5" x14ac:dyDescent="0.2">
      <c r="B2911" s="533">
        <v>3405</v>
      </c>
      <c r="C2911" s="533" t="s">
        <v>889</v>
      </c>
      <c r="D2911" s="656" t="s">
        <v>420</v>
      </c>
      <c r="E2911" s="534">
        <v>579.52500899999995</v>
      </c>
    </row>
    <row r="2912" spans="2:5" x14ac:dyDescent="0.2">
      <c r="B2912" s="533">
        <v>3406</v>
      </c>
      <c r="C2912" s="533" t="s">
        <v>1067</v>
      </c>
      <c r="D2912" s="656" t="s">
        <v>420</v>
      </c>
      <c r="E2912" s="534">
        <v>765.82143299999996</v>
      </c>
    </row>
    <row r="2913" spans="2:5" x14ac:dyDescent="0.2">
      <c r="B2913" s="701">
        <v>3406</v>
      </c>
      <c r="C2913" s="701" t="s">
        <v>1067</v>
      </c>
      <c r="D2913" s="656" t="s">
        <v>425</v>
      </c>
      <c r="E2913" s="534">
        <v>765.82143299999996</v>
      </c>
    </row>
    <row r="2914" spans="2:5" x14ac:dyDescent="0.2">
      <c r="B2914" s="533">
        <v>3407</v>
      </c>
      <c r="C2914" s="533" t="s">
        <v>798</v>
      </c>
      <c r="D2914" s="656" t="s">
        <v>420</v>
      </c>
      <c r="E2914" s="534">
        <v>567.69999199999995</v>
      </c>
    </row>
    <row r="2915" spans="2:5" x14ac:dyDescent="0.2">
      <c r="B2915" s="533">
        <v>3408</v>
      </c>
      <c r="C2915" s="533" t="s">
        <v>3985</v>
      </c>
      <c r="D2915" s="656" t="s">
        <v>425</v>
      </c>
      <c r="E2915" s="534">
        <v>744.46000400000003</v>
      </c>
    </row>
    <row r="2916" spans="2:5" x14ac:dyDescent="0.2">
      <c r="B2916" s="533">
        <v>3409</v>
      </c>
      <c r="C2916" s="533" t="s">
        <v>5228</v>
      </c>
      <c r="D2916" s="656" t="s">
        <v>425</v>
      </c>
      <c r="E2916" s="534">
        <v>851.82499700000005</v>
      </c>
    </row>
    <row r="2917" spans="2:5" x14ac:dyDescent="0.2">
      <c r="B2917" s="533">
        <v>3410</v>
      </c>
      <c r="C2917" s="533" t="s">
        <v>6649</v>
      </c>
      <c r="D2917" s="656" t="s">
        <v>425</v>
      </c>
      <c r="E2917" s="534">
        <v>765.65999799999997</v>
      </c>
    </row>
    <row r="2918" spans="2:5" x14ac:dyDescent="0.2">
      <c r="B2918" s="533">
        <v>3411</v>
      </c>
      <c r="C2918" s="533" t="s">
        <v>904</v>
      </c>
      <c r="D2918" s="656" t="s">
        <v>420</v>
      </c>
      <c r="E2918" s="534">
        <v>580.84444199999996</v>
      </c>
    </row>
    <row r="2919" spans="2:5" x14ac:dyDescent="0.2">
      <c r="B2919" s="533">
        <v>3412</v>
      </c>
      <c r="C2919" s="533" t="s">
        <v>1247</v>
      </c>
      <c r="D2919" s="656" t="s">
        <v>420</v>
      </c>
      <c r="E2919" s="534">
        <v>606.771432</v>
      </c>
    </row>
    <row r="2920" spans="2:5" x14ac:dyDescent="0.2">
      <c r="B2920" s="533">
        <v>3413</v>
      </c>
      <c r="C2920" s="533" t="s">
        <v>4323</v>
      </c>
      <c r="D2920" s="656" t="s">
        <v>425</v>
      </c>
      <c r="E2920" s="534">
        <v>839.78333499999997</v>
      </c>
    </row>
    <row r="2921" spans="2:5" x14ac:dyDescent="0.2">
      <c r="B2921" s="533">
        <v>3414</v>
      </c>
      <c r="C2921" s="533" t="s">
        <v>5217</v>
      </c>
      <c r="D2921" s="656" t="s">
        <v>425</v>
      </c>
      <c r="E2921" s="534">
        <v>849.90002400000003</v>
      </c>
    </row>
    <row r="2922" spans="2:5" x14ac:dyDescent="0.2">
      <c r="B2922" s="533">
        <v>3415</v>
      </c>
      <c r="C2922" s="533" t="s">
        <v>1707</v>
      </c>
      <c r="D2922" s="656" t="s">
        <v>420</v>
      </c>
      <c r="E2922" s="534">
        <v>632.90000899999995</v>
      </c>
    </row>
    <row r="2923" spans="2:5" x14ac:dyDescent="0.2">
      <c r="B2923" s="533">
        <v>3416</v>
      </c>
      <c r="C2923" s="533" t="s">
        <v>4508</v>
      </c>
      <c r="D2923" s="656" t="s">
        <v>425</v>
      </c>
      <c r="E2923" s="534">
        <v>780.83334400000001</v>
      </c>
    </row>
    <row r="2924" spans="2:5" x14ac:dyDescent="0.2">
      <c r="B2924" s="533">
        <v>3417</v>
      </c>
      <c r="C2924" s="533" t="s">
        <v>2694</v>
      </c>
      <c r="D2924" s="656" t="s">
        <v>425</v>
      </c>
      <c r="E2924" s="534">
        <v>675.95714499999997</v>
      </c>
    </row>
    <row r="2925" spans="2:5" x14ac:dyDescent="0.2">
      <c r="B2925" s="533">
        <v>3418</v>
      </c>
      <c r="C2925" s="533" t="s">
        <v>6720</v>
      </c>
      <c r="D2925" s="656" t="s">
        <v>420</v>
      </c>
      <c r="E2925" s="534">
        <v>705.03214400000002</v>
      </c>
    </row>
    <row r="2926" spans="2:5" x14ac:dyDescent="0.2">
      <c r="B2926" s="533">
        <v>3418</v>
      </c>
      <c r="C2926" s="533" t="s">
        <v>6720</v>
      </c>
      <c r="D2926" s="656" t="s">
        <v>425</v>
      </c>
      <c r="E2926" s="534">
        <v>705.03214400000002</v>
      </c>
    </row>
    <row r="2927" spans="2:5" x14ac:dyDescent="0.2">
      <c r="B2927" s="533">
        <v>3419</v>
      </c>
      <c r="C2927" s="533" t="s">
        <v>6774</v>
      </c>
      <c r="D2927" s="656" t="s">
        <v>420</v>
      </c>
      <c r="E2927" s="534">
        <v>604.09997599999997</v>
      </c>
    </row>
    <row r="2928" spans="2:5" x14ac:dyDescent="0.2">
      <c r="B2928" s="533">
        <v>3420</v>
      </c>
      <c r="C2928" s="533" t="s">
        <v>6775</v>
      </c>
      <c r="D2928" s="656" t="s">
        <v>420</v>
      </c>
      <c r="E2928" s="534">
        <v>612.59997599999997</v>
      </c>
    </row>
    <row r="2929" spans="2:5" x14ac:dyDescent="0.2">
      <c r="B2929" s="533">
        <v>3421</v>
      </c>
      <c r="C2929" s="533" t="s">
        <v>1028</v>
      </c>
      <c r="D2929" s="656" t="s">
        <v>420</v>
      </c>
      <c r="E2929" s="534">
        <v>592.40002400000003</v>
      </c>
    </row>
    <row r="2930" spans="2:5" x14ac:dyDescent="0.2">
      <c r="B2930" s="533">
        <v>3422</v>
      </c>
      <c r="C2930" s="533" t="s">
        <v>3952</v>
      </c>
      <c r="D2930" s="656" t="s">
        <v>425</v>
      </c>
      <c r="E2930" s="534">
        <v>789.86249499999997</v>
      </c>
    </row>
    <row r="2931" spans="2:5" x14ac:dyDescent="0.2">
      <c r="B2931" s="533">
        <v>3423</v>
      </c>
      <c r="C2931" s="533" t="s">
        <v>1074</v>
      </c>
      <c r="D2931" s="656" t="s">
        <v>420</v>
      </c>
      <c r="E2931" s="534">
        <v>596.24375499999996</v>
      </c>
    </row>
    <row r="2932" spans="2:5" x14ac:dyDescent="0.2">
      <c r="B2932" s="533">
        <v>3424</v>
      </c>
      <c r="C2932" s="533" t="s">
        <v>6788</v>
      </c>
      <c r="D2932" s="656" t="s">
        <v>420</v>
      </c>
      <c r="E2932" s="534">
        <v>610.51999499999999</v>
      </c>
    </row>
    <row r="2933" spans="2:5" x14ac:dyDescent="0.2">
      <c r="B2933" s="533">
        <v>3425</v>
      </c>
      <c r="C2933" s="533" t="s">
        <v>884</v>
      </c>
      <c r="D2933" s="656" t="s">
        <v>420</v>
      </c>
      <c r="E2933" s="534">
        <v>578.93332899999996</v>
      </c>
    </row>
    <row r="2934" spans="2:5" x14ac:dyDescent="0.2">
      <c r="B2934" s="533">
        <v>3426</v>
      </c>
      <c r="C2934" s="533" t="s">
        <v>6877</v>
      </c>
      <c r="D2934" s="656" t="s">
        <v>420</v>
      </c>
      <c r="E2934" s="534">
        <v>592.62000699999999</v>
      </c>
    </row>
    <row r="2935" spans="2:5" x14ac:dyDescent="0.2">
      <c r="B2935" s="533">
        <v>3427</v>
      </c>
      <c r="C2935" s="533" t="s">
        <v>6904</v>
      </c>
      <c r="D2935" s="656" t="s">
        <v>420</v>
      </c>
      <c r="E2935" s="534">
        <v>570.91666699999996</v>
      </c>
    </row>
    <row r="2936" spans="2:5" x14ac:dyDescent="0.2">
      <c r="B2936" s="533">
        <v>3428</v>
      </c>
      <c r="C2936" s="533" t="s">
        <v>6905</v>
      </c>
      <c r="D2936" s="656" t="s">
        <v>420</v>
      </c>
      <c r="E2936" s="534">
        <v>627.76000999999997</v>
      </c>
    </row>
    <row r="2937" spans="2:5" x14ac:dyDescent="0.2">
      <c r="B2937" s="533">
        <v>3429</v>
      </c>
      <c r="C2937" s="533" t="s">
        <v>2504</v>
      </c>
      <c r="D2937" s="656" t="s">
        <v>425</v>
      </c>
      <c r="E2937" s="534">
        <v>832.82000700000003</v>
      </c>
    </row>
    <row r="2938" spans="2:5" x14ac:dyDescent="0.2">
      <c r="B2938" s="533">
        <v>3430</v>
      </c>
      <c r="C2938" s="533" t="s">
        <v>6927</v>
      </c>
      <c r="D2938" s="656" t="s">
        <v>425</v>
      </c>
      <c r="E2938" s="534">
        <v>770.85000600000001</v>
      </c>
    </row>
    <row r="2939" spans="2:5" x14ac:dyDescent="0.2">
      <c r="B2939" s="533">
        <v>3431</v>
      </c>
      <c r="C2939" s="533" t="s">
        <v>4218</v>
      </c>
      <c r="D2939" s="656" t="s">
        <v>425</v>
      </c>
      <c r="E2939" s="534">
        <v>759.64000199999998</v>
      </c>
    </row>
    <row r="2940" spans="2:5" x14ac:dyDescent="0.2">
      <c r="B2940" s="533">
        <v>3432</v>
      </c>
      <c r="C2940" s="533" t="s">
        <v>6989</v>
      </c>
      <c r="D2940" s="656" t="s">
        <v>420</v>
      </c>
      <c r="E2940" s="534">
        <v>573.73332700000003</v>
      </c>
    </row>
    <row r="2941" spans="2:5" x14ac:dyDescent="0.2">
      <c r="B2941" s="533">
        <v>3433</v>
      </c>
      <c r="C2941" s="533" t="s">
        <v>6993</v>
      </c>
      <c r="D2941" s="656" t="s">
        <v>420</v>
      </c>
      <c r="E2941" s="534">
        <v>573.54998799999998</v>
      </c>
    </row>
    <row r="2942" spans="2:5" x14ac:dyDescent="0.2">
      <c r="B2942" s="533">
        <v>3434</v>
      </c>
      <c r="C2942" s="533" t="s">
        <v>913</v>
      </c>
      <c r="D2942" s="656" t="s">
        <v>420</v>
      </c>
      <c r="E2942" s="534">
        <v>582</v>
      </c>
    </row>
    <row r="2943" spans="2:5" x14ac:dyDescent="0.2">
      <c r="B2943" s="533">
        <v>3435</v>
      </c>
      <c r="C2943" s="533" t="s">
        <v>979</v>
      </c>
      <c r="D2943" s="656" t="s">
        <v>420</v>
      </c>
      <c r="E2943" s="534">
        <v>587.81429600000001</v>
      </c>
    </row>
    <row r="2944" spans="2:5" x14ac:dyDescent="0.2">
      <c r="B2944" s="533">
        <v>3436</v>
      </c>
      <c r="C2944" s="533" t="s">
        <v>1287</v>
      </c>
      <c r="D2944" s="656" t="s">
        <v>420</v>
      </c>
      <c r="E2944" s="534">
        <v>609.42500299999995</v>
      </c>
    </row>
    <row r="2945" spans="2:5" x14ac:dyDescent="0.2">
      <c r="B2945" s="533">
        <v>3437</v>
      </c>
      <c r="C2945" s="533" t="s">
        <v>7068</v>
      </c>
      <c r="D2945" s="656" t="s">
        <v>420</v>
      </c>
      <c r="E2945" s="534">
        <v>580.55001800000002</v>
      </c>
    </row>
    <row r="2946" spans="2:5" x14ac:dyDescent="0.2">
      <c r="B2946" s="533">
        <v>3438</v>
      </c>
      <c r="C2946" s="533" t="s">
        <v>1279</v>
      </c>
      <c r="D2946" s="656" t="s">
        <v>420</v>
      </c>
      <c r="E2946" s="534">
        <v>608.97502099999997</v>
      </c>
    </row>
    <row r="2947" spans="2:5" x14ac:dyDescent="0.2">
      <c r="B2947" s="533">
        <v>3439</v>
      </c>
      <c r="C2947" s="533" t="s">
        <v>894</v>
      </c>
      <c r="D2947" s="656" t="s">
        <v>420</v>
      </c>
      <c r="E2947" s="534">
        <v>579.75</v>
      </c>
    </row>
    <row r="2948" spans="2:5" x14ac:dyDescent="0.2">
      <c r="B2948" s="533">
        <v>3440</v>
      </c>
      <c r="C2948" s="533" t="s">
        <v>1810</v>
      </c>
      <c r="D2948" s="656" t="s">
        <v>420</v>
      </c>
      <c r="E2948" s="534">
        <v>636.75</v>
      </c>
    </row>
    <row r="2949" spans="2:5" x14ac:dyDescent="0.2">
      <c r="B2949" s="533">
        <v>3441</v>
      </c>
      <c r="C2949" s="533" t="s">
        <v>1888</v>
      </c>
      <c r="D2949" s="656" t="s">
        <v>420</v>
      </c>
      <c r="E2949" s="534">
        <v>639.759998</v>
      </c>
    </row>
    <row r="2950" spans="2:5" x14ac:dyDescent="0.2">
      <c r="B2950" s="533">
        <v>3442</v>
      </c>
      <c r="C2950" s="533" t="s">
        <v>4529</v>
      </c>
      <c r="D2950" s="656" t="s">
        <v>425</v>
      </c>
      <c r="E2950" s="534">
        <v>782.84444199999996</v>
      </c>
    </row>
    <row r="2951" spans="2:5" x14ac:dyDescent="0.2">
      <c r="B2951" s="533">
        <v>3443</v>
      </c>
      <c r="C2951" s="533" t="s">
        <v>3576</v>
      </c>
      <c r="D2951" s="656" t="s">
        <v>425</v>
      </c>
      <c r="E2951" s="534">
        <v>720.55713800000001</v>
      </c>
    </row>
    <row r="2952" spans="2:5" x14ac:dyDescent="0.2">
      <c r="B2952" s="533">
        <v>3444</v>
      </c>
      <c r="C2952" s="533" t="s">
        <v>1433</v>
      </c>
      <c r="D2952" s="656" t="s">
        <v>420</v>
      </c>
      <c r="E2952" s="534">
        <v>617.29998799999998</v>
      </c>
    </row>
    <row r="2953" spans="2:5" x14ac:dyDescent="0.2">
      <c r="B2953" s="533">
        <v>3445</v>
      </c>
      <c r="C2953" s="533" t="s">
        <v>7163</v>
      </c>
      <c r="D2953" s="656" t="s">
        <v>420</v>
      </c>
      <c r="E2953" s="534">
        <v>628.85714299999995</v>
      </c>
    </row>
    <row r="2954" spans="2:5" x14ac:dyDescent="0.2">
      <c r="B2954" s="533">
        <v>3446</v>
      </c>
      <c r="C2954" s="533" t="s">
        <v>1911</v>
      </c>
      <c r="D2954" s="656" t="s">
        <v>425</v>
      </c>
      <c r="E2954" s="534">
        <v>743.76666299999999</v>
      </c>
    </row>
    <row r="2955" spans="2:5" x14ac:dyDescent="0.2">
      <c r="B2955" s="533">
        <v>3447</v>
      </c>
      <c r="C2955" s="533" t="s">
        <v>7197</v>
      </c>
      <c r="D2955" s="656" t="s">
        <v>420</v>
      </c>
      <c r="E2955" s="534">
        <v>604.45001200000002</v>
      </c>
    </row>
    <row r="2956" spans="2:5" x14ac:dyDescent="0.2">
      <c r="B2956" s="533">
        <v>3448</v>
      </c>
      <c r="C2956" s="533" t="s">
        <v>1125</v>
      </c>
      <c r="D2956" s="656" t="s">
        <v>420</v>
      </c>
      <c r="E2956" s="534">
        <v>599.64999399999999</v>
      </c>
    </row>
    <row r="2957" spans="2:5" x14ac:dyDescent="0.2">
      <c r="B2957" s="533">
        <v>3449</v>
      </c>
      <c r="C2957" s="533" t="s">
        <v>7248</v>
      </c>
      <c r="D2957" s="656" t="s">
        <v>420</v>
      </c>
      <c r="E2957" s="534">
        <v>588.59997599999997</v>
      </c>
    </row>
    <row r="2958" spans="2:5" x14ac:dyDescent="0.2">
      <c r="B2958" s="533">
        <v>3450</v>
      </c>
      <c r="C2958" s="533" t="s">
        <v>7249</v>
      </c>
      <c r="D2958" s="656" t="s">
        <v>420</v>
      </c>
      <c r="E2958" s="534">
        <v>590</v>
      </c>
    </row>
    <row r="2959" spans="2:5" x14ac:dyDescent="0.2">
      <c r="B2959" s="533">
        <v>3451</v>
      </c>
      <c r="C2959" s="533" t="s">
        <v>4147</v>
      </c>
      <c r="D2959" s="656" t="s">
        <v>425</v>
      </c>
      <c r="E2959" s="534">
        <v>754.33331299999998</v>
      </c>
    </row>
    <row r="2960" spans="2:5" x14ac:dyDescent="0.2">
      <c r="B2960" s="533">
        <v>3452</v>
      </c>
      <c r="C2960" s="533" t="s">
        <v>4582</v>
      </c>
      <c r="D2960" s="656" t="s">
        <v>425</v>
      </c>
      <c r="E2960" s="534">
        <v>787</v>
      </c>
    </row>
    <row r="2961" spans="2:5" x14ac:dyDescent="0.2">
      <c r="B2961" s="533">
        <v>3453</v>
      </c>
      <c r="C2961" s="533" t="s">
        <v>4332</v>
      </c>
      <c r="D2961" s="656" t="s">
        <v>425</v>
      </c>
      <c r="E2961" s="534">
        <v>767.49998000000005</v>
      </c>
    </row>
    <row r="2962" spans="2:5" x14ac:dyDescent="0.2">
      <c r="B2962" s="533">
        <v>3454</v>
      </c>
      <c r="C2962" s="533" t="s">
        <v>1082</v>
      </c>
      <c r="D2962" s="656" t="s">
        <v>420</v>
      </c>
      <c r="E2962" s="534">
        <v>596.90002400000003</v>
      </c>
    </row>
    <row r="2963" spans="2:5" x14ac:dyDescent="0.2">
      <c r="B2963" s="533">
        <v>3455</v>
      </c>
      <c r="C2963" s="533" t="s">
        <v>7328</v>
      </c>
      <c r="D2963" s="656" t="s">
        <v>425</v>
      </c>
      <c r="E2963" s="534">
        <v>849.96666500000003</v>
      </c>
    </row>
    <row r="2964" spans="2:5" x14ac:dyDescent="0.2">
      <c r="B2964" s="533">
        <v>3456</v>
      </c>
      <c r="C2964" s="533" t="s">
        <v>4317</v>
      </c>
      <c r="D2964" s="656" t="s">
        <v>425</v>
      </c>
      <c r="E2964" s="534">
        <v>766.83334400000001</v>
      </c>
    </row>
    <row r="2965" spans="2:5" x14ac:dyDescent="0.2">
      <c r="B2965" s="533">
        <v>3457</v>
      </c>
      <c r="C2965" s="533" t="s">
        <v>911</v>
      </c>
      <c r="D2965" s="656" t="s">
        <v>420</v>
      </c>
      <c r="E2965" s="534">
        <v>581.43335000000002</v>
      </c>
    </row>
    <row r="2966" spans="2:5" x14ac:dyDescent="0.2">
      <c r="B2966" s="533">
        <v>3458</v>
      </c>
      <c r="C2966" s="533" t="s">
        <v>1359</v>
      </c>
      <c r="D2966" s="656" t="s">
        <v>420</v>
      </c>
      <c r="E2966" s="534">
        <v>613.69998199999998</v>
      </c>
    </row>
    <row r="2967" spans="2:5" x14ac:dyDescent="0.2">
      <c r="B2967" s="533">
        <v>3459</v>
      </c>
      <c r="C2967" s="533" t="s">
        <v>1038</v>
      </c>
      <c r="D2967" s="656" t="s">
        <v>425</v>
      </c>
      <c r="E2967" s="534">
        <v>814.04285500000003</v>
      </c>
    </row>
    <row r="2968" spans="2:5" x14ac:dyDescent="0.2">
      <c r="B2968" s="533">
        <v>3460</v>
      </c>
      <c r="C2968" s="533" t="s">
        <v>7381</v>
      </c>
      <c r="D2968" s="656" t="s">
        <v>425</v>
      </c>
      <c r="E2968" s="534">
        <v>774.53332499999999</v>
      </c>
    </row>
    <row r="2969" spans="2:5" x14ac:dyDescent="0.2">
      <c r="B2969" s="533">
        <v>3461</v>
      </c>
      <c r="C2969" s="533" t="s">
        <v>7383</v>
      </c>
      <c r="D2969" s="656" t="s">
        <v>420</v>
      </c>
      <c r="E2969" s="534">
        <v>574.86667899999998</v>
      </c>
    </row>
    <row r="2970" spans="2:5" x14ac:dyDescent="0.2">
      <c r="B2970" s="533">
        <v>3462</v>
      </c>
      <c r="C2970" s="533" t="s">
        <v>922</v>
      </c>
      <c r="D2970" s="656" t="s">
        <v>420</v>
      </c>
      <c r="E2970" s="534">
        <v>582.80001800000002</v>
      </c>
    </row>
    <row r="2971" spans="2:5" x14ac:dyDescent="0.2">
      <c r="B2971" s="533">
        <v>3463</v>
      </c>
      <c r="C2971" s="533" t="s">
        <v>930</v>
      </c>
      <c r="D2971" s="656" t="s">
        <v>420</v>
      </c>
      <c r="E2971" s="534">
        <v>583.29998799999998</v>
      </c>
    </row>
    <row r="2972" spans="2:5" x14ac:dyDescent="0.2">
      <c r="B2972" s="533">
        <v>3464</v>
      </c>
      <c r="C2972" s="533" t="s">
        <v>1551</v>
      </c>
      <c r="D2972" s="656" t="s">
        <v>420</v>
      </c>
      <c r="E2972" s="534">
        <v>624.26666299999999</v>
      </c>
    </row>
    <row r="2973" spans="2:5" x14ac:dyDescent="0.2">
      <c r="B2973" s="533">
        <v>3465</v>
      </c>
      <c r="C2973" s="533" t="s">
        <v>6539</v>
      </c>
      <c r="D2973" s="656" t="s">
        <v>425</v>
      </c>
      <c r="E2973" s="534">
        <v>668.5</v>
      </c>
    </row>
    <row r="2974" spans="2:5" x14ac:dyDescent="0.2">
      <c r="B2974" s="533">
        <v>3466</v>
      </c>
      <c r="C2974" s="533" t="s">
        <v>912</v>
      </c>
      <c r="D2974" s="656" t="s">
        <v>425</v>
      </c>
      <c r="E2974" s="534">
        <v>773.14999399999999</v>
      </c>
    </row>
    <row r="2975" spans="2:5" x14ac:dyDescent="0.2">
      <c r="B2975" s="533">
        <v>3467</v>
      </c>
      <c r="C2975" s="533" t="s">
        <v>3262</v>
      </c>
      <c r="D2975" s="656" t="s">
        <v>425</v>
      </c>
      <c r="E2975" s="534">
        <v>704.14443600000004</v>
      </c>
    </row>
    <row r="2976" spans="2:5" x14ac:dyDescent="0.2">
      <c r="B2976" s="533">
        <v>3468</v>
      </c>
      <c r="C2976" s="533" t="s">
        <v>896</v>
      </c>
      <c r="D2976" s="656" t="s">
        <v>420</v>
      </c>
      <c r="E2976" s="534">
        <v>580</v>
      </c>
    </row>
    <row r="2977" spans="2:5" x14ac:dyDescent="0.2">
      <c r="B2977" s="533">
        <v>3469</v>
      </c>
      <c r="C2977" s="533" t="s">
        <v>7475</v>
      </c>
      <c r="D2977" s="656" t="s">
        <v>420</v>
      </c>
      <c r="E2977" s="534">
        <v>584.04001500000004</v>
      </c>
    </row>
    <row r="2978" spans="2:5" x14ac:dyDescent="0.2">
      <c r="B2978" s="533">
        <v>3470</v>
      </c>
      <c r="C2978" s="533" t="s">
        <v>7496</v>
      </c>
      <c r="D2978" s="656" t="s">
        <v>420</v>
      </c>
      <c r="E2978" s="534">
        <v>577.06667100000004</v>
      </c>
    </row>
    <row r="2979" spans="2:5" x14ac:dyDescent="0.2">
      <c r="B2979" s="533">
        <v>3471</v>
      </c>
      <c r="C2979" s="533" t="s">
        <v>985</v>
      </c>
      <c r="D2979" s="656" t="s">
        <v>420</v>
      </c>
      <c r="E2979" s="534">
        <v>588.59997599999997</v>
      </c>
    </row>
    <row r="2980" spans="2:5" x14ac:dyDescent="0.2">
      <c r="B2980" s="533">
        <v>3472</v>
      </c>
      <c r="C2980" s="533" t="s">
        <v>1165</v>
      </c>
      <c r="D2980" s="656" t="s">
        <v>420</v>
      </c>
      <c r="E2980" s="534">
        <v>602.64999399999999</v>
      </c>
    </row>
    <row r="2981" spans="2:5" x14ac:dyDescent="0.2">
      <c r="B2981" s="533">
        <v>3473</v>
      </c>
      <c r="C2981" s="533" t="s">
        <v>4125</v>
      </c>
      <c r="D2981" s="656" t="s">
        <v>425</v>
      </c>
      <c r="E2981" s="534">
        <v>752.82999900000004</v>
      </c>
    </row>
    <row r="2982" spans="2:5" x14ac:dyDescent="0.2">
      <c r="B2982" s="533">
        <v>3474</v>
      </c>
      <c r="C2982" s="533" t="s">
        <v>4878</v>
      </c>
      <c r="D2982" s="656" t="s">
        <v>425</v>
      </c>
      <c r="E2982" s="534">
        <v>810.05001800000002</v>
      </c>
    </row>
    <row r="2983" spans="2:5" x14ac:dyDescent="0.2">
      <c r="B2983" s="533">
        <v>3475</v>
      </c>
      <c r="C2983" s="533" t="s">
        <v>6694</v>
      </c>
      <c r="D2983" s="656" t="s">
        <v>425</v>
      </c>
      <c r="E2983" s="534">
        <v>802.375</v>
      </c>
    </row>
    <row r="2984" spans="2:5" x14ac:dyDescent="0.2">
      <c r="B2984" s="533">
        <v>3476</v>
      </c>
      <c r="C2984" s="533" t="s">
        <v>952</v>
      </c>
      <c r="D2984" s="656" t="s">
        <v>420</v>
      </c>
      <c r="E2984" s="534">
        <v>585.15000899999995</v>
      </c>
    </row>
    <row r="2985" spans="2:5" x14ac:dyDescent="0.2">
      <c r="B2985" s="533">
        <v>3477</v>
      </c>
      <c r="C2985" s="533" t="s">
        <v>2261</v>
      </c>
      <c r="D2985" s="656" t="s">
        <v>425</v>
      </c>
      <c r="E2985" s="534">
        <v>768.39048000000003</v>
      </c>
    </row>
    <row r="2986" spans="2:5" x14ac:dyDescent="0.2">
      <c r="B2986" s="533">
        <v>3478</v>
      </c>
      <c r="C2986" s="533" t="s">
        <v>7591</v>
      </c>
      <c r="D2986" s="656" t="s">
        <v>420</v>
      </c>
      <c r="E2986" s="534">
        <v>605.79998799999998</v>
      </c>
    </row>
    <row r="2987" spans="2:5" x14ac:dyDescent="0.2">
      <c r="B2987" s="533">
        <v>3479</v>
      </c>
      <c r="C2987" s="533" t="s">
        <v>1079</v>
      </c>
      <c r="D2987" s="656" t="s">
        <v>420</v>
      </c>
      <c r="E2987" s="534">
        <v>596.70000300000004</v>
      </c>
    </row>
    <row r="2988" spans="2:5" x14ac:dyDescent="0.2">
      <c r="B2988" s="533">
        <v>3480</v>
      </c>
      <c r="C2988" s="533" t="s">
        <v>1742</v>
      </c>
      <c r="D2988" s="656" t="s">
        <v>420</v>
      </c>
      <c r="E2988" s="534">
        <v>634.11110399999995</v>
      </c>
    </row>
    <row r="2989" spans="2:5" x14ac:dyDescent="0.2">
      <c r="B2989" s="533">
        <v>3481</v>
      </c>
      <c r="C2989" s="533" t="s">
        <v>5325</v>
      </c>
      <c r="D2989" s="656" t="s">
        <v>425</v>
      </c>
      <c r="E2989" s="534">
        <v>868.40002400000003</v>
      </c>
    </row>
    <row r="2990" spans="2:5" x14ac:dyDescent="0.2">
      <c r="B2990" s="533">
        <v>3482</v>
      </c>
      <c r="C2990" s="533" t="s">
        <v>3667</v>
      </c>
      <c r="D2990" s="656" t="s">
        <v>425</v>
      </c>
      <c r="E2990" s="534">
        <v>725.87142800000004</v>
      </c>
    </row>
    <row r="2991" spans="2:5" x14ac:dyDescent="0.2">
      <c r="B2991" s="533">
        <v>3483</v>
      </c>
      <c r="C2991" s="533" t="s">
        <v>2236</v>
      </c>
      <c r="D2991" s="656" t="s">
        <v>425</v>
      </c>
      <c r="E2991" s="534">
        <v>655.02856399999996</v>
      </c>
    </row>
    <row r="2992" spans="2:5" x14ac:dyDescent="0.2">
      <c r="B2992" s="533">
        <v>3484</v>
      </c>
      <c r="C2992" s="533" t="s">
        <v>3829</v>
      </c>
      <c r="D2992" s="656" t="s">
        <v>425</v>
      </c>
      <c r="E2992" s="534">
        <v>735.01250500000003</v>
      </c>
    </row>
    <row r="2993" spans="2:5" x14ac:dyDescent="0.2">
      <c r="B2993" s="533">
        <v>3485</v>
      </c>
      <c r="C2993" s="533" t="s">
        <v>2802</v>
      </c>
      <c r="D2993" s="656" t="s">
        <v>425</v>
      </c>
      <c r="E2993" s="534">
        <v>681.79999799999996</v>
      </c>
    </row>
    <row r="2994" spans="2:5" x14ac:dyDescent="0.2">
      <c r="B2994" s="533">
        <v>3486</v>
      </c>
      <c r="C2994" s="533" t="s">
        <v>2279</v>
      </c>
      <c r="D2994" s="656" t="s">
        <v>425</v>
      </c>
      <c r="E2994" s="534">
        <v>656.84999600000003</v>
      </c>
    </row>
    <row r="2995" spans="2:5" x14ac:dyDescent="0.2">
      <c r="B2995" s="533">
        <v>3501</v>
      </c>
      <c r="C2995" s="533" t="s">
        <v>4710</v>
      </c>
      <c r="D2995" s="656" t="s">
        <v>425</v>
      </c>
      <c r="E2995" s="534">
        <v>797.58332299999995</v>
      </c>
    </row>
    <row r="2996" spans="2:5" x14ac:dyDescent="0.2">
      <c r="B2996" s="533">
        <v>3502</v>
      </c>
      <c r="C2996" s="533" t="s">
        <v>4570</v>
      </c>
      <c r="D2996" s="656" t="s">
        <v>425</v>
      </c>
      <c r="E2996" s="534">
        <v>786.44998899999996</v>
      </c>
    </row>
    <row r="2997" spans="2:5" x14ac:dyDescent="0.2">
      <c r="B2997" s="533">
        <v>3503</v>
      </c>
      <c r="C2997" s="533" t="s">
        <v>5462</v>
      </c>
      <c r="D2997" s="656" t="s">
        <v>425</v>
      </c>
      <c r="E2997" s="534">
        <v>891.57692299999997</v>
      </c>
    </row>
    <row r="2998" spans="2:5" x14ac:dyDescent="0.2">
      <c r="B2998" s="533">
        <v>3504</v>
      </c>
      <c r="C2998" s="533" t="s">
        <v>4408</v>
      </c>
      <c r="D2998" s="656" t="s">
        <v>425</v>
      </c>
      <c r="E2998" s="534">
        <v>773.98333700000001</v>
      </c>
    </row>
    <row r="2999" spans="2:5" x14ac:dyDescent="0.2">
      <c r="B2999" s="533">
        <v>3505</v>
      </c>
      <c r="C2999" s="533" t="s">
        <v>5346</v>
      </c>
      <c r="D2999" s="656" t="s">
        <v>425</v>
      </c>
      <c r="E2999" s="534">
        <v>871.31999499999995</v>
      </c>
    </row>
    <row r="3000" spans="2:5" x14ac:dyDescent="0.2">
      <c r="B3000" s="533">
        <v>3506</v>
      </c>
      <c r="C3000" s="533" t="s">
        <v>4251</v>
      </c>
      <c r="D3000" s="656" t="s">
        <v>425</v>
      </c>
      <c r="E3000" s="534">
        <v>761.95999800000004</v>
      </c>
    </row>
    <row r="3001" spans="2:5" x14ac:dyDescent="0.2">
      <c r="B3001" s="533">
        <v>3507</v>
      </c>
      <c r="C3001" s="533" t="s">
        <v>5032</v>
      </c>
      <c r="D3001" s="656" t="s">
        <v>425</v>
      </c>
      <c r="E3001" s="534">
        <v>827.20001200000002</v>
      </c>
    </row>
    <row r="3002" spans="2:5" x14ac:dyDescent="0.2">
      <c r="B3002" s="533">
        <v>3508</v>
      </c>
      <c r="C3002" s="533" t="s">
        <v>1181</v>
      </c>
      <c r="D3002" s="656" t="s">
        <v>425</v>
      </c>
      <c r="E3002" s="534">
        <v>718.57499700000005</v>
      </c>
    </row>
    <row r="3003" spans="2:5" x14ac:dyDescent="0.2">
      <c r="B3003" s="533">
        <v>3509</v>
      </c>
      <c r="C3003" s="533" t="s">
        <v>2857</v>
      </c>
      <c r="D3003" s="656" t="s">
        <v>425</v>
      </c>
      <c r="E3003" s="534">
        <v>684.66666699999996</v>
      </c>
    </row>
    <row r="3004" spans="2:5" x14ac:dyDescent="0.2">
      <c r="B3004" s="533">
        <v>3510</v>
      </c>
      <c r="C3004" s="533" t="s">
        <v>5586</v>
      </c>
      <c r="D3004" s="656" t="s">
        <v>425</v>
      </c>
      <c r="E3004" s="534">
        <v>910.64999399999999</v>
      </c>
    </row>
    <row r="3005" spans="2:5" x14ac:dyDescent="0.2">
      <c r="B3005" s="533">
        <v>3511</v>
      </c>
      <c r="C3005" s="533" t="s">
        <v>1600</v>
      </c>
      <c r="D3005" s="656" t="s">
        <v>425</v>
      </c>
      <c r="E3005" s="534">
        <v>840.65713900000003</v>
      </c>
    </row>
    <row r="3006" spans="2:5" x14ac:dyDescent="0.2">
      <c r="B3006" s="533">
        <v>3512</v>
      </c>
      <c r="C3006" s="533" t="s">
        <v>3248</v>
      </c>
      <c r="D3006" s="656" t="s">
        <v>425</v>
      </c>
      <c r="E3006" s="534">
        <v>703.5</v>
      </c>
    </row>
    <row r="3007" spans="2:5" x14ac:dyDescent="0.2">
      <c r="B3007" s="533">
        <v>3513</v>
      </c>
      <c r="C3007" s="533" t="s">
        <v>3852</v>
      </c>
      <c r="D3007" s="656" t="s">
        <v>425</v>
      </c>
      <c r="E3007" s="534">
        <v>736.42498799999998</v>
      </c>
    </row>
    <row r="3008" spans="2:5" x14ac:dyDescent="0.2">
      <c r="B3008" s="533">
        <v>3514</v>
      </c>
      <c r="C3008" s="533" t="s">
        <v>5342</v>
      </c>
      <c r="D3008" s="656" t="s">
        <v>425</v>
      </c>
      <c r="E3008" s="534">
        <v>870.67500299999995</v>
      </c>
    </row>
    <row r="3009" spans="2:5" x14ac:dyDescent="0.2">
      <c r="B3009" s="533">
        <v>3515</v>
      </c>
      <c r="C3009" s="533" t="s">
        <v>5026</v>
      </c>
      <c r="D3009" s="656" t="s">
        <v>425</v>
      </c>
      <c r="E3009" s="534">
        <v>826.385716</v>
      </c>
    </row>
    <row r="3010" spans="2:5" x14ac:dyDescent="0.2">
      <c r="B3010" s="533">
        <v>3516</v>
      </c>
      <c r="C3010" s="533" t="s">
        <v>4807</v>
      </c>
      <c r="D3010" s="656" t="s">
        <v>425</v>
      </c>
      <c r="E3010" s="534">
        <v>804.53333499999997</v>
      </c>
    </row>
    <row r="3011" spans="2:5" x14ac:dyDescent="0.2">
      <c r="B3011" s="533">
        <v>3517</v>
      </c>
      <c r="C3011" s="533" t="s">
        <v>5541</v>
      </c>
      <c r="D3011" s="656" t="s">
        <v>425</v>
      </c>
      <c r="E3011" s="534">
        <v>904.50000799999998</v>
      </c>
    </row>
    <row r="3012" spans="2:5" x14ac:dyDescent="0.2">
      <c r="B3012" s="533">
        <v>3518</v>
      </c>
      <c r="C3012" s="533" t="s">
        <v>962</v>
      </c>
      <c r="D3012" s="656" t="s">
        <v>425</v>
      </c>
      <c r="E3012" s="534">
        <v>830.5</v>
      </c>
    </row>
    <row r="3013" spans="2:5" x14ac:dyDescent="0.2">
      <c r="B3013" s="533">
        <v>3519</v>
      </c>
      <c r="C3013" s="533" t="s">
        <v>6729</v>
      </c>
      <c r="D3013" s="656" t="s">
        <v>425</v>
      </c>
      <c r="E3013" s="534">
        <v>776.70000100000004</v>
      </c>
    </row>
    <row r="3014" spans="2:5" x14ac:dyDescent="0.2">
      <c r="B3014" s="533">
        <v>3520</v>
      </c>
      <c r="C3014" s="533" t="s">
        <v>6744</v>
      </c>
      <c r="D3014" s="656" t="s">
        <v>425</v>
      </c>
      <c r="E3014" s="534">
        <v>794.59999100000005</v>
      </c>
    </row>
    <row r="3015" spans="2:5" x14ac:dyDescent="0.2">
      <c r="B3015" s="533">
        <v>3521</v>
      </c>
      <c r="C3015" s="533" t="s">
        <v>3015</v>
      </c>
      <c r="D3015" s="656" t="s">
        <v>425</v>
      </c>
      <c r="E3015" s="534">
        <v>692.14000199999998</v>
      </c>
    </row>
    <row r="3016" spans="2:5" x14ac:dyDescent="0.2">
      <c r="B3016" s="533">
        <v>3522</v>
      </c>
      <c r="C3016" s="533" t="s">
        <v>6851</v>
      </c>
      <c r="D3016" s="656" t="s">
        <v>425</v>
      </c>
      <c r="E3016" s="534">
        <v>729.95999800000004</v>
      </c>
    </row>
    <row r="3017" spans="2:5" x14ac:dyDescent="0.2">
      <c r="B3017" s="533">
        <v>3523</v>
      </c>
      <c r="C3017" s="533" t="s">
        <v>6864</v>
      </c>
      <c r="D3017" s="656" t="s">
        <v>425</v>
      </c>
      <c r="E3017" s="534">
        <v>928.64545799999996</v>
      </c>
    </row>
    <row r="3018" spans="2:5" x14ac:dyDescent="0.2">
      <c r="B3018" s="533">
        <v>3524</v>
      </c>
      <c r="C3018" s="533" t="s">
        <v>6926</v>
      </c>
      <c r="D3018" s="656" t="s">
        <v>425</v>
      </c>
      <c r="E3018" s="534">
        <v>862.125</v>
      </c>
    </row>
    <row r="3019" spans="2:5" x14ac:dyDescent="0.2">
      <c r="B3019" s="533">
        <v>3525</v>
      </c>
      <c r="C3019" s="533" t="s">
        <v>6942</v>
      </c>
      <c r="D3019" s="656" t="s">
        <v>425</v>
      </c>
      <c r="E3019" s="534">
        <v>744.79998799999998</v>
      </c>
    </row>
    <row r="3020" spans="2:5" x14ac:dyDescent="0.2">
      <c r="B3020" s="533">
        <v>3526</v>
      </c>
      <c r="C3020" s="533" t="s">
        <v>6943</v>
      </c>
      <c r="D3020" s="656" t="s">
        <v>425</v>
      </c>
      <c r="E3020" s="534">
        <v>703.94000200000005</v>
      </c>
    </row>
    <row r="3021" spans="2:5" x14ac:dyDescent="0.2">
      <c r="B3021" s="533">
        <v>3527</v>
      </c>
      <c r="C3021" s="533" t="s">
        <v>5562</v>
      </c>
      <c r="D3021" s="656" t="s">
        <v>425</v>
      </c>
      <c r="E3021" s="534">
        <v>907.14999399999999</v>
      </c>
    </row>
    <row r="3022" spans="2:5" x14ac:dyDescent="0.2">
      <c r="B3022" s="533">
        <v>3528</v>
      </c>
      <c r="C3022" s="533" t="s">
        <v>4988</v>
      </c>
      <c r="D3022" s="656" t="s">
        <v>425</v>
      </c>
      <c r="E3022" s="534">
        <v>822.86665900000003</v>
      </c>
    </row>
    <row r="3023" spans="2:5" x14ac:dyDescent="0.2">
      <c r="B3023" s="533">
        <v>3529</v>
      </c>
      <c r="C3023" s="533" t="s">
        <v>4886</v>
      </c>
      <c r="D3023" s="656" t="s">
        <v>425</v>
      </c>
      <c r="E3023" s="534">
        <v>811.63076999999998</v>
      </c>
    </row>
    <row r="3024" spans="2:5" x14ac:dyDescent="0.2">
      <c r="B3024" s="533">
        <v>3530</v>
      </c>
      <c r="C3024" s="533" t="s">
        <v>5399</v>
      </c>
      <c r="D3024" s="656" t="s">
        <v>425</v>
      </c>
      <c r="E3024" s="534">
        <v>880.17000099999996</v>
      </c>
    </row>
    <row r="3025" spans="2:5" x14ac:dyDescent="0.2">
      <c r="B3025" s="533">
        <v>3531</v>
      </c>
      <c r="C3025" s="533" t="s">
        <v>3817</v>
      </c>
      <c r="D3025" s="656" t="s">
        <v>425</v>
      </c>
      <c r="E3025" s="534">
        <v>734.16666699999996</v>
      </c>
    </row>
    <row r="3026" spans="2:5" x14ac:dyDescent="0.2">
      <c r="B3026" s="533">
        <v>3532</v>
      </c>
      <c r="C3026" s="533" t="s">
        <v>4483</v>
      </c>
      <c r="D3026" s="656" t="s">
        <v>425</v>
      </c>
      <c r="E3026" s="534">
        <v>779.45999800000004</v>
      </c>
    </row>
    <row r="3027" spans="2:5" x14ac:dyDescent="0.2">
      <c r="B3027" s="533">
        <v>3533</v>
      </c>
      <c r="C3027" s="533" t="s">
        <v>3896</v>
      </c>
      <c r="D3027" s="656" t="s">
        <v>425</v>
      </c>
      <c r="E3027" s="534">
        <v>739.41427999999996</v>
      </c>
    </row>
    <row r="3028" spans="2:5" x14ac:dyDescent="0.2">
      <c r="B3028" s="533">
        <v>3534</v>
      </c>
      <c r="C3028" s="533" t="s">
        <v>4171</v>
      </c>
      <c r="D3028" s="656" t="s">
        <v>425</v>
      </c>
      <c r="E3028" s="534">
        <v>756.05712900000003</v>
      </c>
    </row>
    <row r="3029" spans="2:5" x14ac:dyDescent="0.2">
      <c r="B3029" s="533">
        <v>3535</v>
      </c>
      <c r="C3029" s="533" t="s">
        <v>4011</v>
      </c>
      <c r="D3029" s="656" t="s">
        <v>425</v>
      </c>
      <c r="E3029" s="534">
        <v>746.52500199999997</v>
      </c>
    </row>
    <row r="3030" spans="2:5" x14ac:dyDescent="0.2">
      <c r="B3030" s="533">
        <v>3536</v>
      </c>
      <c r="C3030" s="533" t="s">
        <v>3922</v>
      </c>
      <c r="D3030" s="656" t="s">
        <v>425</v>
      </c>
      <c r="E3030" s="534">
        <v>740.50001499999996</v>
      </c>
    </row>
    <row r="3031" spans="2:5" x14ac:dyDescent="0.2">
      <c r="B3031" s="533">
        <v>3537</v>
      </c>
      <c r="C3031" s="533" t="s">
        <v>6989</v>
      </c>
      <c r="D3031" s="656" t="s">
        <v>425</v>
      </c>
      <c r="E3031" s="534">
        <v>800.41427999999996</v>
      </c>
    </row>
    <row r="3032" spans="2:5" x14ac:dyDescent="0.2">
      <c r="B3032" s="533">
        <v>3538</v>
      </c>
      <c r="C3032" s="533" t="s">
        <v>4702</v>
      </c>
      <c r="D3032" s="656" t="s">
        <v>425</v>
      </c>
      <c r="E3032" s="534">
        <v>797.12499200000002</v>
      </c>
    </row>
    <row r="3033" spans="2:5" x14ac:dyDescent="0.2">
      <c r="B3033" s="533">
        <v>3539</v>
      </c>
      <c r="C3033" s="533" t="s">
        <v>5609</v>
      </c>
      <c r="D3033" s="656" t="s">
        <v>425</v>
      </c>
      <c r="E3033" s="534">
        <v>916.088888</v>
      </c>
    </row>
    <row r="3034" spans="2:5" x14ac:dyDescent="0.2">
      <c r="B3034" s="533">
        <v>3540</v>
      </c>
      <c r="C3034" s="533" t="s">
        <v>5104</v>
      </c>
      <c r="D3034" s="656" t="s">
        <v>425</v>
      </c>
      <c r="E3034" s="534">
        <v>834.66154100000006</v>
      </c>
    </row>
    <row r="3035" spans="2:5" x14ac:dyDescent="0.2">
      <c r="B3035" s="533">
        <v>3541</v>
      </c>
      <c r="C3035" s="533" t="s">
        <v>7033</v>
      </c>
      <c r="D3035" s="656" t="s">
        <v>425</v>
      </c>
      <c r="E3035" s="534">
        <v>859.99998500000004</v>
      </c>
    </row>
    <row r="3036" spans="2:5" x14ac:dyDescent="0.2">
      <c r="B3036" s="533">
        <v>3542</v>
      </c>
      <c r="C3036" s="533" t="s">
        <v>5047</v>
      </c>
      <c r="D3036" s="656" t="s">
        <v>425</v>
      </c>
      <c r="E3036" s="534">
        <v>828.97000100000002</v>
      </c>
    </row>
    <row r="3037" spans="2:5" x14ac:dyDescent="0.2">
      <c r="B3037" s="533">
        <v>3543</v>
      </c>
      <c r="C3037" s="533" t="s">
        <v>2096</v>
      </c>
      <c r="D3037" s="656" t="s">
        <v>425</v>
      </c>
      <c r="E3037" s="534">
        <v>832.66666699999996</v>
      </c>
    </row>
    <row r="3038" spans="2:5" x14ac:dyDescent="0.2">
      <c r="B3038" s="533">
        <v>3544</v>
      </c>
      <c r="C3038" s="533" t="s">
        <v>5225</v>
      </c>
      <c r="D3038" s="656" t="s">
        <v>425</v>
      </c>
      <c r="E3038" s="534">
        <v>851.375</v>
      </c>
    </row>
    <row r="3039" spans="2:5" x14ac:dyDescent="0.2">
      <c r="B3039" s="533">
        <v>3545</v>
      </c>
      <c r="C3039" s="533" t="s">
        <v>7057</v>
      </c>
      <c r="D3039" s="656" t="s">
        <v>425</v>
      </c>
      <c r="E3039" s="534">
        <v>732.90002400000003</v>
      </c>
    </row>
    <row r="3040" spans="2:5" x14ac:dyDescent="0.2">
      <c r="B3040" s="533">
        <v>3546</v>
      </c>
      <c r="C3040" s="533" t="s">
        <v>4941</v>
      </c>
      <c r="D3040" s="656" t="s">
        <v>425</v>
      </c>
      <c r="E3040" s="534">
        <v>816.5</v>
      </c>
    </row>
    <row r="3041" spans="2:5" x14ac:dyDescent="0.2">
      <c r="B3041" s="533">
        <v>3547</v>
      </c>
      <c r="C3041" s="533" t="s">
        <v>4507</v>
      </c>
      <c r="D3041" s="656" t="s">
        <v>425</v>
      </c>
      <c r="E3041" s="534">
        <v>780.82857000000001</v>
      </c>
    </row>
    <row r="3042" spans="2:5" x14ac:dyDescent="0.2">
      <c r="B3042" s="533">
        <v>3548</v>
      </c>
      <c r="C3042" s="533" t="s">
        <v>2971</v>
      </c>
      <c r="D3042" s="656" t="s">
        <v>425</v>
      </c>
      <c r="E3042" s="534">
        <v>841.92000700000006</v>
      </c>
    </row>
    <row r="3043" spans="2:5" x14ac:dyDescent="0.2">
      <c r="B3043" s="533">
        <v>3549</v>
      </c>
      <c r="C3043" s="533" t="s">
        <v>5093</v>
      </c>
      <c r="D3043" s="656" t="s">
        <v>425</v>
      </c>
      <c r="E3043" s="534">
        <v>833.29998799999998</v>
      </c>
    </row>
    <row r="3044" spans="2:5" x14ac:dyDescent="0.2">
      <c r="B3044" s="533">
        <v>3550</v>
      </c>
      <c r="C3044" s="533" t="s">
        <v>3703</v>
      </c>
      <c r="D3044" s="656" t="s">
        <v>425</v>
      </c>
      <c r="E3044" s="534">
        <v>727.83333300000004</v>
      </c>
    </row>
    <row r="3045" spans="2:5" x14ac:dyDescent="0.2">
      <c r="B3045" s="533">
        <v>3551</v>
      </c>
      <c r="C3045" s="533" t="s">
        <v>4577</v>
      </c>
      <c r="D3045" s="656" t="s">
        <v>425</v>
      </c>
      <c r="E3045" s="534">
        <v>786.73999000000003</v>
      </c>
    </row>
    <row r="3046" spans="2:5" x14ac:dyDescent="0.2">
      <c r="B3046" s="533">
        <v>3552</v>
      </c>
      <c r="C3046" s="533" t="s">
        <v>1125</v>
      </c>
      <c r="D3046" s="656" t="s">
        <v>425</v>
      </c>
      <c r="E3046" s="534">
        <v>723.35999800000002</v>
      </c>
    </row>
    <row r="3047" spans="2:5" x14ac:dyDescent="0.2">
      <c r="B3047" s="533">
        <v>3553</v>
      </c>
      <c r="C3047" s="533" t="s">
        <v>3567</v>
      </c>
      <c r="D3047" s="656" t="s">
        <v>425</v>
      </c>
      <c r="E3047" s="534">
        <v>719.96667500000001</v>
      </c>
    </row>
    <row r="3048" spans="2:5" x14ac:dyDescent="0.2">
      <c r="B3048" s="533">
        <v>3554</v>
      </c>
      <c r="C3048" s="533" t="s">
        <v>5181</v>
      </c>
      <c r="D3048" s="656" t="s">
        <v>425</v>
      </c>
      <c r="E3048" s="534">
        <v>844.66666699999996</v>
      </c>
    </row>
    <row r="3049" spans="2:5" x14ac:dyDescent="0.2">
      <c r="B3049" s="533">
        <v>3555</v>
      </c>
      <c r="C3049" s="533" t="s">
        <v>691</v>
      </c>
      <c r="D3049" s="656" t="s">
        <v>425</v>
      </c>
      <c r="E3049" s="534">
        <v>889.26666899999998</v>
      </c>
    </row>
    <row r="3050" spans="2:5" x14ac:dyDescent="0.2">
      <c r="B3050" s="533">
        <v>3556</v>
      </c>
      <c r="C3050" s="533" t="s">
        <v>3758</v>
      </c>
      <c r="D3050" s="656" t="s">
        <v>425</v>
      </c>
      <c r="E3050" s="534">
        <v>731.09997599999997</v>
      </c>
    </row>
    <row r="3051" spans="2:5" x14ac:dyDescent="0.2">
      <c r="B3051" s="533">
        <v>3557</v>
      </c>
      <c r="C3051" s="533" t="s">
        <v>4940</v>
      </c>
      <c r="D3051" s="656" t="s">
        <v>425</v>
      </c>
      <c r="E3051" s="534">
        <v>816.48999600000002</v>
      </c>
    </row>
    <row r="3052" spans="2:5" x14ac:dyDescent="0.2">
      <c r="B3052" s="533">
        <v>3558</v>
      </c>
      <c r="C3052" s="533" t="s">
        <v>5344</v>
      </c>
      <c r="D3052" s="656" t="s">
        <v>425</v>
      </c>
      <c r="E3052" s="534">
        <v>870.9</v>
      </c>
    </row>
    <row r="3053" spans="2:5" x14ac:dyDescent="0.2">
      <c r="B3053" s="533">
        <v>3559</v>
      </c>
      <c r="C3053" s="533" t="s">
        <v>3574</v>
      </c>
      <c r="D3053" s="656" t="s">
        <v>425</v>
      </c>
      <c r="E3053" s="534">
        <v>720.40000699999996</v>
      </c>
    </row>
    <row r="3054" spans="2:5" x14ac:dyDescent="0.2">
      <c r="B3054" s="533">
        <v>3560</v>
      </c>
      <c r="C3054" s="533" t="s">
        <v>4758</v>
      </c>
      <c r="D3054" s="656" t="s">
        <v>425</v>
      </c>
      <c r="E3054" s="534">
        <v>801.52666399999998</v>
      </c>
    </row>
    <row r="3055" spans="2:5" x14ac:dyDescent="0.2">
      <c r="B3055" s="533">
        <v>3561</v>
      </c>
      <c r="C3055" s="533" t="s">
        <v>4781</v>
      </c>
      <c r="D3055" s="656" t="s">
        <v>425</v>
      </c>
      <c r="E3055" s="534">
        <v>802.78332499999999</v>
      </c>
    </row>
    <row r="3056" spans="2:5" x14ac:dyDescent="0.2">
      <c r="B3056" s="533">
        <v>3562</v>
      </c>
      <c r="C3056" s="533" t="s">
        <v>5315</v>
      </c>
      <c r="D3056" s="656" t="s">
        <v>425</v>
      </c>
      <c r="E3056" s="534">
        <v>866.56667100000004</v>
      </c>
    </row>
    <row r="3057" spans="2:5" x14ac:dyDescent="0.2">
      <c r="B3057" s="533">
        <v>3563</v>
      </c>
      <c r="C3057" s="533" t="s">
        <v>4415</v>
      </c>
      <c r="D3057" s="656" t="s">
        <v>425</v>
      </c>
      <c r="E3057" s="534">
        <v>774.77500199999997</v>
      </c>
    </row>
    <row r="3058" spans="2:5" x14ac:dyDescent="0.2">
      <c r="B3058" s="533">
        <v>3564</v>
      </c>
      <c r="C3058" s="533" t="s">
        <v>6959</v>
      </c>
      <c r="D3058" s="656" t="s">
        <v>425</v>
      </c>
      <c r="E3058" s="534">
        <v>721.76363900000001</v>
      </c>
    </row>
    <row r="3059" spans="2:5" x14ac:dyDescent="0.2">
      <c r="B3059" s="533">
        <v>3565</v>
      </c>
      <c r="C3059" s="533" t="s">
        <v>3753</v>
      </c>
      <c r="D3059" s="656" t="s">
        <v>425</v>
      </c>
      <c r="E3059" s="534">
        <v>730.75</v>
      </c>
    </row>
    <row r="3060" spans="2:5" x14ac:dyDescent="0.2">
      <c r="B3060" s="533">
        <v>3566</v>
      </c>
      <c r="C3060" s="533" t="s">
        <v>4905</v>
      </c>
      <c r="D3060" s="656" t="s">
        <v>425</v>
      </c>
      <c r="E3060" s="534">
        <v>813.55000299999995</v>
      </c>
    </row>
    <row r="3061" spans="2:5" x14ac:dyDescent="0.2">
      <c r="B3061" s="533">
        <v>3567</v>
      </c>
      <c r="C3061" s="533" t="s">
        <v>7390</v>
      </c>
      <c r="D3061" s="656" t="s">
        <v>425</v>
      </c>
      <c r="E3061" s="534">
        <v>696.36667899999998</v>
      </c>
    </row>
    <row r="3062" spans="2:5" x14ac:dyDescent="0.2">
      <c r="B3062" s="533">
        <v>3568</v>
      </c>
      <c r="C3062" s="533" t="s">
        <v>7391</v>
      </c>
      <c r="D3062" s="656" t="s">
        <v>425</v>
      </c>
      <c r="E3062" s="534">
        <v>718.53332499999999</v>
      </c>
    </row>
    <row r="3063" spans="2:5" x14ac:dyDescent="0.2">
      <c r="B3063" s="533">
        <v>3569</v>
      </c>
      <c r="C3063" s="533" t="s">
        <v>4340</v>
      </c>
      <c r="D3063" s="656" t="s">
        <v>425</v>
      </c>
      <c r="E3063" s="534">
        <v>768.11249499999997</v>
      </c>
    </row>
    <row r="3064" spans="2:5" x14ac:dyDescent="0.2">
      <c r="B3064" s="533">
        <v>3570</v>
      </c>
      <c r="C3064" s="533" t="s">
        <v>6505</v>
      </c>
      <c r="D3064" s="656" t="s">
        <v>425</v>
      </c>
      <c r="E3064" s="534">
        <v>746.10001399999999</v>
      </c>
    </row>
    <row r="3065" spans="2:5" x14ac:dyDescent="0.2">
      <c r="B3065" s="533">
        <v>3571</v>
      </c>
      <c r="C3065" s="533" t="s">
        <v>1431</v>
      </c>
      <c r="D3065" s="656" t="s">
        <v>425</v>
      </c>
      <c r="E3065" s="534">
        <v>763.09999600000003</v>
      </c>
    </row>
    <row r="3066" spans="2:5" x14ac:dyDescent="0.2">
      <c r="B3066" s="533">
        <v>3572</v>
      </c>
      <c r="C3066" s="533" t="s">
        <v>5451</v>
      </c>
      <c r="D3066" s="656" t="s">
        <v>425</v>
      </c>
      <c r="E3066" s="534">
        <v>890.10000600000001</v>
      </c>
    </row>
    <row r="3067" spans="2:5" x14ac:dyDescent="0.2">
      <c r="B3067" s="533">
        <v>3573</v>
      </c>
      <c r="C3067" s="533" t="s">
        <v>4453</v>
      </c>
      <c r="D3067" s="656" t="s">
        <v>425</v>
      </c>
      <c r="E3067" s="534">
        <v>777.53332499999999</v>
      </c>
    </row>
    <row r="3068" spans="2:5" x14ac:dyDescent="0.2">
      <c r="B3068" s="533">
        <v>3574</v>
      </c>
      <c r="C3068" s="533" t="s">
        <v>3571</v>
      </c>
      <c r="D3068" s="656" t="s">
        <v>425</v>
      </c>
      <c r="E3068" s="534">
        <v>720.28000499999996</v>
      </c>
    </row>
    <row r="3069" spans="2:5" x14ac:dyDescent="0.2">
      <c r="B3069" s="533">
        <v>3575</v>
      </c>
      <c r="C3069" s="533" t="s">
        <v>4046</v>
      </c>
      <c r="D3069" s="656" t="s">
        <v>425</v>
      </c>
      <c r="E3069" s="534">
        <v>748.64999399999999</v>
      </c>
    </row>
    <row r="3070" spans="2:5" x14ac:dyDescent="0.2">
      <c r="B3070" s="533">
        <v>3576</v>
      </c>
      <c r="C3070" s="533" t="s">
        <v>2723</v>
      </c>
      <c r="D3070" s="656" t="s">
        <v>425</v>
      </c>
      <c r="E3070" s="534">
        <v>753.32499700000005</v>
      </c>
    </row>
    <row r="3071" spans="2:5" x14ac:dyDescent="0.2">
      <c r="B3071" s="533">
        <v>3577</v>
      </c>
      <c r="C3071" s="533" t="s">
        <v>5660</v>
      </c>
      <c r="D3071" s="656" t="s">
        <v>425</v>
      </c>
      <c r="E3071" s="534">
        <v>930.56666700000005</v>
      </c>
    </row>
    <row r="3072" spans="2:5" x14ac:dyDescent="0.2">
      <c r="B3072" s="533">
        <v>3578</v>
      </c>
      <c r="C3072" s="533" t="s">
        <v>5677</v>
      </c>
      <c r="D3072" s="656" t="s">
        <v>425</v>
      </c>
      <c r="E3072" s="534">
        <v>934.70001200000002</v>
      </c>
    </row>
    <row r="3073" spans="2:5" x14ac:dyDescent="0.2">
      <c r="B3073" s="533">
        <v>3579</v>
      </c>
      <c r="C3073" s="533" t="s">
        <v>4466</v>
      </c>
      <c r="D3073" s="656" t="s">
        <v>425</v>
      </c>
      <c r="E3073" s="534">
        <v>867.40000399999997</v>
      </c>
    </row>
    <row r="3074" spans="2:5" x14ac:dyDescent="0.2">
      <c r="B3074" s="533">
        <v>3580</v>
      </c>
      <c r="C3074" s="533" t="s">
        <v>3623</v>
      </c>
      <c r="D3074" s="656" t="s">
        <v>425</v>
      </c>
      <c r="E3074" s="534">
        <v>723.66667700000005</v>
      </c>
    </row>
    <row r="3075" spans="2:5" x14ac:dyDescent="0.2">
      <c r="B3075" s="533">
        <v>3581</v>
      </c>
      <c r="C3075" s="533" t="s">
        <v>5377</v>
      </c>
      <c r="D3075" s="656" t="s">
        <v>425</v>
      </c>
      <c r="E3075" s="534">
        <v>875.81111699999997</v>
      </c>
    </row>
    <row r="3076" spans="2:5" x14ac:dyDescent="0.2">
      <c r="B3076" s="533">
        <v>3582</v>
      </c>
      <c r="C3076" s="533" t="s">
        <v>5240</v>
      </c>
      <c r="D3076" s="656" t="s">
        <v>425</v>
      </c>
      <c r="E3076" s="534">
        <v>853.41818499999999</v>
      </c>
    </row>
    <row r="3077" spans="2:5" x14ac:dyDescent="0.2">
      <c r="B3077" s="533">
        <v>3583</v>
      </c>
      <c r="C3077" s="533" t="s">
        <v>5560</v>
      </c>
      <c r="D3077" s="656" t="s">
        <v>425</v>
      </c>
      <c r="E3077" s="534">
        <v>907.07499700000005</v>
      </c>
    </row>
    <row r="3078" spans="2:5" x14ac:dyDescent="0.2">
      <c r="B3078" s="533">
        <v>3584</v>
      </c>
      <c r="C3078" s="533" t="s">
        <v>4293</v>
      </c>
      <c r="D3078" s="656" t="s">
        <v>425</v>
      </c>
      <c r="E3078" s="534">
        <v>764.83749399999999</v>
      </c>
    </row>
    <row r="3079" spans="2:5" x14ac:dyDescent="0.2">
      <c r="B3079" s="533">
        <v>3585</v>
      </c>
      <c r="C3079" s="533" t="s">
        <v>952</v>
      </c>
      <c r="D3079" s="656" t="s">
        <v>425</v>
      </c>
      <c r="E3079" s="534">
        <v>733.96667500000001</v>
      </c>
    </row>
    <row r="3080" spans="2:5" x14ac:dyDescent="0.2">
      <c r="B3080" s="533">
        <v>3586</v>
      </c>
      <c r="C3080" s="533" t="s">
        <v>5494</v>
      </c>
      <c r="D3080" s="656" t="s">
        <v>425</v>
      </c>
      <c r="E3080" s="534">
        <v>896.16665599999999</v>
      </c>
    </row>
    <row r="3081" spans="2:5" x14ac:dyDescent="0.2">
      <c r="B3081" s="533">
        <v>3587</v>
      </c>
      <c r="C3081" s="533" t="s">
        <v>7330</v>
      </c>
      <c r="D3081" s="656" t="s">
        <v>425</v>
      </c>
      <c r="E3081" s="534">
        <v>876.29998799999998</v>
      </c>
    </row>
    <row r="3082" spans="2:5" x14ac:dyDescent="0.2">
      <c r="B3082" s="533">
        <v>3601</v>
      </c>
      <c r="C3082" s="533" t="s">
        <v>1527</v>
      </c>
      <c r="D3082" s="656" t="s">
        <v>429</v>
      </c>
      <c r="E3082" s="534">
        <v>622.62221999999997</v>
      </c>
    </row>
    <row r="3083" spans="2:5" x14ac:dyDescent="0.2">
      <c r="B3083" s="533">
        <v>3602</v>
      </c>
      <c r="C3083" s="533" t="s">
        <v>1454</v>
      </c>
      <c r="D3083" s="656" t="s">
        <v>429</v>
      </c>
      <c r="E3083" s="534">
        <v>618.35555699999998</v>
      </c>
    </row>
    <row r="3084" spans="2:5" x14ac:dyDescent="0.2">
      <c r="B3084" s="533">
        <v>3603</v>
      </c>
      <c r="C3084" s="533" t="s">
        <v>6589</v>
      </c>
      <c r="D3084" s="656" t="s">
        <v>429</v>
      </c>
      <c r="E3084" s="534">
        <v>609.43335000000002</v>
      </c>
    </row>
    <row r="3085" spans="2:5" x14ac:dyDescent="0.2">
      <c r="B3085" s="533">
        <v>3604</v>
      </c>
      <c r="C3085" s="533" t="s">
        <v>1170</v>
      </c>
      <c r="D3085" s="656" t="s">
        <v>429</v>
      </c>
      <c r="E3085" s="534">
        <v>602.89999799999998</v>
      </c>
    </row>
    <row r="3086" spans="2:5" x14ac:dyDescent="0.2">
      <c r="B3086" s="533">
        <v>3605</v>
      </c>
      <c r="C3086" s="533" t="s">
        <v>1143</v>
      </c>
      <c r="D3086" s="656" t="s">
        <v>429</v>
      </c>
      <c r="E3086" s="534">
        <v>601.19998199999998</v>
      </c>
    </row>
    <row r="3087" spans="2:5" x14ac:dyDescent="0.2">
      <c r="B3087" s="533">
        <v>3606</v>
      </c>
      <c r="C3087" s="533" t="s">
        <v>1300</v>
      </c>
      <c r="D3087" s="656" t="s">
        <v>429</v>
      </c>
      <c r="E3087" s="534">
        <v>610.31000400000005</v>
      </c>
    </row>
    <row r="3088" spans="2:5" x14ac:dyDescent="0.2">
      <c r="B3088" s="533">
        <v>3607</v>
      </c>
      <c r="C3088" s="533" t="s">
        <v>1700</v>
      </c>
      <c r="D3088" s="656" t="s">
        <v>429</v>
      </c>
      <c r="E3088" s="534">
        <v>632.65000899999995</v>
      </c>
    </row>
    <row r="3089" spans="2:5" x14ac:dyDescent="0.2">
      <c r="B3089" s="533">
        <v>3608</v>
      </c>
      <c r="C3089" s="533" t="s">
        <v>2156</v>
      </c>
      <c r="D3089" s="656" t="s">
        <v>429</v>
      </c>
      <c r="E3089" s="534">
        <v>651.44445099999996</v>
      </c>
    </row>
    <row r="3090" spans="2:5" x14ac:dyDescent="0.2">
      <c r="B3090" s="533">
        <v>3609</v>
      </c>
      <c r="C3090" s="533" t="s">
        <v>1587</v>
      </c>
      <c r="D3090" s="656" t="s">
        <v>429</v>
      </c>
      <c r="E3090" s="534">
        <v>626.17501100000004</v>
      </c>
    </row>
    <row r="3091" spans="2:5" x14ac:dyDescent="0.2">
      <c r="B3091" s="533">
        <v>3610</v>
      </c>
      <c r="C3091" s="533" t="s">
        <v>1481</v>
      </c>
      <c r="D3091" s="656" t="s">
        <v>429</v>
      </c>
      <c r="E3091" s="534">
        <v>619.61427500000002</v>
      </c>
    </row>
    <row r="3092" spans="2:5" x14ac:dyDescent="0.2">
      <c r="B3092" s="533">
        <v>3611</v>
      </c>
      <c r="C3092" s="533" t="s">
        <v>824</v>
      </c>
      <c r="D3092" s="656" t="s">
        <v>429</v>
      </c>
      <c r="E3092" s="534">
        <v>645.89999399999999</v>
      </c>
    </row>
    <row r="3093" spans="2:5" x14ac:dyDescent="0.2">
      <c r="B3093" s="533">
        <v>3612</v>
      </c>
      <c r="C3093" s="533" t="s">
        <v>1860</v>
      </c>
      <c r="D3093" s="656" t="s">
        <v>429</v>
      </c>
      <c r="E3093" s="534">
        <v>645.77499399999999</v>
      </c>
    </row>
    <row r="3094" spans="2:5" x14ac:dyDescent="0.2">
      <c r="B3094" s="533">
        <v>3613</v>
      </c>
      <c r="C3094" s="533" t="s">
        <v>1798</v>
      </c>
      <c r="D3094" s="656" t="s">
        <v>429</v>
      </c>
      <c r="E3094" s="534">
        <v>636.43332899999996</v>
      </c>
    </row>
    <row r="3095" spans="2:5" x14ac:dyDescent="0.2">
      <c r="B3095" s="533">
        <v>3614</v>
      </c>
      <c r="C3095" s="533" t="s">
        <v>2072</v>
      </c>
      <c r="D3095" s="656" t="s">
        <v>429</v>
      </c>
      <c r="E3095" s="534">
        <v>647.259998</v>
      </c>
    </row>
    <row r="3096" spans="2:5" x14ac:dyDescent="0.2">
      <c r="B3096" s="533">
        <v>3615</v>
      </c>
      <c r="C3096" s="533" t="s">
        <v>1208</v>
      </c>
      <c r="D3096" s="656" t="s">
        <v>429</v>
      </c>
      <c r="E3096" s="534">
        <v>605</v>
      </c>
    </row>
    <row r="3097" spans="2:5" x14ac:dyDescent="0.2">
      <c r="B3097" s="533">
        <v>3616</v>
      </c>
      <c r="C3097" s="533" t="s">
        <v>1254</v>
      </c>
      <c r="D3097" s="656" t="s">
        <v>429</v>
      </c>
      <c r="E3097" s="534">
        <v>607.28749800000003</v>
      </c>
    </row>
    <row r="3098" spans="2:5" x14ac:dyDescent="0.2">
      <c r="B3098" s="533">
        <v>3617</v>
      </c>
      <c r="C3098" s="533" t="s">
        <v>1202</v>
      </c>
      <c r="D3098" s="656" t="s">
        <v>429</v>
      </c>
      <c r="E3098" s="534">
        <v>604.44998199999998</v>
      </c>
    </row>
    <row r="3099" spans="2:5" x14ac:dyDescent="0.2">
      <c r="B3099" s="533">
        <v>3618</v>
      </c>
      <c r="C3099" s="533" t="s">
        <v>1297</v>
      </c>
      <c r="D3099" s="656" t="s">
        <v>429</v>
      </c>
      <c r="E3099" s="534">
        <v>669.16666199999997</v>
      </c>
    </row>
    <row r="3100" spans="2:5" x14ac:dyDescent="0.2">
      <c r="B3100" s="533">
        <v>3619</v>
      </c>
      <c r="C3100" s="533" t="s">
        <v>3188</v>
      </c>
      <c r="D3100" s="656" t="s">
        <v>429</v>
      </c>
      <c r="E3100" s="534">
        <v>701</v>
      </c>
    </row>
    <row r="3101" spans="2:5" x14ac:dyDescent="0.2">
      <c r="B3101" s="533">
        <v>3620</v>
      </c>
      <c r="C3101" s="533" t="s">
        <v>6828</v>
      </c>
      <c r="D3101" s="656" t="s">
        <v>429</v>
      </c>
      <c r="E3101" s="534">
        <v>654.00454200000001</v>
      </c>
    </row>
    <row r="3102" spans="2:5" x14ac:dyDescent="0.2">
      <c r="B3102" s="533">
        <v>3621</v>
      </c>
      <c r="C3102" s="533" t="s">
        <v>3312</v>
      </c>
      <c r="D3102" s="656" t="s">
        <v>429</v>
      </c>
      <c r="E3102" s="534">
        <v>707.12222599999996</v>
      </c>
    </row>
    <row r="3103" spans="2:5" x14ac:dyDescent="0.2">
      <c r="B3103" s="533">
        <v>3622</v>
      </c>
      <c r="C3103" s="533" t="s">
        <v>1712</v>
      </c>
      <c r="D3103" s="656" t="s">
        <v>429</v>
      </c>
      <c r="E3103" s="534">
        <v>633.22499800000003</v>
      </c>
    </row>
    <row r="3104" spans="2:5" x14ac:dyDescent="0.2">
      <c r="B3104" s="533">
        <v>3623</v>
      </c>
      <c r="C3104" s="533" t="s">
        <v>1854</v>
      </c>
      <c r="D3104" s="656" t="s">
        <v>429</v>
      </c>
      <c r="E3104" s="534">
        <v>638.52857300000005</v>
      </c>
    </row>
    <row r="3105" spans="2:5" x14ac:dyDescent="0.2">
      <c r="B3105" s="533">
        <v>3624</v>
      </c>
      <c r="C3105" s="533" t="s">
        <v>1589</v>
      </c>
      <c r="D3105" s="656" t="s">
        <v>429</v>
      </c>
      <c r="E3105" s="534">
        <v>626.21998900000006</v>
      </c>
    </row>
    <row r="3106" spans="2:5" x14ac:dyDescent="0.2">
      <c r="B3106" s="533">
        <v>3625</v>
      </c>
      <c r="C3106" s="533" t="s">
        <v>1681</v>
      </c>
      <c r="D3106" s="656" t="s">
        <v>429</v>
      </c>
      <c r="E3106" s="534">
        <v>631.9</v>
      </c>
    </row>
    <row r="3107" spans="2:5" x14ac:dyDescent="0.2">
      <c r="B3107" s="533">
        <v>3626</v>
      </c>
      <c r="C3107" s="533" t="s">
        <v>1844</v>
      </c>
      <c r="D3107" s="656" t="s">
        <v>429</v>
      </c>
      <c r="E3107" s="534">
        <v>637.83331299999998</v>
      </c>
    </row>
    <row r="3108" spans="2:5" x14ac:dyDescent="0.2">
      <c r="B3108" s="533">
        <v>3627</v>
      </c>
      <c r="C3108" s="533" t="s">
        <v>2345</v>
      </c>
      <c r="D3108" s="656" t="s">
        <v>429</v>
      </c>
      <c r="E3108" s="534">
        <v>659.73331700000006</v>
      </c>
    </row>
    <row r="3109" spans="2:5" x14ac:dyDescent="0.2">
      <c r="B3109" s="533">
        <v>3628</v>
      </c>
      <c r="C3109" s="533" t="s">
        <v>6938</v>
      </c>
      <c r="D3109" s="656" t="s">
        <v>429</v>
      </c>
      <c r="E3109" s="534">
        <v>620.54000199999996</v>
      </c>
    </row>
    <row r="3110" spans="2:5" x14ac:dyDescent="0.2">
      <c r="B3110" s="533">
        <v>3629</v>
      </c>
      <c r="C3110" s="533" t="s">
        <v>1805</v>
      </c>
      <c r="D3110" s="656" t="s">
        <v>429</v>
      </c>
      <c r="E3110" s="534">
        <v>636.66666699999996</v>
      </c>
    </row>
    <row r="3111" spans="2:5" x14ac:dyDescent="0.2">
      <c r="B3111" s="533">
        <v>3630</v>
      </c>
      <c r="C3111" s="533" t="s">
        <v>1241</v>
      </c>
      <c r="D3111" s="656" t="s">
        <v>429</v>
      </c>
      <c r="E3111" s="534">
        <v>606.53998999999999</v>
      </c>
    </row>
    <row r="3112" spans="2:5" x14ac:dyDescent="0.2">
      <c r="B3112" s="533">
        <v>3631</v>
      </c>
      <c r="C3112" s="533" t="s">
        <v>2891</v>
      </c>
      <c r="D3112" s="656" t="s">
        <v>429</v>
      </c>
      <c r="E3112" s="534">
        <v>686</v>
      </c>
    </row>
    <row r="3113" spans="2:5" x14ac:dyDescent="0.2">
      <c r="B3113" s="533">
        <v>3632</v>
      </c>
      <c r="C3113" s="533" t="s">
        <v>1787</v>
      </c>
      <c r="D3113" s="656" t="s">
        <v>429</v>
      </c>
      <c r="E3113" s="534">
        <v>635.86154899999997</v>
      </c>
    </row>
    <row r="3114" spans="2:5" x14ac:dyDescent="0.2">
      <c r="B3114" s="533">
        <v>3633</v>
      </c>
      <c r="C3114" s="533" t="s">
        <v>2232</v>
      </c>
      <c r="D3114" s="656" t="s">
        <v>429</v>
      </c>
      <c r="E3114" s="534">
        <v>654.85000600000001</v>
      </c>
    </row>
    <row r="3115" spans="2:5" x14ac:dyDescent="0.2">
      <c r="B3115" s="533">
        <v>3634</v>
      </c>
      <c r="C3115" s="533" t="s">
        <v>2650</v>
      </c>
      <c r="D3115" s="656" t="s">
        <v>429</v>
      </c>
      <c r="E3115" s="534">
        <v>674.26923099999999</v>
      </c>
    </row>
    <row r="3116" spans="2:5" x14ac:dyDescent="0.2">
      <c r="B3116" s="533">
        <v>3635</v>
      </c>
      <c r="C3116" s="533" t="s">
        <v>1187</v>
      </c>
      <c r="D3116" s="656" t="s">
        <v>429</v>
      </c>
      <c r="E3116" s="534">
        <v>603.56667100000004</v>
      </c>
    </row>
    <row r="3117" spans="2:5" x14ac:dyDescent="0.2">
      <c r="B3117" s="533">
        <v>3636</v>
      </c>
      <c r="C3117" s="533" t="s">
        <v>1285</v>
      </c>
      <c r="D3117" s="656" t="s">
        <v>429</v>
      </c>
      <c r="E3117" s="534">
        <v>609.30000099999995</v>
      </c>
    </row>
    <row r="3118" spans="2:5" x14ac:dyDescent="0.2">
      <c r="B3118" s="533">
        <v>3637</v>
      </c>
      <c r="C3118" s="533" t="s">
        <v>1483</v>
      </c>
      <c r="D3118" s="656" t="s">
        <v>429</v>
      </c>
      <c r="E3118" s="534">
        <v>619.67500299999995</v>
      </c>
    </row>
    <row r="3119" spans="2:5" x14ac:dyDescent="0.2">
      <c r="B3119" s="533">
        <v>3638</v>
      </c>
      <c r="C3119" s="533" t="s">
        <v>2986</v>
      </c>
      <c r="D3119" s="656" t="s">
        <v>429</v>
      </c>
      <c r="E3119" s="534">
        <v>690.360006</v>
      </c>
    </row>
    <row r="3120" spans="2:5" x14ac:dyDescent="0.2">
      <c r="B3120" s="533">
        <v>3639</v>
      </c>
      <c r="C3120" s="533" t="s">
        <v>3051</v>
      </c>
      <c r="D3120" s="656" t="s">
        <v>429</v>
      </c>
      <c r="E3120" s="534">
        <v>694.06154200000003</v>
      </c>
    </row>
    <row r="3121" spans="2:5" x14ac:dyDescent="0.2">
      <c r="B3121" s="533">
        <v>3640</v>
      </c>
      <c r="C3121" s="533" t="s">
        <v>1271</v>
      </c>
      <c r="D3121" s="656" t="s">
        <v>429</v>
      </c>
      <c r="E3121" s="534">
        <v>659.28000499999996</v>
      </c>
    </row>
    <row r="3122" spans="2:5" x14ac:dyDescent="0.2">
      <c r="B3122" s="533">
        <v>3641</v>
      </c>
      <c r="C3122" s="533" t="s">
        <v>900</v>
      </c>
      <c r="D3122" s="656" t="s">
        <v>429</v>
      </c>
      <c r="E3122" s="534">
        <v>612.87691600000005</v>
      </c>
    </row>
    <row r="3123" spans="2:5" x14ac:dyDescent="0.2">
      <c r="B3123" s="533">
        <v>3642</v>
      </c>
      <c r="C3123" s="533" t="s">
        <v>7031</v>
      </c>
      <c r="D3123" s="656" t="s">
        <v>429</v>
      </c>
      <c r="E3123" s="534">
        <v>666.01430000000005</v>
      </c>
    </row>
    <row r="3124" spans="2:5" x14ac:dyDescent="0.2">
      <c r="B3124" s="533">
        <v>3643</v>
      </c>
      <c r="C3124" s="533" t="s">
        <v>3850</v>
      </c>
      <c r="D3124" s="656" t="s">
        <v>429</v>
      </c>
      <c r="E3124" s="534">
        <v>736.18946900000003</v>
      </c>
    </row>
    <row r="3125" spans="2:5" x14ac:dyDescent="0.2">
      <c r="B3125" s="533">
        <v>3644</v>
      </c>
      <c r="C3125" s="533" t="s">
        <v>7009</v>
      </c>
      <c r="D3125" s="656" t="s">
        <v>429</v>
      </c>
      <c r="E3125" s="534">
        <v>637.633331</v>
      </c>
    </row>
    <row r="3126" spans="2:5" x14ac:dyDescent="0.2">
      <c r="B3126" s="533">
        <v>3645</v>
      </c>
      <c r="C3126" s="533" t="s">
        <v>3630</v>
      </c>
      <c r="D3126" s="656" t="s">
        <v>429</v>
      </c>
      <c r="E3126" s="534">
        <v>723.87500399999999</v>
      </c>
    </row>
    <row r="3127" spans="2:5" x14ac:dyDescent="0.2">
      <c r="B3127" s="533">
        <v>3646</v>
      </c>
      <c r="C3127" s="533" t="s">
        <v>4446</v>
      </c>
      <c r="D3127" s="656" t="s">
        <v>429</v>
      </c>
      <c r="E3127" s="534">
        <v>777.19999600000006</v>
      </c>
    </row>
    <row r="3128" spans="2:5" x14ac:dyDescent="0.2">
      <c r="B3128" s="533">
        <v>3647</v>
      </c>
      <c r="C3128" s="533" t="s">
        <v>3145</v>
      </c>
      <c r="D3128" s="656" t="s">
        <v>429</v>
      </c>
      <c r="E3128" s="534">
        <v>699.17999299999997</v>
      </c>
    </row>
    <row r="3129" spans="2:5" x14ac:dyDescent="0.2">
      <c r="B3129" s="533">
        <v>3648</v>
      </c>
      <c r="C3129" s="533" t="s">
        <v>6631</v>
      </c>
      <c r="D3129" s="656" t="s">
        <v>429</v>
      </c>
      <c r="E3129" s="534">
        <v>765.15713900000003</v>
      </c>
    </row>
    <row r="3130" spans="2:5" x14ac:dyDescent="0.2">
      <c r="B3130" s="533">
        <v>3649</v>
      </c>
      <c r="C3130" s="533" t="s">
        <v>1865</v>
      </c>
      <c r="D3130" s="656" t="s">
        <v>429</v>
      </c>
      <c r="E3130" s="534">
        <v>638.82498199999998</v>
      </c>
    </row>
    <row r="3131" spans="2:5" x14ac:dyDescent="0.2">
      <c r="B3131" s="533">
        <v>3650</v>
      </c>
      <c r="C3131" s="533" t="s">
        <v>2635</v>
      </c>
      <c r="D3131" s="656" t="s">
        <v>429</v>
      </c>
      <c r="E3131" s="534">
        <v>673.57142899999997</v>
      </c>
    </row>
    <row r="3132" spans="2:5" x14ac:dyDescent="0.2">
      <c r="B3132" s="533">
        <v>3651</v>
      </c>
      <c r="C3132" s="533" t="s">
        <v>2576</v>
      </c>
      <c r="D3132" s="656" t="s">
        <v>415</v>
      </c>
      <c r="E3132" s="534">
        <v>669.93333399999995</v>
      </c>
    </row>
    <row r="3133" spans="2:5" x14ac:dyDescent="0.2">
      <c r="B3133" s="533">
        <v>3652</v>
      </c>
      <c r="C3133" s="533" t="s">
        <v>2998</v>
      </c>
      <c r="D3133" s="656" t="s">
        <v>415</v>
      </c>
      <c r="E3133" s="534">
        <v>691.08333300000004</v>
      </c>
    </row>
    <row r="3134" spans="2:5" x14ac:dyDescent="0.2">
      <c r="B3134" s="533">
        <v>3653</v>
      </c>
      <c r="C3134" s="533" t="s">
        <v>2579</v>
      </c>
      <c r="D3134" s="656" t="s">
        <v>415</v>
      </c>
      <c r="E3134" s="534">
        <v>669.97499100000005</v>
      </c>
    </row>
    <row r="3135" spans="2:5" x14ac:dyDescent="0.2">
      <c r="B3135" s="533">
        <v>3654</v>
      </c>
      <c r="C3135" s="533" t="s">
        <v>2831</v>
      </c>
      <c r="D3135" s="656" t="s">
        <v>415</v>
      </c>
      <c r="E3135" s="534">
        <v>683.66666699999996</v>
      </c>
    </row>
    <row r="3136" spans="2:5" x14ac:dyDescent="0.2">
      <c r="B3136" s="533">
        <v>3655</v>
      </c>
      <c r="C3136" s="533" t="s">
        <v>3031</v>
      </c>
      <c r="D3136" s="656" t="s">
        <v>415</v>
      </c>
      <c r="E3136" s="534">
        <v>692.87499600000001</v>
      </c>
    </row>
    <row r="3137" spans="2:5" x14ac:dyDescent="0.2">
      <c r="B3137" s="533">
        <v>3656</v>
      </c>
      <c r="C3137" s="533" t="s">
        <v>814</v>
      </c>
      <c r="D3137" s="656" t="s">
        <v>415</v>
      </c>
      <c r="E3137" s="534">
        <v>655.64999399999999</v>
      </c>
    </row>
    <row r="3138" spans="2:5" x14ac:dyDescent="0.2">
      <c r="B3138" s="533">
        <v>3657</v>
      </c>
      <c r="C3138" s="533" t="s">
        <v>2527</v>
      </c>
      <c r="D3138" s="656" t="s">
        <v>415</v>
      </c>
      <c r="E3138" s="534">
        <v>668.02000099999998</v>
      </c>
    </row>
    <row r="3139" spans="2:5" x14ac:dyDescent="0.2">
      <c r="B3139" s="533">
        <v>3658</v>
      </c>
      <c r="C3139" s="533" t="s">
        <v>2015</v>
      </c>
      <c r="D3139" s="656" t="s">
        <v>415</v>
      </c>
      <c r="E3139" s="534">
        <v>644.08333300000004</v>
      </c>
    </row>
    <row r="3140" spans="2:5" x14ac:dyDescent="0.2">
      <c r="B3140" s="533">
        <v>3659</v>
      </c>
      <c r="C3140" s="533" t="s">
        <v>2284</v>
      </c>
      <c r="D3140" s="656" t="s">
        <v>415</v>
      </c>
      <c r="E3140" s="534">
        <v>657</v>
      </c>
    </row>
    <row r="3141" spans="2:5" x14ac:dyDescent="0.2">
      <c r="B3141" s="533">
        <v>3660</v>
      </c>
      <c r="C3141" s="533" t="s">
        <v>2087</v>
      </c>
      <c r="D3141" s="656" t="s">
        <v>415</v>
      </c>
      <c r="E3141" s="534">
        <v>648.02000699999996</v>
      </c>
    </row>
    <row r="3142" spans="2:5" x14ac:dyDescent="0.2">
      <c r="B3142" s="533">
        <v>3661</v>
      </c>
      <c r="C3142" s="533" t="s">
        <v>7098</v>
      </c>
      <c r="D3142" s="656" t="s">
        <v>415</v>
      </c>
      <c r="E3142" s="534">
        <v>663.36665900000003</v>
      </c>
    </row>
    <row r="3143" spans="2:5" x14ac:dyDescent="0.2">
      <c r="B3143" s="533">
        <v>3662</v>
      </c>
      <c r="C3143" s="533" t="s">
        <v>6661</v>
      </c>
      <c r="D3143" s="656" t="s">
        <v>415</v>
      </c>
      <c r="E3143" s="534">
        <v>693.86667899999998</v>
      </c>
    </row>
    <row r="3144" spans="2:5" x14ac:dyDescent="0.2">
      <c r="B3144" s="533">
        <v>3663</v>
      </c>
      <c r="C3144" s="533" t="s">
        <v>2506</v>
      </c>
      <c r="D3144" s="656" t="s">
        <v>415</v>
      </c>
      <c r="E3144" s="534">
        <v>666.58000500000003</v>
      </c>
    </row>
    <row r="3145" spans="2:5" x14ac:dyDescent="0.2">
      <c r="B3145" s="533">
        <v>3664</v>
      </c>
      <c r="C3145" s="533" t="s">
        <v>3337</v>
      </c>
      <c r="D3145" s="656" t="s">
        <v>415</v>
      </c>
      <c r="E3145" s="534">
        <v>708.36000999999999</v>
      </c>
    </row>
    <row r="3146" spans="2:5" x14ac:dyDescent="0.2">
      <c r="B3146" s="533">
        <v>3665</v>
      </c>
      <c r="C3146" s="533" t="s">
        <v>1356</v>
      </c>
      <c r="D3146" s="656" t="s">
        <v>415</v>
      </c>
      <c r="E3146" s="534">
        <v>690.94999700000005</v>
      </c>
    </row>
    <row r="3147" spans="2:5" x14ac:dyDescent="0.2">
      <c r="B3147" s="533">
        <v>3666</v>
      </c>
      <c r="C3147" s="533" t="s">
        <v>2387</v>
      </c>
      <c r="D3147" s="656" t="s">
        <v>415</v>
      </c>
      <c r="E3147" s="534">
        <v>661.97500600000001</v>
      </c>
    </row>
    <row r="3148" spans="2:5" x14ac:dyDescent="0.2">
      <c r="B3148" s="533">
        <v>3667</v>
      </c>
      <c r="C3148" s="533" t="s">
        <v>3097</v>
      </c>
      <c r="D3148" s="656" t="s">
        <v>415</v>
      </c>
      <c r="E3148" s="534">
        <v>696.58334400000001</v>
      </c>
    </row>
    <row r="3149" spans="2:5" x14ac:dyDescent="0.2">
      <c r="B3149" s="533">
        <v>3668</v>
      </c>
      <c r="C3149" s="533" t="s">
        <v>2436</v>
      </c>
      <c r="D3149" s="656" t="s">
        <v>415</v>
      </c>
      <c r="E3149" s="534">
        <v>664.03332499999999</v>
      </c>
    </row>
    <row r="3150" spans="2:5" x14ac:dyDescent="0.2">
      <c r="B3150" s="533">
        <v>3669</v>
      </c>
      <c r="C3150" s="533" t="s">
        <v>3081</v>
      </c>
      <c r="D3150" s="656" t="s">
        <v>415</v>
      </c>
      <c r="E3150" s="534">
        <v>695.50001999999995</v>
      </c>
    </row>
    <row r="3151" spans="2:5" x14ac:dyDescent="0.2">
      <c r="B3151" s="533">
        <v>3670</v>
      </c>
      <c r="C3151" s="533" t="s">
        <v>7350</v>
      </c>
      <c r="D3151" s="656" t="s">
        <v>415</v>
      </c>
      <c r="E3151" s="534">
        <v>670.45</v>
      </c>
    </row>
    <row r="3152" spans="2:5" x14ac:dyDescent="0.2">
      <c r="B3152" s="533">
        <v>3672</v>
      </c>
      <c r="C3152" s="533" t="s">
        <v>2856</v>
      </c>
      <c r="D3152" s="656" t="s">
        <v>415</v>
      </c>
      <c r="E3152" s="534">
        <v>684.65002400000003</v>
      </c>
    </row>
    <row r="3153" spans="2:5" x14ac:dyDescent="0.2">
      <c r="B3153" s="533">
        <v>3673</v>
      </c>
      <c r="C3153" s="533" t="s">
        <v>3203</v>
      </c>
      <c r="D3153" s="656" t="s">
        <v>415</v>
      </c>
      <c r="E3153" s="534">
        <v>701.72857699999997</v>
      </c>
    </row>
    <row r="3154" spans="2:5" x14ac:dyDescent="0.2">
      <c r="B3154" s="533">
        <v>3674</v>
      </c>
      <c r="C3154" s="533" t="s">
        <v>6623</v>
      </c>
      <c r="D3154" s="656" t="s">
        <v>415</v>
      </c>
      <c r="E3154" s="534">
        <v>704.81428700000004</v>
      </c>
    </row>
    <row r="3155" spans="2:5" x14ac:dyDescent="0.2">
      <c r="B3155" s="533">
        <v>3675</v>
      </c>
      <c r="C3155" s="533" t="s">
        <v>3045</v>
      </c>
      <c r="D3155" s="656" t="s">
        <v>415</v>
      </c>
      <c r="E3155" s="534">
        <v>693.75454999999999</v>
      </c>
    </row>
    <row r="3156" spans="2:5" x14ac:dyDescent="0.2">
      <c r="B3156" s="533">
        <v>3676</v>
      </c>
      <c r="C3156" s="533" t="s">
        <v>3643</v>
      </c>
      <c r="D3156" s="656" t="s">
        <v>415</v>
      </c>
      <c r="E3156" s="534">
        <v>724.44999700000005</v>
      </c>
    </row>
    <row r="3157" spans="2:5" x14ac:dyDescent="0.2">
      <c r="B3157" s="533">
        <v>3677</v>
      </c>
      <c r="C3157" s="533" t="s">
        <v>3663</v>
      </c>
      <c r="D3157" s="656" t="s">
        <v>415</v>
      </c>
      <c r="E3157" s="534">
        <v>725.65999799999997</v>
      </c>
    </row>
    <row r="3158" spans="2:5" x14ac:dyDescent="0.2">
      <c r="B3158" s="533">
        <v>3678</v>
      </c>
      <c r="C3158" s="533" t="s">
        <v>7403</v>
      </c>
      <c r="D3158" s="656" t="s">
        <v>415</v>
      </c>
      <c r="E3158" s="534">
        <v>739.54998799999998</v>
      </c>
    </row>
    <row r="3159" spans="2:5" x14ac:dyDescent="0.2">
      <c r="B3159" s="533">
        <v>3679</v>
      </c>
      <c r="C3159" s="533" t="s">
        <v>7600</v>
      </c>
      <c r="D3159" s="656" t="s">
        <v>415</v>
      </c>
      <c r="E3159" s="534">
        <v>686</v>
      </c>
    </row>
    <row r="3160" spans="2:5" x14ac:dyDescent="0.2">
      <c r="B3160" s="533">
        <v>3680</v>
      </c>
      <c r="C3160" s="533" t="s">
        <v>3324</v>
      </c>
      <c r="D3160" s="656" t="s">
        <v>415</v>
      </c>
      <c r="E3160" s="534">
        <v>707.54444699999999</v>
      </c>
    </row>
    <row r="3161" spans="2:5" x14ac:dyDescent="0.2">
      <c r="B3161" s="533">
        <v>3681</v>
      </c>
      <c r="C3161" s="533" t="s">
        <v>3217</v>
      </c>
      <c r="D3161" s="656" t="s">
        <v>415</v>
      </c>
      <c r="E3161" s="534">
        <v>702.38000499999998</v>
      </c>
    </row>
    <row r="3162" spans="2:5" x14ac:dyDescent="0.2">
      <c r="B3162" s="533">
        <v>3682</v>
      </c>
      <c r="C3162" s="533" t="s">
        <v>3654</v>
      </c>
      <c r="D3162" s="656" t="s">
        <v>415</v>
      </c>
      <c r="E3162" s="534">
        <v>724.92500299999995</v>
      </c>
    </row>
    <row r="3163" spans="2:5" x14ac:dyDescent="0.2">
      <c r="B3163" s="533">
        <v>3684</v>
      </c>
      <c r="C3163" s="533" t="s">
        <v>6486</v>
      </c>
      <c r="D3163" s="656" t="s">
        <v>415</v>
      </c>
      <c r="E3163" s="534">
        <v>667.97777599999995</v>
      </c>
    </row>
    <row r="3164" spans="2:5" x14ac:dyDescent="0.2">
      <c r="B3164" s="533">
        <v>3685</v>
      </c>
      <c r="C3164" s="533" t="s">
        <v>6485</v>
      </c>
      <c r="D3164" s="656" t="s">
        <v>415</v>
      </c>
      <c r="E3164" s="534">
        <v>660.9</v>
      </c>
    </row>
    <row r="3165" spans="2:5" x14ac:dyDescent="0.2">
      <c r="B3165" s="533">
        <v>3686</v>
      </c>
      <c r="C3165" s="533" t="s">
        <v>7268</v>
      </c>
      <c r="D3165" s="656" t="s">
        <v>415</v>
      </c>
      <c r="E3165" s="534">
        <v>677.38461500000005</v>
      </c>
    </row>
    <row r="3166" spans="2:5" x14ac:dyDescent="0.2">
      <c r="B3166" s="533">
        <v>3687</v>
      </c>
      <c r="C3166" s="533" t="s">
        <v>2380</v>
      </c>
      <c r="D3166" s="656" t="s">
        <v>415</v>
      </c>
      <c r="E3166" s="534">
        <v>661.56667100000004</v>
      </c>
    </row>
    <row r="3167" spans="2:5" x14ac:dyDescent="0.2">
      <c r="B3167" s="533">
        <v>3688</v>
      </c>
      <c r="C3167" s="533" t="s">
        <v>2568</v>
      </c>
      <c r="D3167" s="656" t="s">
        <v>415</v>
      </c>
      <c r="E3167" s="534">
        <v>669.41817400000002</v>
      </c>
    </row>
    <row r="3168" spans="2:5" x14ac:dyDescent="0.2">
      <c r="B3168" s="533">
        <v>3689</v>
      </c>
      <c r="C3168" s="533" t="s">
        <v>6757</v>
      </c>
      <c r="D3168" s="656" t="s">
        <v>415</v>
      </c>
      <c r="E3168" s="534">
        <v>706.90001099999995</v>
      </c>
    </row>
    <row r="3169" spans="2:5" x14ac:dyDescent="0.2">
      <c r="B3169" s="533">
        <v>3690</v>
      </c>
      <c r="C3169" s="533" t="s">
        <v>2231</v>
      </c>
      <c r="D3169" s="656" t="s">
        <v>415</v>
      </c>
      <c r="E3169" s="534">
        <v>665.10000600000001</v>
      </c>
    </row>
    <row r="3170" spans="2:5" x14ac:dyDescent="0.2">
      <c r="B3170" s="533">
        <v>3701</v>
      </c>
      <c r="C3170" s="533" t="s">
        <v>2116</v>
      </c>
      <c r="D3170" s="656" t="s">
        <v>429</v>
      </c>
      <c r="E3170" s="534">
        <v>649.68571299999996</v>
      </c>
    </row>
    <row r="3171" spans="2:5" x14ac:dyDescent="0.2">
      <c r="B3171" s="533">
        <v>3702</v>
      </c>
      <c r="C3171" s="533" t="s">
        <v>1485</v>
      </c>
      <c r="D3171" s="656" t="s">
        <v>429</v>
      </c>
      <c r="E3171" s="534">
        <v>619.879999</v>
      </c>
    </row>
    <row r="3172" spans="2:5" x14ac:dyDescent="0.2">
      <c r="B3172" s="533">
        <v>3703</v>
      </c>
      <c r="C3172" s="533" t="s">
        <v>1696</v>
      </c>
      <c r="D3172" s="656" t="s">
        <v>429</v>
      </c>
      <c r="E3172" s="534">
        <v>632.55713800000001</v>
      </c>
    </row>
    <row r="3173" spans="2:5" x14ac:dyDescent="0.2">
      <c r="B3173" s="533">
        <v>3704</v>
      </c>
      <c r="C3173" s="533" t="s">
        <v>2024</v>
      </c>
      <c r="D3173" s="656" t="s">
        <v>429</v>
      </c>
      <c r="E3173" s="534">
        <v>644.5</v>
      </c>
    </row>
    <row r="3174" spans="2:5" x14ac:dyDescent="0.2">
      <c r="B3174" s="533">
        <v>3705</v>
      </c>
      <c r="C3174" s="533" t="s">
        <v>1670</v>
      </c>
      <c r="D3174" s="656" t="s">
        <v>429</v>
      </c>
      <c r="E3174" s="534">
        <v>631.14445000000001</v>
      </c>
    </row>
    <row r="3175" spans="2:5" x14ac:dyDescent="0.2">
      <c r="B3175" s="533">
        <v>3706</v>
      </c>
      <c r="C3175" s="533" t="s">
        <v>1386</v>
      </c>
      <c r="D3175" s="656" t="s">
        <v>429</v>
      </c>
      <c r="E3175" s="534">
        <v>614.87778000000003</v>
      </c>
    </row>
    <row r="3176" spans="2:5" x14ac:dyDescent="0.2">
      <c r="B3176" s="533">
        <v>3707</v>
      </c>
      <c r="C3176" s="533" t="s">
        <v>2065</v>
      </c>
      <c r="D3176" s="656" t="s">
        <v>429</v>
      </c>
      <c r="E3176" s="534">
        <v>646.77499899999998</v>
      </c>
    </row>
    <row r="3177" spans="2:5" x14ac:dyDescent="0.2">
      <c r="B3177" s="533">
        <v>3708</v>
      </c>
      <c r="C3177" s="533" t="s">
        <v>3710</v>
      </c>
      <c r="D3177" s="656" t="s">
        <v>429</v>
      </c>
      <c r="E3177" s="534">
        <v>728.29998799999998</v>
      </c>
    </row>
    <row r="3178" spans="2:5" x14ac:dyDescent="0.2">
      <c r="B3178" s="533">
        <v>3709</v>
      </c>
      <c r="C3178" s="533" t="s">
        <v>1242</v>
      </c>
      <c r="D3178" s="656" t="s">
        <v>429</v>
      </c>
      <c r="E3178" s="534">
        <v>702.23749499999997</v>
      </c>
    </row>
    <row r="3179" spans="2:5" x14ac:dyDescent="0.2">
      <c r="B3179" s="533">
        <v>3710</v>
      </c>
      <c r="C3179" s="533" t="s">
        <v>1963</v>
      </c>
      <c r="D3179" s="656" t="s">
        <v>429</v>
      </c>
      <c r="E3179" s="534">
        <v>642.48461399999997</v>
      </c>
    </row>
    <row r="3180" spans="2:5" x14ac:dyDescent="0.2">
      <c r="B3180" s="533">
        <v>3711</v>
      </c>
      <c r="C3180" s="533" t="s">
        <v>1743</v>
      </c>
      <c r="D3180" s="656" t="s">
        <v>429</v>
      </c>
      <c r="E3180" s="534">
        <v>634.13332100000002</v>
      </c>
    </row>
    <row r="3181" spans="2:5" x14ac:dyDescent="0.2">
      <c r="B3181" s="533">
        <v>3712</v>
      </c>
      <c r="C3181" s="533" t="s">
        <v>1708</v>
      </c>
      <c r="D3181" s="656" t="s">
        <v>429</v>
      </c>
      <c r="E3181" s="534">
        <v>632.94167600000003</v>
      </c>
    </row>
    <row r="3182" spans="2:5" x14ac:dyDescent="0.2">
      <c r="B3182" s="533">
        <v>3713</v>
      </c>
      <c r="C3182" s="533" t="s">
        <v>6719</v>
      </c>
      <c r="D3182" s="656" t="s">
        <v>429</v>
      </c>
      <c r="E3182" s="534">
        <v>670.70000600000003</v>
      </c>
    </row>
    <row r="3183" spans="2:5" x14ac:dyDescent="0.2">
      <c r="B3183" s="533">
        <v>3714</v>
      </c>
      <c r="C3183" s="533" t="s">
        <v>2837</v>
      </c>
      <c r="D3183" s="656" t="s">
        <v>429</v>
      </c>
      <c r="E3183" s="534">
        <v>683.82857000000001</v>
      </c>
    </row>
    <row r="3184" spans="2:5" x14ac:dyDescent="0.2">
      <c r="B3184" s="533">
        <v>3715</v>
      </c>
      <c r="C3184" s="533" t="s">
        <v>3099</v>
      </c>
      <c r="D3184" s="656" t="s">
        <v>429</v>
      </c>
      <c r="E3184" s="534">
        <v>696.71665399999995</v>
      </c>
    </row>
    <row r="3185" spans="2:5" x14ac:dyDescent="0.2">
      <c r="B3185" s="533">
        <v>3716</v>
      </c>
      <c r="C3185" s="533" t="s">
        <v>3485</v>
      </c>
      <c r="D3185" s="656" t="s">
        <v>429</v>
      </c>
      <c r="E3185" s="534">
        <v>715.728568</v>
      </c>
    </row>
    <row r="3186" spans="2:5" x14ac:dyDescent="0.2">
      <c r="B3186" s="533">
        <v>3717</v>
      </c>
      <c r="C3186" s="533" t="s">
        <v>3607</v>
      </c>
      <c r="D3186" s="656" t="s">
        <v>429</v>
      </c>
      <c r="E3186" s="534">
        <v>722.85998500000005</v>
      </c>
    </row>
    <row r="3187" spans="2:5" x14ac:dyDescent="0.2">
      <c r="B3187" s="533">
        <v>3718</v>
      </c>
      <c r="C3187" s="533" t="s">
        <v>4505</v>
      </c>
      <c r="D3187" s="656" t="s">
        <v>429</v>
      </c>
      <c r="E3187" s="534">
        <v>780.72000700000001</v>
      </c>
    </row>
    <row r="3188" spans="2:5" x14ac:dyDescent="0.2">
      <c r="B3188" s="533">
        <v>3719</v>
      </c>
      <c r="C3188" s="533" t="s">
        <v>4061</v>
      </c>
      <c r="D3188" s="656" t="s">
        <v>429</v>
      </c>
      <c r="E3188" s="534">
        <v>749.40000899999995</v>
      </c>
    </row>
    <row r="3189" spans="2:5" x14ac:dyDescent="0.2">
      <c r="B3189" s="533">
        <v>3720</v>
      </c>
      <c r="C3189" s="533" t="s">
        <v>2289</v>
      </c>
      <c r="D3189" s="656" t="s">
        <v>429</v>
      </c>
      <c r="E3189" s="534">
        <v>738.02500199999997</v>
      </c>
    </row>
    <row r="3190" spans="2:5" x14ac:dyDescent="0.2">
      <c r="B3190" s="533">
        <v>3721</v>
      </c>
      <c r="C3190" s="533" t="s">
        <v>4422</v>
      </c>
      <c r="D3190" s="656" t="s">
        <v>429</v>
      </c>
      <c r="E3190" s="534">
        <v>775.32857000000001</v>
      </c>
    </row>
    <row r="3191" spans="2:5" x14ac:dyDescent="0.2">
      <c r="B3191" s="533">
        <v>3722</v>
      </c>
      <c r="C3191" s="533" t="s">
        <v>5125</v>
      </c>
      <c r="D3191" s="656" t="s">
        <v>429</v>
      </c>
      <c r="E3191" s="534">
        <v>836.89999399999999</v>
      </c>
    </row>
    <row r="3192" spans="2:5" x14ac:dyDescent="0.2">
      <c r="B3192" s="533">
        <v>3723</v>
      </c>
      <c r="C3192" s="533" t="s">
        <v>4723</v>
      </c>
      <c r="D3192" s="656" t="s">
        <v>429</v>
      </c>
      <c r="E3192" s="534">
        <v>799</v>
      </c>
    </row>
    <row r="3193" spans="2:5" x14ac:dyDescent="0.2">
      <c r="B3193" s="533">
        <v>3724</v>
      </c>
      <c r="C3193" s="533" t="s">
        <v>4500</v>
      </c>
      <c r="D3193" s="656" t="s">
        <v>429</v>
      </c>
      <c r="E3193" s="534">
        <v>780.48332700000003</v>
      </c>
    </row>
    <row r="3194" spans="2:5" x14ac:dyDescent="0.2">
      <c r="B3194" s="533">
        <v>3725</v>
      </c>
      <c r="C3194" s="533" t="s">
        <v>4631</v>
      </c>
      <c r="D3194" s="656" t="s">
        <v>429</v>
      </c>
      <c r="E3194" s="534">
        <v>791.45713999999998</v>
      </c>
    </row>
    <row r="3195" spans="2:5" x14ac:dyDescent="0.2">
      <c r="B3195" s="533">
        <v>3726</v>
      </c>
      <c r="C3195" s="533" t="s">
        <v>3842</v>
      </c>
      <c r="D3195" s="656" t="s">
        <v>429</v>
      </c>
      <c r="E3195" s="534">
        <v>735.62500799999998</v>
      </c>
    </row>
    <row r="3196" spans="2:5" x14ac:dyDescent="0.2">
      <c r="B3196" s="533">
        <v>3727</v>
      </c>
      <c r="C3196" s="533" t="s">
        <v>3512</v>
      </c>
      <c r="D3196" s="656" t="s">
        <v>429</v>
      </c>
      <c r="E3196" s="534">
        <v>770.80000299999995</v>
      </c>
    </row>
    <row r="3197" spans="2:5" x14ac:dyDescent="0.2">
      <c r="B3197" s="533">
        <v>3728</v>
      </c>
      <c r="C3197" s="533" t="s">
        <v>3952</v>
      </c>
      <c r="D3197" s="656" t="s">
        <v>429</v>
      </c>
      <c r="E3197" s="534">
        <v>742.38334099999997</v>
      </c>
    </row>
    <row r="3198" spans="2:5" x14ac:dyDescent="0.2">
      <c r="B3198" s="533">
        <v>3729</v>
      </c>
      <c r="C3198" s="533" t="s">
        <v>3275</v>
      </c>
      <c r="D3198" s="656" t="s">
        <v>429</v>
      </c>
      <c r="E3198" s="534">
        <v>772.13332100000002</v>
      </c>
    </row>
    <row r="3199" spans="2:5" x14ac:dyDescent="0.2">
      <c r="B3199" s="533">
        <v>3730</v>
      </c>
      <c r="C3199" s="533" t="s">
        <v>4230</v>
      </c>
      <c r="D3199" s="656" t="s">
        <v>429</v>
      </c>
      <c r="E3199" s="534">
        <v>760.32501200000002</v>
      </c>
    </row>
    <row r="3200" spans="2:5" x14ac:dyDescent="0.2">
      <c r="B3200" s="533">
        <v>3731</v>
      </c>
      <c r="C3200" s="533" t="s">
        <v>4439</v>
      </c>
      <c r="D3200" s="656" t="s">
        <v>429</v>
      </c>
      <c r="E3200" s="534">
        <v>776.70001200000002</v>
      </c>
    </row>
    <row r="3201" spans="2:5" x14ac:dyDescent="0.2">
      <c r="B3201" s="533">
        <v>3732</v>
      </c>
      <c r="C3201" s="533" t="s">
        <v>3460</v>
      </c>
      <c r="D3201" s="656" t="s">
        <v>429</v>
      </c>
      <c r="E3201" s="534">
        <v>782.57332599999995</v>
      </c>
    </row>
    <row r="3202" spans="2:5" x14ac:dyDescent="0.2">
      <c r="B3202" s="533">
        <v>3733</v>
      </c>
      <c r="C3202" s="533" t="s">
        <v>4493</v>
      </c>
      <c r="D3202" s="656" t="s">
        <v>429</v>
      </c>
      <c r="E3202" s="534">
        <v>780.17498799999998</v>
      </c>
    </row>
    <row r="3203" spans="2:5" x14ac:dyDescent="0.2">
      <c r="B3203" s="533">
        <v>3734</v>
      </c>
      <c r="C3203" s="533" t="s">
        <v>1875</v>
      </c>
      <c r="D3203" s="656" t="s">
        <v>429</v>
      </c>
      <c r="E3203" s="534">
        <v>639.35000600000001</v>
      </c>
    </row>
    <row r="3204" spans="2:5" x14ac:dyDescent="0.2">
      <c r="B3204" s="533">
        <v>3735</v>
      </c>
      <c r="C3204" s="533" t="s">
        <v>6622</v>
      </c>
      <c r="D3204" s="656" t="s">
        <v>429</v>
      </c>
      <c r="E3204" s="534">
        <v>724.41935699999999</v>
      </c>
    </row>
    <row r="3205" spans="2:5" x14ac:dyDescent="0.2">
      <c r="B3205" s="533">
        <v>3736</v>
      </c>
      <c r="C3205" s="533" t="s">
        <v>7611</v>
      </c>
      <c r="D3205" s="656" t="s">
        <v>429</v>
      </c>
      <c r="E3205" s="534">
        <v>776.09997599999997</v>
      </c>
    </row>
    <row r="3206" spans="2:5" x14ac:dyDescent="0.2">
      <c r="B3206" s="533">
        <v>3737</v>
      </c>
      <c r="C3206" s="533" t="s">
        <v>4465</v>
      </c>
      <c r="D3206" s="656" t="s">
        <v>429</v>
      </c>
      <c r="E3206" s="534">
        <v>778.46109999999999</v>
      </c>
    </row>
    <row r="3207" spans="2:5" x14ac:dyDescent="0.2">
      <c r="B3207" s="533">
        <v>3738</v>
      </c>
      <c r="C3207" s="533" t="s">
        <v>1628</v>
      </c>
      <c r="D3207" s="656" t="s">
        <v>429</v>
      </c>
      <c r="E3207" s="534">
        <v>628.22499100000005</v>
      </c>
    </row>
    <row r="3208" spans="2:5" x14ac:dyDescent="0.2">
      <c r="B3208" s="533">
        <v>3739</v>
      </c>
      <c r="C3208" s="533" t="s">
        <v>1713</v>
      </c>
      <c r="D3208" s="656" t="s">
        <v>429</v>
      </c>
      <c r="E3208" s="534">
        <v>633.25998500000003</v>
      </c>
    </row>
    <row r="3209" spans="2:5" x14ac:dyDescent="0.2">
      <c r="B3209" s="533">
        <v>3740</v>
      </c>
      <c r="C3209" s="533" t="s">
        <v>1603</v>
      </c>
      <c r="D3209" s="656" t="s">
        <v>429</v>
      </c>
      <c r="E3209" s="534">
        <v>627.11999500000002</v>
      </c>
    </row>
    <row r="3210" spans="2:5" x14ac:dyDescent="0.2">
      <c r="B3210" s="533">
        <v>3741</v>
      </c>
      <c r="C3210" s="533" t="s">
        <v>2924</v>
      </c>
      <c r="D3210" s="656" t="s">
        <v>429</v>
      </c>
      <c r="E3210" s="534">
        <v>687.27500199999997</v>
      </c>
    </row>
    <row r="3211" spans="2:5" x14ac:dyDescent="0.2">
      <c r="B3211" s="533">
        <v>3742</v>
      </c>
      <c r="C3211" s="533" t="s">
        <v>4400</v>
      </c>
      <c r="D3211" s="656" t="s">
        <v>429</v>
      </c>
      <c r="E3211" s="534">
        <v>773.45001200000002</v>
      </c>
    </row>
    <row r="3212" spans="2:5" x14ac:dyDescent="0.2">
      <c r="B3212" s="533">
        <v>3743</v>
      </c>
      <c r="C3212" s="533" t="s">
        <v>4351</v>
      </c>
      <c r="D3212" s="656" t="s">
        <v>429</v>
      </c>
      <c r="E3212" s="534">
        <v>768.875</v>
      </c>
    </row>
    <row r="3213" spans="2:5" x14ac:dyDescent="0.2">
      <c r="B3213" s="533">
        <v>3744</v>
      </c>
      <c r="C3213" s="533" t="s">
        <v>3220</v>
      </c>
      <c r="D3213" s="656" t="s">
        <v>429</v>
      </c>
      <c r="E3213" s="534">
        <v>702.60588900000005</v>
      </c>
    </row>
    <row r="3214" spans="2:5" x14ac:dyDescent="0.2">
      <c r="B3214" s="533">
        <v>3745</v>
      </c>
      <c r="C3214" s="533" t="s">
        <v>2014</v>
      </c>
      <c r="D3214" s="656" t="s">
        <v>429</v>
      </c>
      <c r="E3214" s="534">
        <v>644.08000500000003</v>
      </c>
    </row>
    <row r="3215" spans="2:5" x14ac:dyDescent="0.2">
      <c r="B3215" s="533">
        <v>3746</v>
      </c>
      <c r="C3215" s="533" t="s">
        <v>6840</v>
      </c>
      <c r="D3215" s="656" t="s">
        <v>429</v>
      </c>
      <c r="E3215" s="534">
        <v>656.47499100000005</v>
      </c>
    </row>
    <row r="3216" spans="2:5" x14ac:dyDescent="0.2">
      <c r="B3216" s="533">
        <v>3747</v>
      </c>
      <c r="C3216" s="533" t="s">
        <v>2128</v>
      </c>
      <c r="D3216" s="656" t="s">
        <v>429</v>
      </c>
      <c r="E3216" s="534">
        <v>650.29998799999998</v>
      </c>
    </row>
    <row r="3217" spans="2:5" x14ac:dyDescent="0.2">
      <c r="B3217" s="533">
        <v>3748</v>
      </c>
      <c r="C3217" s="533" t="s">
        <v>4224</v>
      </c>
      <c r="D3217" s="656" t="s">
        <v>429</v>
      </c>
      <c r="E3217" s="534">
        <v>759.94666700000005</v>
      </c>
    </row>
    <row r="3218" spans="2:5" x14ac:dyDescent="0.2">
      <c r="B3218" s="533">
        <v>3749</v>
      </c>
      <c r="C3218" s="533" t="s">
        <v>3858</v>
      </c>
      <c r="D3218" s="656" t="s">
        <v>429</v>
      </c>
      <c r="E3218" s="534">
        <v>736.629999</v>
      </c>
    </row>
    <row r="3219" spans="2:5" x14ac:dyDescent="0.2">
      <c r="B3219" s="533">
        <v>3750</v>
      </c>
      <c r="C3219" s="533" t="s">
        <v>3372</v>
      </c>
      <c r="D3219" s="656" t="s">
        <v>429</v>
      </c>
      <c r="E3219" s="534">
        <v>709.90000199999997</v>
      </c>
    </row>
    <row r="3220" spans="2:5" x14ac:dyDescent="0.2">
      <c r="B3220" s="533">
        <v>3751</v>
      </c>
      <c r="C3220" s="533" t="s">
        <v>1041</v>
      </c>
      <c r="D3220" s="656" t="s">
        <v>429</v>
      </c>
      <c r="E3220" s="534">
        <v>704.63750500000003</v>
      </c>
    </row>
    <row r="3221" spans="2:5" x14ac:dyDescent="0.2">
      <c r="B3221" s="533">
        <v>3752</v>
      </c>
      <c r="C3221" s="533" t="s">
        <v>7165</v>
      </c>
      <c r="D3221" s="656" t="s">
        <v>429</v>
      </c>
      <c r="E3221" s="534">
        <v>729.59090400000002</v>
      </c>
    </row>
    <row r="3222" spans="2:5" x14ac:dyDescent="0.2">
      <c r="B3222" s="533">
        <v>3753</v>
      </c>
      <c r="C3222" s="533" t="s">
        <v>3697</v>
      </c>
      <c r="D3222" s="656" t="s">
        <v>429</v>
      </c>
      <c r="E3222" s="534">
        <v>727.51999499999999</v>
      </c>
    </row>
    <row r="3223" spans="2:5" x14ac:dyDescent="0.2">
      <c r="B3223" s="533">
        <v>3754</v>
      </c>
      <c r="C3223" s="533" t="s">
        <v>2613</v>
      </c>
      <c r="D3223" s="656" t="s">
        <v>429</v>
      </c>
      <c r="E3223" s="534">
        <v>672.36665900000003</v>
      </c>
    </row>
    <row r="3224" spans="2:5" x14ac:dyDescent="0.2">
      <c r="B3224" s="533">
        <v>3755</v>
      </c>
      <c r="C3224" s="533" t="s">
        <v>1316</v>
      </c>
      <c r="D3224" s="656" t="s">
        <v>429</v>
      </c>
      <c r="E3224" s="534">
        <v>721.91249800000003</v>
      </c>
    </row>
    <row r="3225" spans="2:5" x14ac:dyDescent="0.2">
      <c r="B3225" s="533">
        <v>3756</v>
      </c>
      <c r="C3225" s="533" t="s">
        <v>4276</v>
      </c>
      <c r="D3225" s="656" t="s">
        <v>429</v>
      </c>
      <c r="E3225" s="534">
        <v>763.56666099999995</v>
      </c>
    </row>
    <row r="3226" spans="2:5" x14ac:dyDescent="0.2">
      <c r="B3226" s="533">
        <v>3757</v>
      </c>
      <c r="C3226" s="533" t="s">
        <v>4688</v>
      </c>
      <c r="D3226" s="656" t="s">
        <v>429</v>
      </c>
      <c r="E3226" s="534">
        <v>795.5</v>
      </c>
    </row>
    <row r="3227" spans="2:5" x14ac:dyDescent="0.2">
      <c r="B3227" s="533">
        <v>3758</v>
      </c>
      <c r="C3227" s="533" t="s">
        <v>839</v>
      </c>
      <c r="D3227" s="656" t="s">
        <v>429</v>
      </c>
      <c r="E3227" s="534">
        <v>779.31875200000002</v>
      </c>
    </row>
    <row r="3228" spans="2:5" x14ac:dyDescent="0.2">
      <c r="B3228" s="533">
        <v>3759</v>
      </c>
      <c r="C3228" s="533" t="s">
        <v>4049</v>
      </c>
      <c r="D3228" s="656" t="s">
        <v>429</v>
      </c>
      <c r="E3228" s="534">
        <v>748.73846400000002</v>
      </c>
    </row>
    <row r="3229" spans="2:5" x14ac:dyDescent="0.2">
      <c r="B3229" s="533">
        <v>3760</v>
      </c>
      <c r="C3229" s="533" t="s">
        <v>6798</v>
      </c>
      <c r="D3229" s="656" t="s">
        <v>429</v>
      </c>
      <c r="E3229" s="534">
        <v>794.59999100000005</v>
      </c>
    </row>
    <row r="3230" spans="2:5" x14ac:dyDescent="0.2">
      <c r="B3230" s="533">
        <v>3761</v>
      </c>
      <c r="C3230" s="533" t="s">
        <v>4964</v>
      </c>
      <c r="D3230" s="656" t="s">
        <v>429</v>
      </c>
      <c r="E3230" s="534">
        <v>819.27272200000004</v>
      </c>
    </row>
    <row r="3231" spans="2:5" x14ac:dyDescent="0.2">
      <c r="B3231" s="533">
        <v>3762</v>
      </c>
      <c r="C3231" s="533" t="s">
        <v>7535</v>
      </c>
      <c r="D3231" s="656" t="s">
        <v>429</v>
      </c>
      <c r="E3231" s="534">
        <v>781.633331</v>
      </c>
    </row>
    <row r="3232" spans="2:5" x14ac:dyDescent="0.2">
      <c r="B3232" s="533">
        <v>3763</v>
      </c>
      <c r="C3232" s="533" t="s">
        <v>2760</v>
      </c>
      <c r="D3232" s="656" t="s">
        <v>429</v>
      </c>
      <c r="E3232" s="534">
        <v>751.64999399999999</v>
      </c>
    </row>
    <row r="3233" spans="2:5" x14ac:dyDescent="0.2">
      <c r="B3233" s="533">
        <v>3764</v>
      </c>
      <c r="C3233" s="533" t="s">
        <v>4729</v>
      </c>
      <c r="D3233" s="656" t="s">
        <v>429</v>
      </c>
      <c r="E3233" s="534">
        <v>799.27499399999999</v>
      </c>
    </row>
    <row r="3234" spans="2:5" x14ac:dyDescent="0.2">
      <c r="B3234" s="533">
        <v>3765</v>
      </c>
      <c r="C3234" s="533" t="s">
        <v>4055</v>
      </c>
      <c r="D3234" s="656" t="s">
        <v>429</v>
      </c>
      <c r="E3234" s="534">
        <v>749.08333300000004</v>
      </c>
    </row>
    <row r="3235" spans="2:5" x14ac:dyDescent="0.2">
      <c r="B3235" s="533">
        <v>3766</v>
      </c>
      <c r="C3235" s="533" t="s">
        <v>6608</v>
      </c>
      <c r="D3235" s="656" t="s">
        <v>429</v>
      </c>
      <c r="E3235" s="534">
        <v>743.13334099999997</v>
      </c>
    </row>
    <row r="3236" spans="2:5" x14ac:dyDescent="0.2">
      <c r="B3236" s="533">
        <v>3767</v>
      </c>
      <c r="C3236" s="533" t="s">
        <v>4884</v>
      </c>
      <c r="D3236" s="656" t="s">
        <v>429</v>
      </c>
      <c r="E3236" s="534">
        <v>811.30000600000005</v>
      </c>
    </row>
    <row r="3237" spans="2:5" x14ac:dyDescent="0.2">
      <c r="B3237" s="533">
        <v>3768</v>
      </c>
      <c r="C3237" s="533" t="s">
        <v>5079</v>
      </c>
      <c r="D3237" s="656" t="s">
        <v>429</v>
      </c>
      <c r="E3237" s="534">
        <v>831.76664200000005</v>
      </c>
    </row>
    <row r="3238" spans="2:5" x14ac:dyDescent="0.2">
      <c r="B3238" s="533">
        <v>3769</v>
      </c>
      <c r="C3238" s="533" t="s">
        <v>4785</v>
      </c>
      <c r="D3238" s="656" t="s">
        <v>429</v>
      </c>
      <c r="E3238" s="534">
        <v>802.93333600000005</v>
      </c>
    </row>
    <row r="3239" spans="2:5" x14ac:dyDescent="0.2">
      <c r="B3239" s="533">
        <v>3770</v>
      </c>
      <c r="C3239" s="533" t="s">
        <v>6711</v>
      </c>
      <c r="D3239" s="656" t="s">
        <v>429</v>
      </c>
      <c r="E3239" s="534">
        <v>811.84999100000005</v>
      </c>
    </row>
    <row r="3240" spans="2:5" x14ac:dyDescent="0.2">
      <c r="B3240" s="533">
        <v>3801</v>
      </c>
      <c r="C3240" s="533" t="s">
        <v>1365</v>
      </c>
      <c r="D3240" s="656" t="s">
        <v>427</v>
      </c>
      <c r="E3240" s="534">
        <v>613.85716000000002</v>
      </c>
    </row>
    <row r="3241" spans="2:5" x14ac:dyDescent="0.2">
      <c r="B3241" s="533">
        <v>3802</v>
      </c>
      <c r="C3241" s="533" t="s">
        <v>1502</v>
      </c>
      <c r="D3241" s="656" t="s">
        <v>427</v>
      </c>
      <c r="E3241" s="534">
        <v>621.16666699999996</v>
      </c>
    </row>
    <row r="3242" spans="2:5" x14ac:dyDescent="0.2">
      <c r="B3242" s="533">
        <v>3803</v>
      </c>
      <c r="C3242" s="533" t="s">
        <v>3274</v>
      </c>
      <c r="D3242" s="656" t="s">
        <v>427</v>
      </c>
      <c r="E3242" s="534">
        <v>704.76666299999999</v>
      </c>
    </row>
    <row r="3243" spans="2:5" x14ac:dyDescent="0.2">
      <c r="B3243" s="533">
        <v>3804</v>
      </c>
      <c r="C3243" s="533" t="s">
        <v>3108</v>
      </c>
      <c r="D3243" s="656" t="s">
        <v>427</v>
      </c>
      <c r="E3243" s="534">
        <v>696.85715200000004</v>
      </c>
    </row>
    <row r="3244" spans="2:5" x14ac:dyDescent="0.2">
      <c r="B3244" s="533">
        <v>3805</v>
      </c>
      <c r="C3244" s="533" t="s">
        <v>3156</v>
      </c>
      <c r="D3244" s="656" t="s">
        <v>427</v>
      </c>
      <c r="E3244" s="534">
        <v>699.58181999999999</v>
      </c>
    </row>
    <row r="3245" spans="2:5" x14ac:dyDescent="0.2">
      <c r="B3245" s="533">
        <v>3806</v>
      </c>
      <c r="C3245" s="533" t="s">
        <v>3229</v>
      </c>
      <c r="D3245" s="656" t="s">
        <v>427</v>
      </c>
      <c r="E3245" s="534">
        <v>702.84614899999997</v>
      </c>
    </row>
    <row r="3246" spans="2:5" x14ac:dyDescent="0.2">
      <c r="B3246" s="533">
        <v>3807</v>
      </c>
      <c r="C3246" s="533" t="s">
        <v>3606</v>
      </c>
      <c r="D3246" s="656" t="s">
        <v>427</v>
      </c>
      <c r="E3246" s="534">
        <v>722.67999299999997</v>
      </c>
    </row>
    <row r="3247" spans="2:5" x14ac:dyDescent="0.2">
      <c r="B3247" s="533">
        <v>3808</v>
      </c>
      <c r="C3247" s="533" t="s">
        <v>1404</v>
      </c>
      <c r="D3247" s="656" t="s">
        <v>427</v>
      </c>
      <c r="E3247" s="534">
        <v>616.15713900000003</v>
      </c>
    </row>
    <row r="3248" spans="2:5" x14ac:dyDescent="0.2">
      <c r="B3248" s="533">
        <v>3809</v>
      </c>
      <c r="C3248" s="533" t="s">
        <v>1468</v>
      </c>
      <c r="D3248" s="656" t="s">
        <v>427</v>
      </c>
      <c r="E3248" s="534">
        <v>619.02221699999996</v>
      </c>
    </row>
    <row r="3249" spans="2:5" x14ac:dyDescent="0.2">
      <c r="B3249" s="533">
        <v>3810</v>
      </c>
      <c r="C3249" s="533" t="s">
        <v>1181</v>
      </c>
      <c r="D3249" s="656" t="s">
        <v>427</v>
      </c>
      <c r="E3249" s="534">
        <v>617.85999800000002</v>
      </c>
    </row>
    <row r="3250" spans="2:5" x14ac:dyDescent="0.2">
      <c r="B3250" s="533">
        <v>3811</v>
      </c>
      <c r="C3250" s="533" t="s">
        <v>1626</v>
      </c>
      <c r="D3250" s="656" t="s">
        <v>427</v>
      </c>
      <c r="E3250" s="534">
        <v>628.20588999999995</v>
      </c>
    </row>
    <row r="3251" spans="2:5" x14ac:dyDescent="0.2">
      <c r="B3251" s="533">
        <v>3812</v>
      </c>
      <c r="C3251" s="533" t="s">
        <v>1214</v>
      </c>
      <c r="D3251" s="656" t="s">
        <v>427</v>
      </c>
      <c r="E3251" s="534">
        <v>605.17500299999995</v>
      </c>
    </row>
    <row r="3252" spans="2:5" x14ac:dyDescent="0.2">
      <c r="B3252" s="533">
        <v>3813</v>
      </c>
      <c r="C3252" s="533" t="s">
        <v>1492</v>
      </c>
      <c r="D3252" s="656" t="s">
        <v>427</v>
      </c>
      <c r="E3252" s="534">
        <v>674.66000399999996</v>
      </c>
    </row>
    <row r="3253" spans="2:5" x14ac:dyDescent="0.2">
      <c r="B3253" s="533">
        <v>3814</v>
      </c>
      <c r="C3253" s="533" t="s">
        <v>2437</v>
      </c>
      <c r="D3253" s="656" t="s">
        <v>427</v>
      </c>
      <c r="E3253" s="534">
        <v>664.04166699999996</v>
      </c>
    </row>
    <row r="3254" spans="2:5" x14ac:dyDescent="0.2">
      <c r="B3254" s="533">
        <v>3815</v>
      </c>
      <c r="C3254" s="533" t="s">
        <v>6514</v>
      </c>
      <c r="D3254" s="656" t="s">
        <v>427</v>
      </c>
      <c r="E3254" s="534">
        <v>627.10000300000002</v>
      </c>
    </row>
    <row r="3255" spans="2:5" x14ac:dyDescent="0.2">
      <c r="B3255" s="533">
        <v>3816</v>
      </c>
      <c r="C3255" s="533" t="s">
        <v>3482</v>
      </c>
      <c r="D3255" s="656" t="s">
        <v>427</v>
      </c>
      <c r="E3255" s="534">
        <v>715.53334600000005</v>
      </c>
    </row>
    <row r="3256" spans="2:5" x14ac:dyDescent="0.2">
      <c r="B3256" s="533">
        <v>3817</v>
      </c>
      <c r="C3256" s="533" t="s">
        <v>6676</v>
      </c>
      <c r="D3256" s="656" t="s">
        <v>427</v>
      </c>
      <c r="E3256" s="534">
        <v>626.32857799999999</v>
      </c>
    </row>
    <row r="3257" spans="2:5" x14ac:dyDescent="0.2">
      <c r="B3257" s="533">
        <v>3818</v>
      </c>
      <c r="C3257" s="533" t="s">
        <v>3352</v>
      </c>
      <c r="D3257" s="656" t="s">
        <v>427</v>
      </c>
      <c r="E3257" s="534">
        <v>708.99333100000001</v>
      </c>
    </row>
    <row r="3258" spans="2:5" x14ac:dyDescent="0.2">
      <c r="B3258" s="533">
        <v>3819</v>
      </c>
      <c r="C3258" s="533" t="s">
        <v>1419</v>
      </c>
      <c r="D3258" s="656" t="s">
        <v>427</v>
      </c>
      <c r="E3258" s="534">
        <v>624.61667899999998</v>
      </c>
    </row>
    <row r="3259" spans="2:5" x14ac:dyDescent="0.2">
      <c r="B3259" s="533">
        <v>3820</v>
      </c>
      <c r="C3259" s="533" t="s">
        <v>6689</v>
      </c>
      <c r="D3259" s="656" t="s">
        <v>427</v>
      </c>
      <c r="E3259" s="534">
        <v>645.70714899999996</v>
      </c>
    </row>
    <row r="3260" spans="2:5" x14ac:dyDescent="0.2">
      <c r="B3260" s="533">
        <v>3821</v>
      </c>
      <c r="C3260" s="533" t="s">
        <v>2167</v>
      </c>
      <c r="D3260" s="656" t="s">
        <v>427</v>
      </c>
      <c r="E3260" s="534">
        <v>652.05554900000004</v>
      </c>
    </row>
    <row r="3261" spans="2:5" x14ac:dyDescent="0.2">
      <c r="B3261" s="533">
        <v>3822</v>
      </c>
      <c r="C3261" s="533" t="s">
        <v>4262</v>
      </c>
      <c r="D3261" s="656" t="s">
        <v>427</v>
      </c>
      <c r="E3261" s="534">
        <v>762.78332499999999</v>
      </c>
    </row>
    <row r="3262" spans="2:5" x14ac:dyDescent="0.2">
      <c r="B3262" s="533">
        <v>3823</v>
      </c>
      <c r="C3262" s="533" t="s">
        <v>4001</v>
      </c>
      <c r="D3262" s="656" t="s">
        <v>427</v>
      </c>
      <c r="E3262" s="534">
        <v>745.58333300000004</v>
      </c>
    </row>
    <row r="3263" spans="2:5" x14ac:dyDescent="0.2">
      <c r="B3263" s="533">
        <v>3824</v>
      </c>
      <c r="C3263" s="533" t="s">
        <v>6714</v>
      </c>
      <c r="D3263" s="656" t="s">
        <v>427</v>
      </c>
      <c r="E3263" s="534">
        <v>690.23332700000003</v>
      </c>
    </row>
    <row r="3264" spans="2:5" x14ac:dyDescent="0.2">
      <c r="B3264" s="533">
        <v>3825</v>
      </c>
      <c r="C3264" s="533" t="s">
        <v>1977</v>
      </c>
      <c r="D3264" s="656" t="s">
        <v>427</v>
      </c>
      <c r="E3264" s="534">
        <v>642.95832800000005</v>
      </c>
    </row>
    <row r="3265" spans="2:5" x14ac:dyDescent="0.2">
      <c r="B3265" s="533">
        <v>3826</v>
      </c>
      <c r="C3265" s="533" t="s">
        <v>6751</v>
      </c>
      <c r="D3265" s="656" t="s">
        <v>427</v>
      </c>
      <c r="E3265" s="534">
        <v>694.25000999999997</v>
      </c>
    </row>
    <row r="3266" spans="2:5" x14ac:dyDescent="0.2">
      <c r="B3266" s="533">
        <v>3827</v>
      </c>
      <c r="C3266" s="533" t="s">
        <v>6783</v>
      </c>
      <c r="D3266" s="656" t="s">
        <v>427</v>
      </c>
      <c r="E3266" s="534">
        <v>611.63999799999999</v>
      </c>
    </row>
    <row r="3267" spans="2:5" x14ac:dyDescent="0.2">
      <c r="B3267" s="533">
        <v>3828</v>
      </c>
      <c r="C3267" s="533" t="s">
        <v>6795</v>
      </c>
      <c r="D3267" s="656" t="s">
        <v>427</v>
      </c>
      <c r="E3267" s="534">
        <v>687.93332899999996</v>
      </c>
    </row>
    <row r="3268" spans="2:5" x14ac:dyDescent="0.2">
      <c r="B3268" s="533">
        <v>3829</v>
      </c>
      <c r="C3268" s="533" t="s">
        <v>3960</v>
      </c>
      <c r="D3268" s="656" t="s">
        <v>427</v>
      </c>
      <c r="E3268" s="534">
        <v>742.93332899999996</v>
      </c>
    </row>
    <row r="3269" spans="2:5" x14ac:dyDescent="0.2">
      <c r="B3269" s="533">
        <v>3830</v>
      </c>
      <c r="C3269" s="533" t="s">
        <v>2722</v>
      </c>
      <c r="D3269" s="656" t="s">
        <v>427</v>
      </c>
      <c r="E3269" s="534">
        <v>677.32142899999997</v>
      </c>
    </row>
    <row r="3270" spans="2:5" x14ac:dyDescent="0.2">
      <c r="B3270" s="533">
        <v>3831</v>
      </c>
      <c r="C3270" s="533" t="s">
        <v>6884</v>
      </c>
      <c r="D3270" s="656" t="s">
        <v>427</v>
      </c>
      <c r="E3270" s="534">
        <v>666.94000200000005</v>
      </c>
    </row>
    <row r="3271" spans="2:5" x14ac:dyDescent="0.2">
      <c r="B3271" s="533">
        <v>3832</v>
      </c>
      <c r="C3271" s="533" t="s">
        <v>6907</v>
      </c>
      <c r="D3271" s="656" t="s">
        <v>427</v>
      </c>
      <c r="E3271" s="534">
        <v>619.04999799999996</v>
      </c>
    </row>
    <row r="3272" spans="2:5" x14ac:dyDescent="0.2">
      <c r="B3272" s="533">
        <v>3832</v>
      </c>
      <c r="C3272" s="533" t="s">
        <v>6907</v>
      </c>
      <c r="D3272" s="656" t="s">
        <v>421</v>
      </c>
      <c r="E3272" s="534">
        <v>619.04999799999996</v>
      </c>
    </row>
    <row r="3273" spans="2:5" x14ac:dyDescent="0.2">
      <c r="B3273" s="533">
        <v>3833</v>
      </c>
      <c r="C3273" s="533" t="s">
        <v>6913</v>
      </c>
      <c r="D3273" s="656" t="s">
        <v>427</v>
      </c>
      <c r="E3273" s="534">
        <v>643.86364200000003</v>
      </c>
    </row>
    <row r="3274" spans="2:5" x14ac:dyDescent="0.2">
      <c r="B3274" s="533">
        <v>3834</v>
      </c>
      <c r="C3274" s="533" t="s">
        <v>6947</v>
      </c>
      <c r="D3274" s="656" t="s">
        <v>427</v>
      </c>
      <c r="E3274" s="534">
        <v>631.776926</v>
      </c>
    </row>
    <row r="3275" spans="2:5" x14ac:dyDescent="0.2">
      <c r="B3275" s="533">
        <v>3835</v>
      </c>
      <c r="C3275" s="533" t="s">
        <v>1320</v>
      </c>
      <c r="D3275" s="656" t="s">
        <v>427</v>
      </c>
      <c r="E3275" s="534">
        <v>611.32221800000002</v>
      </c>
    </row>
    <row r="3276" spans="2:5" x14ac:dyDescent="0.2">
      <c r="B3276" s="533">
        <v>3836</v>
      </c>
      <c r="C3276" s="533" t="s">
        <v>1503</v>
      </c>
      <c r="D3276" s="656" t="s">
        <v>427</v>
      </c>
      <c r="E3276" s="534">
        <v>621.32499700000005</v>
      </c>
    </row>
    <row r="3277" spans="2:5" x14ac:dyDescent="0.2">
      <c r="B3277" s="533">
        <v>3837</v>
      </c>
      <c r="C3277" s="533" t="s">
        <v>3007</v>
      </c>
      <c r="D3277" s="656" t="s">
        <v>427</v>
      </c>
      <c r="E3277" s="534">
        <v>691.53334600000005</v>
      </c>
    </row>
    <row r="3278" spans="2:5" x14ac:dyDescent="0.2">
      <c r="B3278" s="533">
        <v>3838</v>
      </c>
      <c r="C3278" s="533" t="s">
        <v>2677</v>
      </c>
      <c r="D3278" s="656" t="s">
        <v>427</v>
      </c>
      <c r="E3278" s="534">
        <v>675.30000800000005</v>
      </c>
    </row>
    <row r="3279" spans="2:5" x14ac:dyDescent="0.2">
      <c r="B3279" s="533">
        <v>3839</v>
      </c>
      <c r="C3279" s="533" t="s">
        <v>954</v>
      </c>
      <c r="D3279" s="656" t="s">
        <v>427</v>
      </c>
      <c r="E3279" s="534">
        <v>669.5</v>
      </c>
    </row>
    <row r="3280" spans="2:5" x14ac:dyDescent="0.2">
      <c r="B3280" s="533">
        <v>3840</v>
      </c>
      <c r="C3280" s="533" t="s">
        <v>2900</v>
      </c>
      <c r="D3280" s="656" t="s">
        <v>427</v>
      </c>
      <c r="E3280" s="534">
        <v>686.21999500000004</v>
      </c>
    </row>
    <row r="3281" spans="2:5" x14ac:dyDescent="0.2">
      <c r="B3281" s="533">
        <v>3841</v>
      </c>
      <c r="C3281" s="533" t="s">
        <v>3586</v>
      </c>
      <c r="D3281" s="656" t="s">
        <v>427</v>
      </c>
      <c r="E3281" s="534">
        <v>721</v>
      </c>
    </row>
    <row r="3282" spans="2:5" x14ac:dyDescent="0.2">
      <c r="B3282" s="533">
        <v>3842</v>
      </c>
      <c r="C3282" s="533" t="s">
        <v>3513</v>
      </c>
      <c r="D3282" s="656" t="s">
        <v>427</v>
      </c>
      <c r="E3282" s="534">
        <v>717.48331700000006</v>
      </c>
    </row>
    <row r="3283" spans="2:5" x14ac:dyDescent="0.2">
      <c r="B3283" s="533">
        <v>3843</v>
      </c>
      <c r="C3283" s="533" t="s">
        <v>1382</v>
      </c>
      <c r="D3283" s="656" t="s">
        <v>427</v>
      </c>
      <c r="E3283" s="534">
        <v>679.95999800000004</v>
      </c>
    </row>
    <row r="3284" spans="2:5" x14ac:dyDescent="0.2">
      <c r="B3284" s="533">
        <v>3844</v>
      </c>
      <c r="C3284" s="533" t="s">
        <v>2435</v>
      </c>
      <c r="D3284" s="656" t="s">
        <v>427</v>
      </c>
      <c r="E3284" s="534">
        <v>664</v>
      </c>
    </row>
    <row r="3285" spans="2:5" x14ac:dyDescent="0.2">
      <c r="B3285" s="533">
        <v>3845</v>
      </c>
      <c r="C3285" s="533" t="s">
        <v>1940</v>
      </c>
      <c r="D3285" s="656" t="s">
        <v>427</v>
      </c>
      <c r="E3285" s="534">
        <v>657.50908300000003</v>
      </c>
    </row>
    <row r="3286" spans="2:5" x14ac:dyDescent="0.2">
      <c r="B3286" s="533">
        <v>3846</v>
      </c>
      <c r="C3286" s="533" t="s">
        <v>3211</v>
      </c>
      <c r="D3286" s="656" t="s">
        <v>427</v>
      </c>
      <c r="E3286" s="534">
        <v>702.18332899999996</v>
      </c>
    </row>
    <row r="3287" spans="2:5" x14ac:dyDescent="0.2">
      <c r="B3287" s="533">
        <v>3847</v>
      </c>
      <c r="C3287" s="533" t="s">
        <v>3839</v>
      </c>
      <c r="D3287" s="656" t="s">
        <v>427</v>
      </c>
      <c r="E3287" s="534">
        <v>735.56667100000004</v>
      </c>
    </row>
    <row r="3288" spans="2:5" x14ac:dyDescent="0.2">
      <c r="B3288" s="533">
        <v>3848</v>
      </c>
      <c r="C3288" s="533" t="s">
        <v>1596</v>
      </c>
      <c r="D3288" s="656" t="s">
        <v>427</v>
      </c>
      <c r="E3288" s="534">
        <v>626.85455300000001</v>
      </c>
    </row>
    <row r="3289" spans="2:5" x14ac:dyDescent="0.2">
      <c r="B3289" s="533">
        <v>3849</v>
      </c>
      <c r="C3289" s="533" t="s">
        <v>1849</v>
      </c>
      <c r="D3289" s="656" t="s">
        <v>427</v>
      </c>
      <c r="E3289" s="534">
        <v>638.25001499999996</v>
      </c>
    </row>
    <row r="3290" spans="2:5" x14ac:dyDescent="0.2">
      <c r="B3290" s="533">
        <v>3850</v>
      </c>
      <c r="C3290" s="533" t="s">
        <v>7063</v>
      </c>
      <c r="D3290" s="656" t="s">
        <v>427</v>
      </c>
      <c r="E3290" s="534">
        <v>668.36665900000003</v>
      </c>
    </row>
    <row r="3291" spans="2:5" x14ac:dyDescent="0.2">
      <c r="B3291" s="533">
        <v>3851</v>
      </c>
      <c r="C3291" s="533" t="s">
        <v>3427</v>
      </c>
      <c r="D3291" s="656" t="s">
        <v>427</v>
      </c>
      <c r="E3291" s="534">
        <v>712.58333300000004</v>
      </c>
    </row>
    <row r="3292" spans="2:5" x14ac:dyDescent="0.2">
      <c r="B3292" s="533">
        <v>3852</v>
      </c>
      <c r="C3292" s="533" t="s">
        <v>1226</v>
      </c>
      <c r="D3292" s="656" t="s">
        <v>427</v>
      </c>
      <c r="E3292" s="534">
        <v>605.84286099999997</v>
      </c>
    </row>
    <row r="3293" spans="2:5" x14ac:dyDescent="0.2">
      <c r="B3293" s="533">
        <v>3852</v>
      </c>
      <c r="C3293" s="533" t="s">
        <v>1226</v>
      </c>
      <c r="D3293" s="656" t="s">
        <v>421</v>
      </c>
      <c r="E3293" s="534">
        <v>605.84286099999997</v>
      </c>
    </row>
    <row r="3294" spans="2:5" x14ac:dyDescent="0.2">
      <c r="B3294" s="533">
        <v>3853</v>
      </c>
      <c r="C3294" s="533" t="s">
        <v>3872</v>
      </c>
      <c r="D3294" s="656" t="s">
        <v>427</v>
      </c>
      <c r="E3294" s="534">
        <v>737.81667100000004</v>
      </c>
    </row>
    <row r="3295" spans="2:5" x14ac:dyDescent="0.2">
      <c r="B3295" s="533">
        <v>3854</v>
      </c>
      <c r="C3295" s="533" t="s">
        <v>2408</v>
      </c>
      <c r="D3295" s="656" t="s">
        <v>427</v>
      </c>
      <c r="E3295" s="534">
        <v>663.100008</v>
      </c>
    </row>
    <row r="3296" spans="2:5" x14ac:dyDescent="0.2">
      <c r="B3296" s="533">
        <v>3855</v>
      </c>
      <c r="C3296" s="533" t="s">
        <v>3602</v>
      </c>
      <c r="D3296" s="656" t="s">
        <v>427</v>
      </c>
      <c r="E3296" s="534">
        <v>722.27500899999995</v>
      </c>
    </row>
    <row r="3297" spans="2:5" x14ac:dyDescent="0.2">
      <c r="B3297" s="533">
        <v>3856</v>
      </c>
      <c r="C3297" s="533" t="s">
        <v>3333</v>
      </c>
      <c r="D3297" s="656" t="s">
        <v>427</v>
      </c>
      <c r="E3297" s="534">
        <v>707.79999799999996</v>
      </c>
    </row>
    <row r="3298" spans="2:5" x14ac:dyDescent="0.2">
      <c r="B3298" s="533">
        <v>3857</v>
      </c>
      <c r="C3298" s="533" t="s">
        <v>3981</v>
      </c>
      <c r="D3298" s="656" t="s">
        <v>427</v>
      </c>
      <c r="E3298" s="534">
        <v>744.32000700000003</v>
      </c>
    </row>
    <row r="3299" spans="2:5" x14ac:dyDescent="0.2">
      <c r="B3299" s="533">
        <v>3858</v>
      </c>
      <c r="C3299" s="533" t="s">
        <v>3983</v>
      </c>
      <c r="D3299" s="656" t="s">
        <v>427</v>
      </c>
      <c r="E3299" s="534">
        <v>744.42221400000005</v>
      </c>
    </row>
    <row r="3300" spans="2:5" x14ac:dyDescent="0.2">
      <c r="B3300" s="533">
        <v>3859</v>
      </c>
      <c r="C3300" s="533" t="s">
        <v>2176</v>
      </c>
      <c r="D3300" s="656" t="s">
        <v>427</v>
      </c>
      <c r="E3300" s="534">
        <v>652.29999999999995</v>
      </c>
    </row>
    <row r="3301" spans="2:5" x14ac:dyDescent="0.2">
      <c r="B3301" s="533">
        <v>3860</v>
      </c>
      <c r="C3301" s="533" t="s">
        <v>2052</v>
      </c>
      <c r="D3301" s="656" t="s">
        <v>427</v>
      </c>
      <c r="E3301" s="534">
        <v>645.985004</v>
      </c>
    </row>
    <row r="3302" spans="2:5" x14ac:dyDescent="0.2">
      <c r="B3302" s="533">
        <v>3861</v>
      </c>
      <c r="C3302" s="533" t="s">
        <v>2952</v>
      </c>
      <c r="D3302" s="656" t="s">
        <v>427</v>
      </c>
      <c r="E3302" s="534">
        <v>688.383331</v>
      </c>
    </row>
    <row r="3303" spans="2:5" x14ac:dyDescent="0.2">
      <c r="B3303" s="533">
        <v>3862</v>
      </c>
      <c r="C3303" s="533" t="s">
        <v>3317</v>
      </c>
      <c r="D3303" s="656" t="s">
        <v>427</v>
      </c>
      <c r="E3303" s="534">
        <v>707.39999399999999</v>
      </c>
    </row>
    <row r="3304" spans="2:5" x14ac:dyDescent="0.2">
      <c r="B3304" s="533">
        <v>3863</v>
      </c>
      <c r="C3304" s="533" t="s">
        <v>7141</v>
      </c>
      <c r="D3304" s="656" t="s">
        <v>427</v>
      </c>
      <c r="E3304" s="534">
        <v>666.40000399999997</v>
      </c>
    </row>
    <row r="3305" spans="2:5" x14ac:dyDescent="0.2">
      <c r="B3305" s="533">
        <v>3864</v>
      </c>
      <c r="C3305" s="533" t="s">
        <v>2595</v>
      </c>
      <c r="D3305" s="656" t="s">
        <v>427</v>
      </c>
      <c r="E3305" s="534">
        <v>670.98571800000002</v>
      </c>
    </row>
    <row r="3306" spans="2:5" x14ac:dyDescent="0.2">
      <c r="B3306" s="533">
        <v>3865</v>
      </c>
      <c r="C3306" s="533" t="s">
        <v>2307</v>
      </c>
      <c r="D3306" s="656" t="s">
        <v>427</v>
      </c>
      <c r="E3306" s="534">
        <v>658.125</v>
      </c>
    </row>
    <row r="3307" spans="2:5" x14ac:dyDescent="0.2">
      <c r="B3307" s="533">
        <v>3866</v>
      </c>
      <c r="C3307" s="533" t="s">
        <v>2402</v>
      </c>
      <c r="D3307" s="656" t="s">
        <v>427</v>
      </c>
      <c r="E3307" s="534">
        <v>662.875</v>
      </c>
    </row>
    <row r="3308" spans="2:5" x14ac:dyDescent="0.2">
      <c r="B3308" s="533">
        <v>3867</v>
      </c>
      <c r="C3308" s="533" t="s">
        <v>7180</v>
      </c>
      <c r="D3308" s="656" t="s">
        <v>427</v>
      </c>
      <c r="E3308" s="534">
        <v>687.63334099999997</v>
      </c>
    </row>
    <row r="3309" spans="2:5" x14ac:dyDescent="0.2">
      <c r="B3309" s="533">
        <v>3868</v>
      </c>
      <c r="C3309" s="533" t="s">
        <v>1853</v>
      </c>
      <c r="D3309" s="656" t="s">
        <v>427</v>
      </c>
      <c r="E3309" s="534">
        <v>638.47272799999996</v>
      </c>
    </row>
    <row r="3310" spans="2:5" x14ac:dyDescent="0.2">
      <c r="B3310" s="533">
        <v>3869</v>
      </c>
      <c r="C3310" s="533" t="s">
        <v>7199</v>
      </c>
      <c r="D3310" s="656" t="s">
        <v>427</v>
      </c>
      <c r="E3310" s="534">
        <v>610.78750600000001</v>
      </c>
    </row>
    <row r="3311" spans="2:5" x14ac:dyDescent="0.2">
      <c r="B3311" s="533">
        <v>3870</v>
      </c>
      <c r="C3311" s="533" t="s">
        <v>7267</v>
      </c>
      <c r="D3311" s="656" t="s">
        <v>427</v>
      </c>
      <c r="E3311" s="534">
        <v>637.02858200000003</v>
      </c>
    </row>
    <row r="3312" spans="2:5" x14ac:dyDescent="0.2">
      <c r="B3312" s="533">
        <v>3871</v>
      </c>
      <c r="C3312" s="533" t="s">
        <v>7283</v>
      </c>
      <c r="D3312" s="656" t="s">
        <v>427</v>
      </c>
      <c r="E3312" s="534">
        <v>623.92499299999997</v>
      </c>
    </row>
    <row r="3313" spans="2:5" x14ac:dyDescent="0.2">
      <c r="B3313" s="533">
        <v>3872</v>
      </c>
      <c r="C3313" s="533" t="s">
        <v>7294</v>
      </c>
      <c r="D3313" s="656" t="s">
        <v>427</v>
      </c>
      <c r="E3313" s="534">
        <v>723.34997599999997</v>
      </c>
    </row>
    <row r="3314" spans="2:5" x14ac:dyDescent="0.2">
      <c r="B3314" s="533">
        <v>3873</v>
      </c>
      <c r="C3314" s="533" t="s">
        <v>3398</v>
      </c>
      <c r="D3314" s="656" t="s">
        <v>427</v>
      </c>
      <c r="E3314" s="534">
        <v>711.383331</v>
      </c>
    </row>
    <row r="3315" spans="2:5" x14ac:dyDescent="0.2">
      <c r="B3315" s="533">
        <v>3874</v>
      </c>
      <c r="C3315" s="533" t="s">
        <v>4220</v>
      </c>
      <c r="D3315" s="656" t="s">
        <v>427</v>
      </c>
      <c r="E3315" s="534">
        <v>759.77499399999999</v>
      </c>
    </row>
    <row r="3316" spans="2:5" x14ac:dyDescent="0.2">
      <c r="B3316" s="533">
        <v>3875</v>
      </c>
      <c r="C3316" s="533" t="s">
        <v>1838</v>
      </c>
      <c r="D3316" s="656" t="s">
        <v>427</v>
      </c>
      <c r="E3316" s="534">
        <v>637.71764399999995</v>
      </c>
    </row>
    <row r="3317" spans="2:5" x14ac:dyDescent="0.2">
      <c r="B3317" s="533">
        <v>3875</v>
      </c>
      <c r="C3317" s="533" t="s">
        <v>1838</v>
      </c>
      <c r="D3317" s="656" t="s">
        <v>421</v>
      </c>
      <c r="E3317" s="534">
        <v>637.71764399999995</v>
      </c>
    </row>
    <row r="3318" spans="2:5" x14ac:dyDescent="0.2">
      <c r="B3318" s="533">
        <v>3876</v>
      </c>
      <c r="C3318" s="533" t="s">
        <v>2508</v>
      </c>
      <c r="D3318" s="656" t="s">
        <v>427</v>
      </c>
      <c r="E3318" s="534">
        <v>666.68333900000005</v>
      </c>
    </row>
    <row r="3319" spans="2:5" x14ac:dyDescent="0.2">
      <c r="B3319" s="533">
        <v>3877</v>
      </c>
      <c r="C3319" s="533" t="s">
        <v>1149</v>
      </c>
      <c r="D3319" s="656" t="s">
        <v>421</v>
      </c>
      <c r="E3319" s="534">
        <v>601.47499100000005</v>
      </c>
    </row>
    <row r="3320" spans="2:5" x14ac:dyDescent="0.2">
      <c r="B3320" s="533">
        <v>3878</v>
      </c>
      <c r="C3320" s="533" t="s">
        <v>7298</v>
      </c>
      <c r="D3320" s="656" t="s">
        <v>427</v>
      </c>
      <c r="E3320" s="534">
        <v>608.22500600000001</v>
      </c>
    </row>
    <row r="3321" spans="2:5" x14ac:dyDescent="0.2">
      <c r="B3321" s="533">
        <v>3879</v>
      </c>
      <c r="C3321" s="533" t="s">
        <v>1306</v>
      </c>
      <c r="D3321" s="656" t="s">
        <v>427</v>
      </c>
      <c r="E3321" s="534">
        <v>643.34286099999997</v>
      </c>
    </row>
    <row r="3322" spans="2:5" x14ac:dyDescent="0.2">
      <c r="B3322" s="533">
        <v>3880</v>
      </c>
      <c r="C3322" s="533" t="s">
        <v>2966</v>
      </c>
      <c r="D3322" s="656" t="s">
        <v>427</v>
      </c>
      <c r="E3322" s="534">
        <v>689.02499399999999</v>
      </c>
    </row>
    <row r="3323" spans="2:5" x14ac:dyDescent="0.2">
      <c r="B3323" s="533">
        <v>3881</v>
      </c>
      <c r="C3323" s="533" t="s">
        <v>7325</v>
      </c>
      <c r="D3323" s="656" t="s">
        <v>427</v>
      </c>
      <c r="E3323" s="534">
        <v>620.57500500000003</v>
      </c>
    </row>
    <row r="3324" spans="2:5" x14ac:dyDescent="0.2">
      <c r="B3324" s="533">
        <v>3882</v>
      </c>
      <c r="C3324" s="533" t="s">
        <v>2581</v>
      </c>
      <c r="D3324" s="656" t="s">
        <v>427</v>
      </c>
      <c r="E3324" s="534">
        <v>670.05000299999995</v>
      </c>
    </row>
    <row r="3325" spans="2:5" x14ac:dyDescent="0.2">
      <c r="B3325" s="533">
        <v>3883</v>
      </c>
      <c r="C3325" s="533" t="s">
        <v>2864</v>
      </c>
      <c r="D3325" s="656" t="s">
        <v>427</v>
      </c>
      <c r="E3325" s="534">
        <v>684.84999800000003</v>
      </c>
    </row>
    <row r="3326" spans="2:5" x14ac:dyDescent="0.2">
      <c r="B3326" s="533">
        <v>3884</v>
      </c>
      <c r="C3326" s="533" t="s">
        <v>1412</v>
      </c>
      <c r="D3326" s="656" t="s">
        <v>427</v>
      </c>
      <c r="E3326" s="534">
        <v>616.47143600000004</v>
      </c>
    </row>
    <row r="3327" spans="2:5" x14ac:dyDescent="0.2">
      <c r="B3327" s="533">
        <v>3885</v>
      </c>
      <c r="C3327" s="533" t="s">
        <v>1498</v>
      </c>
      <c r="D3327" s="656" t="s">
        <v>427</v>
      </c>
      <c r="E3327" s="534">
        <v>620.96666000000005</v>
      </c>
    </row>
    <row r="3328" spans="2:5" x14ac:dyDescent="0.2">
      <c r="B3328" s="533">
        <v>3886</v>
      </c>
      <c r="C3328" s="533" t="s">
        <v>5152</v>
      </c>
      <c r="D3328" s="656" t="s">
        <v>427</v>
      </c>
      <c r="E3328" s="534">
        <v>839.54998799999998</v>
      </c>
    </row>
    <row r="3329" spans="2:5" x14ac:dyDescent="0.2">
      <c r="B3329" s="533">
        <v>3887</v>
      </c>
      <c r="C3329" s="533" t="s">
        <v>1593</v>
      </c>
      <c r="D3329" s="656" t="s">
        <v>427</v>
      </c>
      <c r="E3329" s="534">
        <v>626.54999999999995</v>
      </c>
    </row>
    <row r="3330" spans="2:5" x14ac:dyDescent="0.2">
      <c r="B3330" s="533">
        <v>3888</v>
      </c>
      <c r="C3330" s="533" t="s">
        <v>7347</v>
      </c>
      <c r="D3330" s="656" t="s">
        <v>427</v>
      </c>
      <c r="E3330" s="534">
        <v>732.37143400000002</v>
      </c>
    </row>
    <row r="3331" spans="2:5" x14ac:dyDescent="0.2">
      <c r="B3331" s="533">
        <v>3889</v>
      </c>
      <c r="C3331" s="533" t="s">
        <v>7382</v>
      </c>
      <c r="D3331" s="656" t="s">
        <v>427</v>
      </c>
      <c r="E3331" s="534">
        <v>669.740002</v>
      </c>
    </row>
    <row r="3332" spans="2:5" x14ac:dyDescent="0.2">
      <c r="B3332" s="533">
        <v>3890</v>
      </c>
      <c r="C3332" s="533" t="s">
        <v>7200</v>
      </c>
      <c r="D3332" s="656" t="s">
        <v>427</v>
      </c>
      <c r="E3332" s="534">
        <v>620.05385200000001</v>
      </c>
    </row>
    <row r="3333" spans="2:5" x14ac:dyDescent="0.2">
      <c r="B3333" s="533">
        <v>3891</v>
      </c>
      <c r="C3333" s="533" t="s">
        <v>966</v>
      </c>
      <c r="D3333" s="656" t="s">
        <v>427</v>
      </c>
      <c r="E3333" s="534">
        <v>586.39166299999999</v>
      </c>
    </row>
    <row r="3334" spans="2:5" x14ac:dyDescent="0.2">
      <c r="B3334" s="533">
        <v>3892</v>
      </c>
      <c r="C3334" s="533" t="s">
        <v>427</v>
      </c>
      <c r="D3334" s="656" t="s">
        <v>427</v>
      </c>
      <c r="E3334" s="534">
        <v>641.55384200000003</v>
      </c>
    </row>
    <row r="3335" spans="2:5" x14ac:dyDescent="0.2">
      <c r="B3335" s="533">
        <v>3893</v>
      </c>
      <c r="C3335" s="533" t="s">
        <v>1760</v>
      </c>
      <c r="D3335" s="656" t="s">
        <v>427</v>
      </c>
      <c r="E3335" s="534">
        <v>634.91665599999999</v>
      </c>
    </row>
    <row r="3336" spans="2:5" x14ac:dyDescent="0.2">
      <c r="B3336" s="533">
        <v>3894</v>
      </c>
      <c r="C3336" s="533" t="s">
        <v>3638</v>
      </c>
      <c r="D3336" s="656" t="s">
        <v>427</v>
      </c>
      <c r="E3336" s="534">
        <v>724.25</v>
      </c>
    </row>
    <row r="3337" spans="2:5" x14ac:dyDescent="0.2">
      <c r="B3337" s="533">
        <v>3895</v>
      </c>
      <c r="C3337" s="533" t="s">
        <v>4852</v>
      </c>
      <c r="D3337" s="656" t="s">
        <v>427</v>
      </c>
      <c r="E3337" s="534">
        <v>808.1875</v>
      </c>
    </row>
    <row r="3338" spans="2:5" x14ac:dyDescent="0.2">
      <c r="B3338" s="533">
        <v>3896</v>
      </c>
      <c r="C3338" s="533" t="s">
        <v>7417</v>
      </c>
      <c r="D3338" s="656" t="s">
        <v>427</v>
      </c>
      <c r="E3338" s="534">
        <v>756.14000199999998</v>
      </c>
    </row>
    <row r="3339" spans="2:5" x14ac:dyDescent="0.2">
      <c r="B3339" s="533">
        <v>3897</v>
      </c>
      <c r="C3339" s="533" t="s">
        <v>4258</v>
      </c>
      <c r="D3339" s="656" t="s">
        <v>427</v>
      </c>
      <c r="E3339" s="534">
        <v>762.5</v>
      </c>
    </row>
    <row r="3340" spans="2:5" x14ac:dyDescent="0.2">
      <c r="B3340" s="533">
        <v>3898</v>
      </c>
      <c r="C3340" s="533" t="s">
        <v>421</v>
      </c>
      <c r="D3340" s="656" t="s">
        <v>421</v>
      </c>
      <c r="E3340" s="534">
        <v>615.69999900000005</v>
      </c>
    </row>
    <row r="3341" spans="2:5" x14ac:dyDescent="0.2">
      <c r="B3341" s="533">
        <v>3899</v>
      </c>
      <c r="C3341" s="533" t="s">
        <v>7452</v>
      </c>
      <c r="D3341" s="656" t="s">
        <v>427</v>
      </c>
      <c r="E3341" s="534">
        <v>655.39285299999995</v>
      </c>
    </row>
    <row r="3342" spans="2:5" x14ac:dyDescent="0.2">
      <c r="B3342" s="533">
        <v>3900</v>
      </c>
      <c r="C3342" s="533" t="s">
        <v>3055</v>
      </c>
      <c r="D3342" s="656" t="s">
        <v>427</v>
      </c>
      <c r="E3342" s="534">
        <v>694.15999799999997</v>
      </c>
    </row>
    <row r="3343" spans="2:5" x14ac:dyDescent="0.2">
      <c r="B3343" s="533">
        <v>3901</v>
      </c>
      <c r="C3343" s="533" t="s">
        <v>3350</v>
      </c>
      <c r="D3343" s="656" t="s">
        <v>427</v>
      </c>
      <c r="E3343" s="534">
        <v>708.91999499999997</v>
      </c>
    </row>
    <row r="3344" spans="2:5" x14ac:dyDescent="0.2">
      <c r="B3344" s="533">
        <v>3902</v>
      </c>
      <c r="C3344" s="533" t="s">
        <v>2791</v>
      </c>
      <c r="D3344" s="656" t="s">
        <v>427</v>
      </c>
      <c r="E3344" s="534">
        <v>681.09997599999997</v>
      </c>
    </row>
    <row r="3345" spans="2:5" x14ac:dyDescent="0.2">
      <c r="B3345" s="533">
        <v>3903</v>
      </c>
      <c r="C3345" s="533" t="s">
        <v>2993</v>
      </c>
      <c r="D3345" s="656" t="s">
        <v>427</v>
      </c>
      <c r="E3345" s="534">
        <v>690.69999700000005</v>
      </c>
    </row>
    <row r="3346" spans="2:5" x14ac:dyDescent="0.2">
      <c r="B3346" s="533">
        <v>3904</v>
      </c>
      <c r="C3346" s="533" t="s">
        <v>1915</v>
      </c>
      <c r="D3346" s="656" t="s">
        <v>427</v>
      </c>
      <c r="E3346" s="534">
        <v>641.02999899999998</v>
      </c>
    </row>
    <row r="3347" spans="2:5" x14ac:dyDescent="0.2">
      <c r="B3347" s="533">
        <v>3905</v>
      </c>
      <c r="C3347" s="533" t="s">
        <v>3751</v>
      </c>
      <c r="D3347" s="656" t="s">
        <v>427</v>
      </c>
      <c r="E3347" s="534">
        <v>730.63999000000001</v>
      </c>
    </row>
    <row r="3348" spans="2:5" x14ac:dyDescent="0.2">
      <c r="B3348" s="533">
        <v>3906</v>
      </c>
      <c r="C3348" s="533" t="s">
        <v>6466</v>
      </c>
      <c r="D3348" s="656" t="s">
        <v>427</v>
      </c>
      <c r="E3348" s="534">
        <v>699.06667100000004</v>
      </c>
    </row>
    <row r="3349" spans="2:5" x14ac:dyDescent="0.2">
      <c r="B3349" s="533">
        <v>3907</v>
      </c>
      <c r="C3349" s="533" t="s">
        <v>7544</v>
      </c>
      <c r="D3349" s="656" t="s">
        <v>427</v>
      </c>
      <c r="E3349" s="534">
        <v>638.6875</v>
      </c>
    </row>
    <row r="3350" spans="2:5" x14ac:dyDescent="0.2">
      <c r="B3350" s="533">
        <v>3908</v>
      </c>
      <c r="C3350" s="533" t="s">
        <v>2319</v>
      </c>
      <c r="D3350" s="656" t="s">
        <v>427</v>
      </c>
      <c r="E3350" s="534">
        <v>658.87999300000001</v>
      </c>
    </row>
    <row r="3351" spans="2:5" x14ac:dyDescent="0.2">
      <c r="B3351" s="533">
        <v>3909</v>
      </c>
      <c r="C3351" s="533" t="s">
        <v>1897</v>
      </c>
      <c r="D3351" s="656" t="s">
        <v>427</v>
      </c>
      <c r="E3351" s="534">
        <v>640.12380800000005</v>
      </c>
    </row>
    <row r="3352" spans="2:5" x14ac:dyDescent="0.2">
      <c r="B3352" s="533">
        <v>3910</v>
      </c>
      <c r="C3352" s="533" t="s">
        <v>7546</v>
      </c>
      <c r="D3352" s="656" t="s">
        <v>427</v>
      </c>
      <c r="E3352" s="534">
        <v>648.54000199999996</v>
      </c>
    </row>
    <row r="3353" spans="2:5" x14ac:dyDescent="0.2">
      <c r="B3353" s="533">
        <v>3911</v>
      </c>
      <c r="C3353" s="533" t="s">
        <v>4959</v>
      </c>
      <c r="D3353" s="656" t="s">
        <v>427</v>
      </c>
      <c r="E3353" s="534">
        <v>818.85999800000002</v>
      </c>
    </row>
    <row r="3354" spans="2:5" x14ac:dyDescent="0.2">
      <c r="B3354" s="533">
        <v>3912</v>
      </c>
      <c r="C3354" s="533" t="s">
        <v>1213</v>
      </c>
      <c r="D3354" s="656" t="s">
        <v>427</v>
      </c>
      <c r="E3354" s="534">
        <v>614.17499299999997</v>
      </c>
    </row>
    <row r="3355" spans="2:5" x14ac:dyDescent="0.2">
      <c r="B3355" s="533">
        <v>3912</v>
      </c>
      <c r="C3355" s="533" t="s">
        <v>1213</v>
      </c>
      <c r="D3355" s="656" t="s">
        <v>421</v>
      </c>
      <c r="E3355" s="534">
        <v>614.17499299999997</v>
      </c>
    </row>
    <row r="3356" spans="2:5" x14ac:dyDescent="0.2">
      <c r="B3356" s="533">
        <v>3913</v>
      </c>
      <c r="C3356" s="533" t="s">
        <v>1497</v>
      </c>
      <c r="D3356" s="656" t="s">
        <v>427</v>
      </c>
      <c r="E3356" s="534">
        <v>620.87143400000002</v>
      </c>
    </row>
    <row r="3357" spans="2:5" x14ac:dyDescent="0.2">
      <c r="B3357" s="533">
        <v>3914</v>
      </c>
      <c r="C3357" s="533" t="s">
        <v>2114</v>
      </c>
      <c r="D3357" s="656" t="s">
        <v>427</v>
      </c>
      <c r="E3357" s="534">
        <v>649.62857499999996</v>
      </c>
    </row>
    <row r="3358" spans="2:5" x14ac:dyDescent="0.2">
      <c r="B3358" s="533">
        <v>3915</v>
      </c>
      <c r="C3358" s="533" t="s">
        <v>2405</v>
      </c>
      <c r="D3358" s="656" t="s">
        <v>427</v>
      </c>
      <c r="E3358" s="534">
        <v>662.99998500000004</v>
      </c>
    </row>
    <row r="3359" spans="2:5" x14ac:dyDescent="0.2">
      <c r="B3359" s="533">
        <v>3916</v>
      </c>
      <c r="C3359" s="533" t="s">
        <v>2004</v>
      </c>
      <c r="D3359" s="656" t="s">
        <v>427</v>
      </c>
      <c r="E3359" s="534">
        <v>643.82857799999999</v>
      </c>
    </row>
    <row r="3360" spans="2:5" x14ac:dyDescent="0.2">
      <c r="B3360" s="533">
        <v>3917</v>
      </c>
      <c r="C3360" s="533" t="s">
        <v>2637</v>
      </c>
      <c r="D3360" s="656" t="s">
        <v>427</v>
      </c>
      <c r="E3360" s="534">
        <v>673.66666699999996</v>
      </c>
    </row>
    <row r="3361" spans="2:5" x14ac:dyDescent="0.2">
      <c r="B3361" s="533">
        <v>3918</v>
      </c>
      <c r="C3361" s="533" t="s">
        <v>1323</v>
      </c>
      <c r="D3361" s="656" t="s">
        <v>421</v>
      </c>
      <c r="E3361" s="534">
        <v>611.58572000000004</v>
      </c>
    </row>
    <row r="3362" spans="2:5" x14ac:dyDescent="0.2">
      <c r="B3362" s="533">
        <v>3919</v>
      </c>
      <c r="C3362" s="533" t="s">
        <v>1195</v>
      </c>
      <c r="D3362" s="656" t="s">
        <v>427</v>
      </c>
      <c r="E3362" s="534">
        <v>665</v>
      </c>
    </row>
    <row r="3363" spans="2:5" x14ac:dyDescent="0.2">
      <c r="B3363" s="533">
        <v>3951</v>
      </c>
      <c r="C3363" s="533" t="s">
        <v>4116</v>
      </c>
      <c r="D3363" s="656" t="s">
        <v>372</v>
      </c>
      <c r="E3363" s="534">
        <v>752.28000499999996</v>
      </c>
    </row>
    <row r="3364" spans="2:5" x14ac:dyDescent="0.2">
      <c r="B3364" s="533">
        <v>3952</v>
      </c>
      <c r="C3364" s="533" t="s">
        <v>2963</v>
      </c>
      <c r="D3364" s="656" t="s">
        <v>372</v>
      </c>
      <c r="E3364" s="534">
        <v>688.94999199999995</v>
      </c>
    </row>
    <row r="3365" spans="2:5" x14ac:dyDescent="0.2">
      <c r="B3365" s="533">
        <v>3953</v>
      </c>
      <c r="C3365" s="533" t="s">
        <v>7055</v>
      </c>
      <c r="D3365" s="656" t="s">
        <v>372</v>
      </c>
      <c r="E3365" s="534">
        <v>730.76000599999998</v>
      </c>
    </row>
    <row r="3366" spans="2:5" x14ac:dyDescent="0.2">
      <c r="B3366" s="533">
        <v>3954</v>
      </c>
      <c r="C3366" s="533" t="s">
        <v>4379</v>
      </c>
      <c r="D3366" s="656" t="s">
        <v>372</v>
      </c>
      <c r="E3366" s="534">
        <v>771.29998799999998</v>
      </c>
    </row>
    <row r="3367" spans="2:5" x14ac:dyDescent="0.2">
      <c r="B3367" s="533">
        <v>3955</v>
      </c>
      <c r="C3367" s="533" t="s">
        <v>2669</v>
      </c>
      <c r="D3367" s="656" t="s">
        <v>372</v>
      </c>
      <c r="E3367" s="534">
        <v>675.00001999999995</v>
      </c>
    </row>
    <row r="3368" spans="2:5" x14ac:dyDescent="0.2">
      <c r="B3368" s="533">
        <v>3956</v>
      </c>
      <c r="C3368" s="533" t="s">
        <v>2094</v>
      </c>
      <c r="D3368" s="656" t="s">
        <v>372</v>
      </c>
      <c r="E3368" s="534">
        <v>648.47273399999995</v>
      </c>
    </row>
    <row r="3369" spans="2:5" x14ac:dyDescent="0.2">
      <c r="B3369" s="533">
        <v>3957</v>
      </c>
      <c r="C3369" s="533" t="s">
        <v>7092</v>
      </c>
      <c r="D3369" s="656" t="s">
        <v>372</v>
      </c>
      <c r="E3369" s="534">
        <v>643.88888199999997</v>
      </c>
    </row>
    <row r="3370" spans="2:5" x14ac:dyDescent="0.2">
      <c r="B3370" s="533">
        <v>3958</v>
      </c>
      <c r="C3370" s="533" t="s">
        <v>3491</v>
      </c>
      <c r="D3370" s="656" t="s">
        <v>372</v>
      </c>
      <c r="E3370" s="534">
        <v>715.92856300000005</v>
      </c>
    </row>
    <row r="3371" spans="2:5" x14ac:dyDescent="0.2">
      <c r="B3371" s="533">
        <v>3959</v>
      </c>
      <c r="C3371" s="533" t="s">
        <v>3027</v>
      </c>
      <c r="D3371" s="656" t="s">
        <v>372</v>
      </c>
      <c r="E3371" s="534">
        <v>692.64443600000004</v>
      </c>
    </row>
    <row r="3372" spans="2:5" x14ac:dyDescent="0.2">
      <c r="B3372" s="533">
        <v>3960</v>
      </c>
      <c r="C3372" s="533" t="s">
        <v>3194</v>
      </c>
      <c r="D3372" s="656" t="s">
        <v>372</v>
      </c>
      <c r="E3372" s="534">
        <v>701.20001200000002</v>
      </c>
    </row>
    <row r="3373" spans="2:5" x14ac:dyDescent="0.2">
      <c r="B3373" s="533">
        <v>3961</v>
      </c>
      <c r="C3373" s="533" t="s">
        <v>3104</v>
      </c>
      <c r="D3373" s="656" t="s">
        <v>372</v>
      </c>
      <c r="E3373" s="534">
        <v>696.79998799999998</v>
      </c>
    </row>
    <row r="3374" spans="2:5" x14ac:dyDescent="0.2">
      <c r="B3374" s="533">
        <v>3962</v>
      </c>
      <c r="C3374" s="533" t="s">
        <v>2767</v>
      </c>
      <c r="D3374" s="656" t="s">
        <v>372</v>
      </c>
      <c r="E3374" s="534">
        <v>679.60000600000001</v>
      </c>
    </row>
    <row r="3375" spans="2:5" x14ac:dyDescent="0.2">
      <c r="B3375" s="533">
        <v>3963</v>
      </c>
      <c r="C3375" s="533" t="s">
        <v>3016</v>
      </c>
      <c r="D3375" s="656" t="s">
        <v>372</v>
      </c>
      <c r="E3375" s="534">
        <v>692.14999399999999</v>
      </c>
    </row>
    <row r="3376" spans="2:5" x14ac:dyDescent="0.2">
      <c r="B3376" s="533">
        <v>3964</v>
      </c>
      <c r="C3376" s="533" t="s">
        <v>2221</v>
      </c>
      <c r="D3376" s="656" t="s">
        <v>372</v>
      </c>
      <c r="E3376" s="534">
        <v>654.31000400000005</v>
      </c>
    </row>
    <row r="3377" spans="2:5" x14ac:dyDescent="0.2">
      <c r="B3377" s="533">
        <v>3965</v>
      </c>
      <c r="C3377" s="533" t="s">
        <v>2762</v>
      </c>
      <c r="D3377" s="656" t="s">
        <v>372</v>
      </c>
      <c r="E3377" s="534">
        <v>679.19999700000005</v>
      </c>
    </row>
    <row r="3378" spans="2:5" x14ac:dyDescent="0.2">
      <c r="B3378" s="533">
        <v>3966</v>
      </c>
      <c r="C3378" s="533" t="s">
        <v>2705</v>
      </c>
      <c r="D3378" s="656" t="s">
        <v>372</v>
      </c>
      <c r="E3378" s="534">
        <v>676.55999799999995</v>
      </c>
    </row>
    <row r="3379" spans="2:5" x14ac:dyDescent="0.2">
      <c r="B3379" s="533">
        <v>3967</v>
      </c>
      <c r="C3379" s="533" t="s">
        <v>6901</v>
      </c>
      <c r="D3379" s="656" t="s">
        <v>372</v>
      </c>
      <c r="E3379" s="534">
        <v>768.01428199999998</v>
      </c>
    </row>
    <row r="3380" spans="2:5" x14ac:dyDescent="0.2">
      <c r="B3380" s="533">
        <v>3968</v>
      </c>
      <c r="C3380" s="533" t="s">
        <v>2560</v>
      </c>
      <c r="D3380" s="656" t="s">
        <v>372</v>
      </c>
      <c r="E3380" s="534">
        <v>769.10000600000001</v>
      </c>
    </row>
    <row r="3381" spans="2:5" x14ac:dyDescent="0.2">
      <c r="B3381" s="533">
        <v>3969</v>
      </c>
      <c r="C3381" s="533" t="s">
        <v>4078</v>
      </c>
      <c r="D3381" s="656" t="s">
        <v>372</v>
      </c>
      <c r="E3381" s="534">
        <v>750.42857100000003</v>
      </c>
    </row>
    <row r="3382" spans="2:5" x14ac:dyDescent="0.2">
      <c r="B3382" s="533">
        <v>3970</v>
      </c>
      <c r="C3382" s="533" t="s">
        <v>3481</v>
      </c>
      <c r="D3382" s="656" t="s">
        <v>372</v>
      </c>
      <c r="E3382" s="534">
        <v>715.50001499999996</v>
      </c>
    </row>
    <row r="3383" spans="2:5" x14ac:dyDescent="0.2">
      <c r="B3383" s="533">
        <v>3971</v>
      </c>
      <c r="C3383" s="533" t="s">
        <v>3662</v>
      </c>
      <c r="D3383" s="656" t="s">
        <v>372</v>
      </c>
      <c r="E3383" s="534">
        <v>725.60000600000001</v>
      </c>
    </row>
    <row r="3384" spans="2:5" x14ac:dyDescent="0.2">
      <c r="B3384" s="533">
        <v>3972</v>
      </c>
      <c r="C3384" s="533" t="s">
        <v>3658</v>
      </c>
      <c r="D3384" s="656" t="s">
        <v>372</v>
      </c>
      <c r="E3384" s="534">
        <v>725.24286800000004</v>
      </c>
    </row>
    <row r="3385" spans="2:5" x14ac:dyDescent="0.2">
      <c r="B3385" s="533">
        <v>3973</v>
      </c>
      <c r="C3385" s="533" t="s">
        <v>3049</v>
      </c>
      <c r="D3385" s="656" t="s">
        <v>372</v>
      </c>
      <c r="E3385" s="534">
        <v>693.90000699999996</v>
      </c>
    </row>
    <row r="3386" spans="2:5" x14ac:dyDescent="0.2">
      <c r="B3386" s="533">
        <v>3974</v>
      </c>
      <c r="C3386" s="533" t="s">
        <v>2911</v>
      </c>
      <c r="D3386" s="656" t="s">
        <v>372</v>
      </c>
      <c r="E3386" s="534">
        <v>686.56001000000003</v>
      </c>
    </row>
    <row r="3387" spans="2:5" x14ac:dyDescent="0.2">
      <c r="B3387" s="533">
        <v>3975</v>
      </c>
      <c r="C3387" s="533" t="s">
        <v>4117</v>
      </c>
      <c r="D3387" s="656" t="s">
        <v>372</v>
      </c>
      <c r="E3387" s="534">
        <v>752.35999800000002</v>
      </c>
    </row>
    <row r="3388" spans="2:5" x14ac:dyDescent="0.2">
      <c r="B3388" s="533">
        <v>3976</v>
      </c>
      <c r="C3388" s="533" t="s">
        <v>3369</v>
      </c>
      <c r="D3388" s="656" t="s">
        <v>372</v>
      </c>
      <c r="E3388" s="534">
        <v>709.68332899999996</v>
      </c>
    </row>
    <row r="3389" spans="2:5" x14ac:dyDescent="0.2">
      <c r="B3389" s="533">
        <v>3977</v>
      </c>
      <c r="C3389" s="533" t="s">
        <v>3995</v>
      </c>
      <c r="D3389" s="656" t="s">
        <v>372</v>
      </c>
      <c r="E3389" s="534">
        <v>744.95000500000003</v>
      </c>
    </row>
    <row r="3390" spans="2:5" x14ac:dyDescent="0.2">
      <c r="B3390" s="533">
        <v>3978</v>
      </c>
      <c r="C3390" s="533" t="s">
        <v>3584</v>
      </c>
      <c r="D3390" s="656" t="s">
        <v>372</v>
      </c>
      <c r="E3390" s="534">
        <v>720.87333599999999</v>
      </c>
    </row>
    <row r="3391" spans="2:5" x14ac:dyDescent="0.2">
      <c r="B3391" s="533">
        <v>3979</v>
      </c>
      <c r="C3391" s="533" t="s">
        <v>1133</v>
      </c>
      <c r="D3391" s="656" t="s">
        <v>372</v>
      </c>
      <c r="E3391" s="534">
        <v>600.29998799999998</v>
      </c>
    </row>
    <row r="3392" spans="2:5" x14ac:dyDescent="0.2">
      <c r="B3392" s="533">
        <v>3980</v>
      </c>
      <c r="C3392" s="533" t="s">
        <v>2846</v>
      </c>
      <c r="D3392" s="656" t="s">
        <v>372</v>
      </c>
      <c r="E3392" s="534">
        <v>684.10001599999998</v>
      </c>
    </row>
    <row r="3393" spans="2:5" x14ac:dyDescent="0.2">
      <c r="B3393" s="533">
        <v>3981</v>
      </c>
      <c r="C3393" s="533" t="s">
        <v>2058</v>
      </c>
      <c r="D3393" s="656" t="s">
        <v>372</v>
      </c>
      <c r="E3393" s="534">
        <v>681.133331</v>
      </c>
    </row>
    <row r="3394" spans="2:5" x14ac:dyDescent="0.2">
      <c r="B3394" s="533">
        <v>3982</v>
      </c>
      <c r="C3394" s="533" t="s">
        <v>3380</v>
      </c>
      <c r="D3394" s="656" t="s">
        <v>372</v>
      </c>
      <c r="E3394" s="534">
        <v>710.125</v>
      </c>
    </row>
    <row r="3395" spans="2:5" x14ac:dyDescent="0.2">
      <c r="B3395" s="533">
        <v>3983</v>
      </c>
      <c r="C3395" s="533" t="s">
        <v>1978</v>
      </c>
      <c r="D3395" s="656" t="s">
        <v>372</v>
      </c>
      <c r="E3395" s="534">
        <v>642.96667500000001</v>
      </c>
    </row>
    <row r="3396" spans="2:5" x14ac:dyDescent="0.2">
      <c r="B3396" s="533">
        <v>3984</v>
      </c>
      <c r="C3396" s="533" t="s">
        <v>2196</v>
      </c>
      <c r="D3396" s="656" t="s">
        <v>372</v>
      </c>
      <c r="E3396" s="534">
        <v>653.07777899999996</v>
      </c>
    </row>
    <row r="3397" spans="2:5" x14ac:dyDescent="0.2">
      <c r="B3397" s="533">
        <v>3985</v>
      </c>
      <c r="C3397" s="533" t="s">
        <v>2070</v>
      </c>
      <c r="D3397" s="656" t="s">
        <v>372</v>
      </c>
      <c r="E3397" s="534">
        <v>647.22499100000005</v>
      </c>
    </row>
    <row r="3398" spans="2:5" x14ac:dyDescent="0.2">
      <c r="B3398" s="533">
        <v>3986</v>
      </c>
      <c r="C3398" s="533" t="s">
        <v>3023</v>
      </c>
      <c r="D3398" s="656" t="s">
        <v>372</v>
      </c>
      <c r="E3398" s="534">
        <v>692.44999700000005</v>
      </c>
    </row>
    <row r="3399" spans="2:5" x14ac:dyDescent="0.2">
      <c r="B3399" s="533">
        <v>3987</v>
      </c>
      <c r="C3399" s="533" t="s">
        <v>3671</v>
      </c>
      <c r="D3399" s="656" t="s">
        <v>372</v>
      </c>
      <c r="E3399" s="534">
        <v>726.30000800000005</v>
      </c>
    </row>
    <row r="3400" spans="2:5" x14ac:dyDescent="0.2">
      <c r="B3400" s="533">
        <v>3988</v>
      </c>
      <c r="C3400" s="533" t="s">
        <v>3136</v>
      </c>
      <c r="D3400" s="656" t="s">
        <v>372</v>
      </c>
      <c r="E3400" s="534">
        <v>698.60000600000001</v>
      </c>
    </row>
    <row r="3401" spans="2:5" x14ac:dyDescent="0.2">
      <c r="B3401" s="533">
        <v>3989</v>
      </c>
      <c r="C3401" s="533" t="s">
        <v>3711</v>
      </c>
      <c r="D3401" s="656" t="s">
        <v>372</v>
      </c>
      <c r="E3401" s="534">
        <v>728.366669</v>
      </c>
    </row>
    <row r="3402" spans="2:5" x14ac:dyDescent="0.2">
      <c r="B3402" s="533">
        <v>3990</v>
      </c>
      <c r="C3402" s="533" t="s">
        <v>3449</v>
      </c>
      <c r="D3402" s="656" t="s">
        <v>372</v>
      </c>
      <c r="E3402" s="534">
        <v>713.692858</v>
      </c>
    </row>
    <row r="3403" spans="2:5" x14ac:dyDescent="0.2">
      <c r="B3403" s="533">
        <v>3991</v>
      </c>
      <c r="C3403" s="533" t="s">
        <v>2759</v>
      </c>
      <c r="D3403" s="656" t="s">
        <v>372</v>
      </c>
      <c r="E3403" s="534">
        <v>679.10000300000002</v>
      </c>
    </row>
    <row r="3404" spans="2:5" x14ac:dyDescent="0.2">
      <c r="B3404" s="533">
        <v>3992</v>
      </c>
      <c r="C3404" s="533" t="s">
        <v>1327</v>
      </c>
      <c r="D3404" s="656" t="s">
        <v>372</v>
      </c>
      <c r="E3404" s="534">
        <v>611.79998799999998</v>
      </c>
    </row>
    <row r="3405" spans="2:5" x14ac:dyDescent="0.2">
      <c r="B3405" s="533">
        <v>3993</v>
      </c>
      <c r="C3405" s="533" t="s">
        <v>7041</v>
      </c>
      <c r="D3405" s="656" t="s">
        <v>372</v>
      </c>
      <c r="E3405" s="534">
        <v>672.52499399999999</v>
      </c>
    </row>
    <row r="3406" spans="2:5" x14ac:dyDescent="0.2">
      <c r="B3406" s="533">
        <v>3994</v>
      </c>
      <c r="C3406" s="533" t="s">
        <v>3025</v>
      </c>
      <c r="D3406" s="656" t="s">
        <v>372</v>
      </c>
      <c r="E3406" s="534">
        <v>692.55001800000002</v>
      </c>
    </row>
    <row r="3407" spans="2:5" x14ac:dyDescent="0.2">
      <c r="B3407" s="533">
        <v>3995</v>
      </c>
      <c r="C3407" s="533" t="s">
        <v>798</v>
      </c>
      <c r="D3407" s="656" t="s">
        <v>372</v>
      </c>
      <c r="E3407" s="534">
        <v>682.95001200000002</v>
      </c>
    </row>
    <row r="3408" spans="2:5" x14ac:dyDescent="0.2">
      <c r="B3408" s="533">
        <v>3996</v>
      </c>
      <c r="C3408" s="533" t="s">
        <v>6842</v>
      </c>
      <c r="D3408" s="656" t="s">
        <v>372</v>
      </c>
      <c r="E3408" s="534">
        <v>566</v>
      </c>
    </row>
    <row r="3409" spans="2:5" x14ac:dyDescent="0.2">
      <c r="B3409" s="533">
        <v>3997</v>
      </c>
      <c r="C3409" s="533" t="s">
        <v>6566</v>
      </c>
      <c r="D3409" s="656" t="s">
        <v>372</v>
      </c>
      <c r="E3409" s="534">
        <v>646.55001800000002</v>
      </c>
    </row>
    <row r="3410" spans="2:5" x14ac:dyDescent="0.2">
      <c r="B3410" s="533">
        <v>3998</v>
      </c>
      <c r="C3410" s="533" t="s">
        <v>1634</v>
      </c>
      <c r="D3410" s="656" t="s">
        <v>372</v>
      </c>
      <c r="E3410" s="534">
        <v>628.740002</v>
      </c>
    </row>
    <row r="3411" spans="2:5" x14ac:dyDescent="0.2">
      <c r="B3411" s="533">
        <v>3999</v>
      </c>
      <c r="C3411" s="533" t="s">
        <v>1041</v>
      </c>
      <c r="D3411" s="656" t="s">
        <v>372</v>
      </c>
      <c r="E3411" s="534">
        <v>593.95001200000002</v>
      </c>
    </row>
    <row r="3412" spans="2:5" x14ac:dyDescent="0.2">
      <c r="B3412" s="533">
        <v>4000</v>
      </c>
      <c r="C3412" s="533" t="s">
        <v>1217</v>
      </c>
      <c r="D3412" s="656" t="s">
        <v>372</v>
      </c>
      <c r="E3412" s="534">
        <v>605.34286099999997</v>
      </c>
    </row>
    <row r="3413" spans="2:5" x14ac:dyDescent="0.2">
      <c r="B3413" s="533">
        <v>4001</v>
      </c>
      <c r="C3413" s="533" t="s">
        <v>1395</v>
      </c>
      <c r="D3413" s="656" t="s">
        <v>372</v>
      </c>
      <c r="E3413" s="534">
        <v>615.23333700000001</v>
      </c>
    </row>
    <row r="3414" spans="2:5" x14ac:dyDescent="0.2">
      <c r="B3414" s="533">
        <v>4002</v>
      </c>
      <c r="C3414" s="533" t="s">
        <v>1534</v>
      </c>
      <c r="D3414" s="656" t="s">
        <v>372</v>
      </c>
      <c r="E3414" s="534">
        <v>623.25</v>
      </c>
    </row>
    <row r="3415" spans="2:5" x14ac:dyDescent="0.2">
      <c r="B3415" s="533">
        <v>4003</v>
      </c>
      <c r="C3415" s="533" t="s">
        <v>1698</v>
      </c>
      <c r="D3415" s="656" t="s">
        <v>372</v>
      </c>
      <c r="E3415" s="534">
        <v>632.64999399999999</v>
      </c>
    </row>
    <row r="3416" spans="2:5" x14ac:dyDescent="0.2">
      <c r="B3416" s="533">
        <v>4004</v>
      </c>
      <c r="C3416" s="533" t="s">
        <v>1383</v>
      </c>
      <c r="D3416" s="656" t="s">
        <v>372</v>
      </c>
      <c r="E3416" s="534">
        <v>614.79999999999995</v>
      </c>
    </row>
    <row r="3417" spans="2:5" x14ac:dyDescent="0.2">
      <c r="B3417" s="533">
        <v>4005</v>
      </c>
      <c r="C3417" s="533" t="s">
        <v>4441</v>
      </c>
      <c r="D3417" s="656" t="s">
        <v>372</v>
      </c>
      <c r="E3417" s="534">
        <v>776.84999300000004</v>
      </c>
    </row>
    <row r="3418" spans="2:5" x14ac:dyDescent="0.2">
      <c r="B3418" s="533">
        <v>4006</v>
      </c>
      <c r="C3418" s="533" t="s">
        <v>4625</v>
      </c>
      <c r="D3418" s="656" t="s">
        <v>372</v>
      </c>
      <c r="E3418" s="534">
        <v>791.05882699999995</v>
      </c>
    </row>
    <row r="3419" spans="2:5" x14ac:dyDescent="0.2">
      <c r="B3419" s="533">
        <v>4007</v>
      </c>
      <c r="C3419" s="533" t="s">
        <v>3992</v>
      </c>
      <c r="D3419" s="656" t="s">
        <v>372</v>
      </c>
      <c r="E3419" s="534">
        <v>744.85000600000001</v>
      </c>
    </row>
    <row r="3420" spans="2:5" x14ac:dyDescent="0.2">
      <c r="B3420" s="533">
        <v>4008</v>
      </c>
      <c r="C3420" s="533" t="s">
        <v>4447</v>
      </c>
      <c r="D3420" s="656" t="s">
        <v>372</v>
      </c>
      <c r="E3420" s="534">
        <v>777.3</v>
      </c>
    </row>
    <row r="3421" spans="2:5" x14ac:dyDescent="0.2">
      <c r="B3421" s="533">
        <v>4009</v>
      </c>
      <c r="C3421" s="533" t="s">
        <v>7428</v>
      </c>
      <c r="D3421" s="656" t="s">
        <v>372</v>
      </c>
      <c r="E3421" s="534">
        <v>785.30000800000005</v>
      </c>
    </row>
    <row r="3422" spans="2:5" x14ac:dyDescent="0.2">
      <c r="B3422" s="533">
        <v>4010</v>
      </c>
      <c r="C3422" s="533" t="s">
        <v>7437</v>
      </c>
      <c r="D3422" s="656" t="s">
        <v>372</v>
      </c>
      <c r="E3422" s="534">
        <v>758.07141999999999</v>
      </c>
    </row>
    <row r="3423" spans="2:5" x14ac:dyDescent="0.2">
      <c r="B3423" s="533">
        <v>4011</v>
      </c>
      <c r="C3423" s="533" t="s">
        <v>4134</v>
      </c>
      <c r="D3423" s="656" t="s">
        <v>372</v>
      </c>
      <c r="E3423" s="534">
        <v>753.59090900000001</v>
      </c>
    </row>
    <row r="3424" spans="2:5" x14ac:dyDescent="0.2">
      <c r="B3424" s="533">
        <v>4012</v>
      </c>
      <c r="C3424" s="533" t="s">
        <v>3239</v>
      </c>
      <c r="D3424" s="656" t="s">
        <v>372</v>
      </c>
      <c r="E3424" s="534">
        <v>703.24285899999995</v>
      </c>
    </row>
    <row r="3425" spans="2:5" x14ac:dyDescent="0.2">
      <c r="B3425" s="533">
        <v>4013</v>
      </c>
      <c r="C3425" s="533" t="s">
        <v>3314</v>
      </c>
      <c r="D3425" s="656" t="s">
        <v>372</v>
      </c>
      <c r="E3425" s="534">
        <v>707.21250199999997</v>
      </c>
    </row>
    <row r="3426" spans="2:5" x14ac:dyDescent="0.2">
      <c r="B3426" s="533">
        <v>4014</v>
      </c>
      <c r="C3426" s="533" t="s">
        <v>7469</v>
      </c>
      <c r="D3426" s="656" t="s">
        <v>372</v>
      </c>
      <c r="E3426" s="534">
        <v>705.57499700000005</v>
      </c>
    </row>
    <row r="3427" spans="2:5" x14ac:dyDescent="0.2">
      <c r="B3427" s="533">
        <v>4015</v>
      </c>
      <c r="C3427" s="533" t="s">
        <v>3864</v>
      </c>
      <c r="D3427" s="656" t="s">
        <v>372</v>
      </c>
      <c r="E3427" s="534">
        <v>737.32499700000005</v>
      </c>
    </row>
    <row r="3428" spans="2:5" x14ac:dyDescent="0.2">
      <c r="B3428" s="533">
        <v>4016</v>
      </c>
      <c r="C3428" s="533" t="s">
        <v>3137</v>
      </c>
      <c r="D3428" s="656" t="s">
        <v>372</v>
      </c>
      <c r="E3428" s="534">
        <v>698.61428000000001</v>
      </c>
    </row>
    <row r="3429" spans="2:5" x14ac:dyDescent="0.2">
      <c r="B3429" s="533">
        <v>4017</v>
      </c>
      <c r="C3429" s="533" t="s">
        <v>2473</v>
      </c>
      <c r="D3429" s="656" t="s">
        <v>372</v>
      </c>
      <c r="E3429" s="534">
        <v>665.08000500000003</v>
      </c>
    </row>
    <row r="3430" spans="2:5" x14ac:dyDescent="0.2">
      <c r="B3430" s="533">
        <v>4018</v>
      </c>
      <c r="C3430" s="533" t="s">
        <v>2424</v>
      </c>
      <c r="D3430" s="656" t="s">
        <v>372</v>
      </c>
      <c r="E3430" s="534">
        <v>663.66666699999996</v>
      </c>
    </row>
    <row r="3431" spans="2:5" x14ac:dyDescent="0.2">
      <c r="B3431" s="533">
        <v>4019</v>
      </c>
      <c r="C3431" s="533" t="s">
        <v>2443</v>
      </c>
      <c r="D3431" s="656" t="s">
        <v>372</v>
      </c>
      <c r="E3431" s="534">
        <v>664.14999399999999</v>
      </c>
    </row>
    <row r="3432" spans="2:5" x14ac:dyDescent="0.2">
      <c r="B3432" s="533">
        <v>4020</v>
      </c>
      <c r="C3432" s="533" t="s">
        <v>1693</v>
      </c>
      <c r="D3432" s="656" t="s">
        <v>372</v>
      </c>
      <c r="E3432" s="534">
        <v>632.33332299999995</v>
      </c>
    </row>
    <row r="3433" spans="2:5" x14ac:dyDescent="0.2">
      <c r="B3433" s="533">
        <v>4021</v>
      </c>
      <c r="C3433" s="533" t="s">
        <v>1679</v>
      </c>
      <c r="D3433" s="656" t="s">
        <v>372</v>
      </c>
      <c r="E3433" s="534">
        <v>631.71427700000004</v>
      </c>
    </row>
    <row r="3434" spans="2:5" x14ac:dyDescent="0.2">
      <c r="B3434" s="533">
        <v>4022</v>
      </c>
      <c r="C3434" s="533" t="s">
        <v>1242</v>
      </c>
      <c r="D3434" s="656" t="s">
        <v>372</v>
      </c>
      <c r="E3434" s="534">
        <v>606.61818100000005</v>
      </c>
    </row>
    <row r="3435" spans="2:5" x14ac:dyDescent="0.2">
      <c r="B3435" s="533">
        <v>4023</v>
      </c>
      <c r="C3435" s="533" t="s">
        <v>845</v>
      </c>
      <c r="D3435" s="656" t="s">
        <v>372</v>
      </c>
      <c r="E3435" s="534">
        <v>575.14999399999999</v>
      </c>
    </row>
    <row r="3436" spans="2:5" x14ac:dyDescent="0.2">
      <c r="B3436" s="533">
        <v>4024</v>
      </c>
      <c r="C3436" s="533" t="s">
        <v>7302</v>
      </c>
      <c r="D3436" s="656" t="s">
        <v>372</v>
      </c>
      <c r="E3436" s="534">
        <v>597.60000600000001</v>
      </c>
    </row>
    <row r="3437" spans="2:5" x14ac:dyDescent="0.2">
      <c r="B3437" s="533">
        <v>4025</v>
      </c>
      <c r="C3437" s="533" t="s">
        <v>2056</v>
      </c>
      <c r="D3437" s="656" t="s">
        <v>372</v>
      </c>
      <c r="E3437" s="534">
        <v>646.05714599999999</v>
      </c>
    </row>
    <row r="3438" spans="2:5" x14ac:dyDescent="0.2">
      <c r="B3438" s="533">
        <v>4026</v>
      </c>
      <c r="C3438" s="533" t="s">
        <v>6651</v>
      </c>
      <c r="D3438" s="656" t="s">
        <v>372</v>
      </c>
      <c r="E3438" s="534">
        <v>654.66001000000006</v>
      </c>
    </row>
    <row r="3439" spans="2:5" x14ac:dyDescent="0.2">
      <c r="B3439" s="533">
        <v>4027</v>
      </c>
      <c r="C3439" s="533" t="s">
        <v>2808</v>
      </c>
      <c r="D3439" s="656" t="s">
        <v>372</v>
      </c>
      <c r="E3439" s="534">
        <v>681.93333900000005</v>
      </c>
    </row>
    <row r="3440" spans="2:5" x14ac:dyDescent="0.2">
      <c r="B3440" s="533">
        <v>4028</v>
      </c>
      <c r="C3440" s="533" t="s">
        <v>1310</v>
      </c>
      <c r="D3440" s="656" t="s">
        <v>372</v>
      </c>
      <c r="E3440" s="534">
        <v>610.66666699999996</v>
      </c>
    </row>
    <row r="3441" spans="2:5" x14ac:dyDescent="0.2">
      <c r="B3441" s="533">
        <v>4029</v>
      </c>
      <c r="C3441" s="533" t="s">
        <v>1548</v>
      </c>
      <c r="D3441" s="656" t="s">
        <v>372</v>
      </c>
      <c r="E3441" s="534">
        <v>624.10000600000001</v>
      </c>
    </row>
    <row r="3442" spans="2:5" x14ac:dyDescent="0.2">
      <c r="B3442" s="533">
        <v>4030</v>
      </c>
      <c r="C3442" s="533" t="s">
        <v>1353</v>
      </c>
      <c r="D3442" s="656" t="s">
        <v>372</v>
      </c>
      <c r="E3442" s="534">
        <v>613.17142999999999</v>
      </c>
    </row>
    <row r="3443" spans="2:5" x14ac:dyDescent="0.2">
      <c r="B3443" s="533">
        <v>4031</v>
      </c>
      <c r="C3443" s="533" t="s">
        <v>7430</v>
      </c>
      <c r="D3443" s="656" t="s">
        <v>372</v>
      </c>
      <c r="E3443" s="534">
        <v>605.13636399999996</v>
      </c>
    </row>
    <row r="3444" spans="2:5" x14ac:dyDescent="0.2">
      <c r="B3444" s="533">
        <v>4032</v>
      </c>
      <c r="C3444" s="533" t="s">
        <v>4331</v>
      </c>
      <c r="D3444" s="656" t="s">
        <v>372</v>
      </c>
      <c r="E3444" s="534">
        <v>767.40000399999997</v>
      </c>
    </row>
    <row r="3445" spans="2:5" x14ac:dyDescent="0.2">
      <c r="B3445" s="533">
        <v>4033</v>
      </c>
      <c r="C3445" s="533" t="s">
        <v>6590</v>
      </c>
      <c r="D3445" s="656" t="s">
        <v>372</v>
      </c>
      <c r="E3445" s="534">
        <v>635.37501499999996</v>
      </c>
    </row>
    <row r="3446" spans="2:5" x14ac:dyDescent="0.2">
      <c r="B3446" s="533">
        <v>4034</v>
      </c>
      <c r="C3446" s="533" t="s">
        <v>3002</v>
      </c>
      <c r="D3446" s="656" t="s">
        <v>372</v>
      </c>
      <c r="E3446" s="534">
        <v>691.33998999999994</v>
      </c>
    </row>
    <row r="3447" spans="2:5" x14ac:dyDescent="0.2">
      <c r="B3447" s="533">
        <v>4035</v>
      </c>
      <c r="C3447" s="533" t="s">
        <v>372</v>
      </c>
      <c r="D3447" s="656" t="s">
        <v>372</v>
      </c>
      <c r="E3447" s="534">
        <v>648.37143400000002</v>
      </c>
    </row>
    <row r="3448" spans="2:5" x14ac:dyDescent="0.2">
      <c r="B3448" s="533">
        <v>4036</v>
      </c>
      <c r="C3448" s="533" t="s">
        <v>1088</v>
      </c>
      <c r="D3448" s="656" t="s">
        <v>372</v>
      </c>
      <c r="E3448" s="534">
        <v>597.31666099999995</v>
      </c>
    </row>
    <row r="3449" spans="2:5" x14ac:dyDescent="0.2">
      <c r="B3449" s="533">
        <v>4037</v>
      </c>
      <c r="C3449" s="533" t="s">
        <v>3837</v>
      </c>
      <c r="D3449" s="656" t="s">
        <v>372</v>
      </c>
      <c r="E3449" s="534">
        <v>735.5</v>
      </c>
    </row>
    <row r="3450" spans="2:5" x14ac:dyDescent="0.2">
      <c r="B3450" s="533">
        <v>4038</v>
      </c>
      <c r="C3450" s="533" t="s">
        <v>3177</v>
      </c>
      <c r="D3450" s="656" t="s">
        <v>372</v>
      </c>
      <c r="E3450" s="534">
        <v>700.31666600000005</v>
      </c>
    </row>
    <row r="3451" spans="2:5" x14ac:dyDescent="0.2">
      <c r="B3451" s="533">
        <v>4039</v>
      </c>
      <c r="C3451" s="533" t="s">
        <v>1940</v>
      </c>
      <c r="D3451" s="656" t="s">
        <v>372</v>
      </c>
      <c r="E3451" s="534">
        <v>641.68333399999995</v>
      </c>
    </row>
    <row r="3452" spans="2:5" x14ac:dyDescent="0.2">
      <c r="B3452" s="533">
        <v>4040</v>
      </c>
      <c r="C3452" s="533" t="s">
        <v>2153</v>
      </c>
      <c r="D3452" s="656" t="s">
        <v>372</v>
      </c>
      <c r="E3452" s="534">
        <v>651.33333300000004</v>
      </c>
    </row>
    <row r="3453" spans="2:5" x14ac:dyDescent="0.2">
      <c r="B3453" s="533">
        <v>4041</v>
      </c>
      <c r="C3453" s="533" t="s">
        <v>1917</v>
      </c>
      <c r="D3453" s="656" t="s">
        <v>372</v>
      </c>
      <c r="E3453" s="534">
        <v>641.16664600000001</v>
      </c>
    </row>
    <row r="3454" spans="2:5" x14ac:dyDescent="0.2">
      <c r="B3454" s="533">
        <v>4042</v>
      </c>
      <c r="C3454" s="533" t="s">
        <v>6565</v>
      </c>
      <c r="D3454" s="656" t="s">
        <v>372</v>
      </c>
      <c r="E3454" s="534">
        <v>603.33332900000005</v>
      </c>
    </row>
    <row r="3455" spans="2:5" x14ac:dyDescent="0.2">
      <c r="B3455" s="533">
        <v>4043</v>
      </c>
      <c r="C3455" s="533" t="s">
        <v>2075</v>
      </c>
      <c r="D3455" s="656" t="s">
        <v>372</v>
      </c>
      <c r="E3455" s="534">
        <v>647.45000500000003</v>
      </c>
    </row>
    <row r="3456" spans="2:5" x14ac:dyDescent="0.2">
      <c r="B3456" s="533">
        <v>4044</v>
      </c>
      <c r="C3456" s="533" t="s">
        <v>1451</v>
      </c>
      <c r="D3456" s="656" t="s">
        <v>372</v>
      </c>
      <c r="E3456" s="534">
        <v>618.261526</v>
      </c>
    </row>
    <row r="3457" spans="2:5" x14ac:dyDescent="0.2">
      <c r="B3457" s="533">
        <v>4045</v>
      </c>
      <c r="C3457" s="533" t="s">
        <v>1772</v>
      </c>
      <c r="D3457" s="656" t="s">
        <v>372</v>
      </c>
      <c r="E3457" s="534">
        <v>635.43570799999998</v>
      </c>
    </row>
    <row r="3458" spans="2:5" x14ac:dyDescent="0.2">
      <c r="B3458" s="533">
        <v>4046</v>
      </c>
      <c r="C3458" s="533" t="s">
        <v>7196</v>
      </c>
      <c r="D3458" s="656" t="s">
        <v>372</v>
      </c>
      <c r="E3458" s="534">
        <v>874.50999100000001</v>
      </c>
    </row>
    <row r="3459" spans="2:5" x14ac:dyDescent="0.2">
      <c r="B3459" s="533">
        <v>4047</v>
      </c>
      <c r="C3459" s="533" t="s">
        <v>6477</v>
      </c>
      <c r="D3459" s="656" t="s">
        <v>372</v>
      </c>
      <c r="E3459" s="534">
        <v>877.28000499999996</v>
      </c>
    </row>
    <row r="3460" spans="2:5" x14ac:dyDescent="0.2">
      <c r="B3460" s="533">
        <v>4048</v>
      </c>
      <c r="C3460" s="533" t="s">
        <v>1638</v>
      </c>
      <c r="D3460" s="656" t="s">
        <v>372</v>
      </c>
      <c r="E3460" s="534">
        <v>777.09999100000005</v>
      </c>
    </row>
    <row r="3461" spans="2:5" x14ac:dyDescent="0.2">
      <c r="B3461" s="533">
        <v>4049</v>
      </c>
      <c r="C3461" s="533" t="s">
        <v>4393</v>
      </c>
      <c r="D3461" s="656" t="s">
        <v>372</v>
      </c>
      <c r="E3461" s="534">
        <v>772.870001</v>
      </c>
    </row>
    <row r="3462" spans="2:5" x14ac:dyDescent="0.2">
      <c r="B3462" s="533">
        <v>4050</v>
      </c>
      <c r="C3462" s="533" t="s">
        <v>4636</v>
      </c>
      <c r="D3462" s="656" t="s">
        <v>372</v>
      </c>
      <c r="E3462" s="534">
        <v>792.02223000000004</v>
      </c>
    </row>
    <row r="3463" spans="2:5" x14ac:dyDescent="0.2">
      <c r="B3463" s="533">
        <v>4051</v>
      </c>
      <c r="C3463" s="533" t="s">
        <v>4397</v>
      </c>
      <c r="D3463" s="656" t="s">
        <v>372</v>
      </c>
      <c r="E3463" s="534">
        <v>773.22001999999998</v>
      </c>
    </row>
    <row r="3464" spans="2:5" x14ac:dyDescent="0.2">
      <c r="B3464" s="533">
        <v>4052</v>
      </c>
      <c r="C3464" s="533" t="s">
        <v>7256</v>
      </c>
      <c r="D3464" s="656" t="s">
        <v>372</v>
      </c>
      <c r="E3464" s="534">
        <v>696.10000600000001</v>
      </c>
    </row>
    <row r="3465" spans="2:5" x14ac:dyDescent="0.2">
      <c r="B3465" s="533">
        <v>4053</v>
      </c>
      <c r="C3465" s="533" t="s">
        <v>3419</v>
      </c>
      <c r="D3465" s="656" t="s">
        <v>372</v>
      </c>
      <c r="E3465" s="534">
        <v>712.421426</v>
      </c>
    </row>
    <row r="3466" spans="2:5" x14ac:dyDescent="0.2">
      <c r="B3466" s="533">
        <v>4054</v>
      </c>
      <c r="C3466" s="533" t="s">
        <v>3397</v>
      </c>
      <c r="D3466" s="656" t="s">
        <v>372</v>
      </c>
      <c r="E3466" s="534">
        <v>711.31818199999998</v>
      </c>
    </row>
    <row r="3467" spans="2:5" x14ac:dyDescent="0.2">
      <c r="B3467" s="533">
        <v>4055</v>
      </c>
      <c r="C3467" s="533" t="s">
        <v>1736</v>
      </c>
      <c r="D3467" s="656" t="s">
        <v>372</v>
      </c>
      <c r="E3467" s="534">
        <v>633.92941099999996</v>
      </c>
    </row>
    <row r="3468" spans="2:5" x14ac:dyDescent="0.2">
      <c r="B3468" s="533">
        <v>4056</v>
      </c>
      <c r="C3468" s="533" t="s">
        <v>2490</v>
      </c>
      <c r="D3468" s="656" t="s">
        <v>372</v>
      </c>
      <c r="E3468" s="534">
        <v>665.61250299999995</v>
      </c>
    </row>
    <row r="3469" spans="2:5" x14ac:dyDescent="0.2">
      <c r="B3469" s="533">
        <v>4057</v>
      </c>
      <c r="C3469" s="533" t="s">
        <v>2728</v>
      </c>
      <c r="D3469" s="656" t="s">
        <v>372</v>
      </c>
      <c r="E3469" s="534">
        <v>677.54210499999999</v>
      </c>
    </row>
    <row r="3470" spans="2:5" x14ac:dyDescent="0.2">
      <c r="B3470" s="533">
        <v>4058</v>
      </c>
      <c r="C3470" s="533" t="s">
        <v>7161</v>
      </c>
      <c r="D3470" s="656" t="s">
        <v>372</v>
      </c>
      <c r="E3470" s="534">
        <v>660.64286600000003</v>
      </c>
    </row>
    <row r="3471" spans="2:5" x14ac:dyDescent="0.2">
      <c r="B3471" s="533">
        <v>4059</v>
      </c>
      <c r="C3471" s="533" t="s">
        <v>1820</v>
      </c>
      <c r="D3471" s="656" t="s">
        <v>372</v>
      </c>
      <c r="E3471" s="534">
        <v>637.06249200000002</v>
      </c>
    </row>
    <row r="3472" spans="2:5" x14ac:dyDescent="0.2">
      <c r="B3472" s="533">
        <v>4060</v>
      </c>
      <c r="C3472" s="533" t="s">
        <v>2251</v>
      </c>
      <c r="D3472" s="656" t="s">
        <v>372</v>
      </c>
      <c r="E3472" s="534">
        <v>655.68571299999996</v>
      </c>
    </row>
    <row r="3473" spans="2:5" x14ac:dyDescent="0.2">
      <c r="B3473" s="533">
        <v>4061</v>
      </c>
      <c r="C3473" s="533" t="s">
        <v>1692</v>
      </c>
      <c r="D3473" s="656" t="s">
        <v>372</v>
      </c>
      <c r="E3473" s="534">
        <v>632.32000700000003</v>
      </c>
    </row>
    <row r="3474" spans="2:5" x14ac:dyDescent="0.2">
      <c r="B3474" s="533">
        <v>4062</v>
      </c>
      <c r="C3474" s="533" t="s">
        <v>1773</v>
      </c>
      <c r="D3474" s="656" t="s">
        <v>372</v>
      </c>
      <c r="E3474" s="534">
        <v>635.44999700000005</v>
      </c>
    </row>
    <row r="3475" spans="2:5" x14ac:dyDescent="0.2">
      <c r="B3475" s="533">
        <v>4063</v>
      </c>
      <c r="C3475" s="533" t="s">
        <v>2415</v>
      </c>
      <c r="D3475" s="656" t="s">
        <v>372</v>
      </c>
      <c r="E3475" s="534">
        <v>663.40001199999995</v>
      </c>
    </row>
    <row r="3476" spans="2:5" x14ac:dyDescent="0.2">
      <c r="B3476" s="533">
        <v>4064</v>
      </c>
      <c r="C3476" s="533" t="s">
        <v>2129</v>
      </c>
      <c r="D3476" s="656" t="s">
        <v>372</v>
      </c>
      <c r="E3476" s="534">
        <v>650.32142899999997</v>
      </c>
    </row>
    <row r="3477" spans="2:5" x14ac:dyDescent="0.2">
      <c r="B3477" s="533">
        <v>4065</v>
      </c>
      <c r="C3477" s="533" t="s">
        <v>2400</v>
      </c>
      <c r="D3477" s="656" t="s">
        <v>372</v>
      </c>
      <c r="E3477" s="534">
        <v>662.78571399999998</v>
      </c>
    </row>
    <row r="3478" spans="2:5" x14ac:dyDescent="0.2">
      <c r="B3478" s="533">
        <v>4066</v>
      </c>
      <c r="C3478" s="533" t="s">
        <v>3668</v>
      </c>
      <c r="D3478" s="656" t="s">
        <v>372</v>
      </c>
      <c r="E3478" s="534">
        <v>725.93998999999997</v>
      </c>
    </row>
    <row r="3479" spans="2:5" x14ac:dyDescent="0.2">
      <c r="B3479" s="533">
        <v>4101</v>
      </c>
      <c r="C3479" s="533" t="s">
        <v>7211</v>
      </c>
      <c r="D3479" s="656" t="s">
        <v>405</v>
      </c>
      <c r="E3479" s="534">
        <v>644.58928400000002</v>
      </c>
    </row>
    <row r="3480" spans="2:5" x14ac:dyDescent="0.2">
      <c r="B3480" s="533">
        <v>4102</v>
      </c>
      <c r="C3480" s="533" t="s">
        <v>2270</v>
      </c>
      <c r="D3480" s="656" t="s">
        <v>405</v>
      </c>
      <c r="E3480" s="534">
        <v>656.39999799999998</v>
      </c>
    </row>
    <row r="3481" spans="2:5" x14ac:dyDescent="0.2">
      <c r="B3481" s="533">
        <v>4103</v>
      </c>
      <c r="C3481" s="533" t="s">
        <v>3264</v>
      </c>
      <c r="D3481" s="656" t="s">
        <v>405</v>
      </c>
      <c r="E3481" s="534">
        <v>704.23331700000006</v>
      </c>
    </row>
    <row r="3482" spans="2:5" x14ac:dyDescent="0.2">
      <c r="B3482" s="533">
        <v>4104</v>
      </c>
      <c r="C3482" s="533" t="s">
        <v>999</v>
      </c>
      <c r="D3482" s="656" t="s">
        <v>405</v>
      </c>
      <c r="E3482" s="534">
        <v>589.95999800000004</v>
      </c>
    </row>
    <row r="3483" spans="2:5" x14ac:dyDescent="0.2">
      <c r="B3483" s="533">
        <v>4105</v>
      </c>
      <c r="C3483" s="533" t="s">
        <v>1371</v>
      </c>
      <c r="D3483" s="656" t="s">
        <v>405</v>
      </c>
      <c r="E3483" s="534">
        <v>614.06666299999995</v>
      </c>
    </row>
    <row r="3484" spans="2:5" x14ac:dyDescent="0.2">
      <c r="B3484" s="533">
        <v>4106</v>
      </c>
      <c r="C3484" s="533" t="s">
        <v>7086</v>
      </c>
      <c r="D3484" s="656" t="s">
        <v>405</v>
      </c>
      <c r="E3484" s="534">
        <v>900.40002400000003</v>
      </c>
    </row>
    <row r="3485" spans="2:5" x14ac:dyDescent="0.2">
      <c r="B3485" s="533">
        <v>4107</v>
      </c>
      <c r="C3485" s="533" t="s">
        <v>5195</v>
      </c>
      <c r="D3485" s="656" t="s">
        <v>405</v>
      </c>
      <c r="E3485" s="534">
        <v>846.28572299999996</v>
      </c>
    </row>
    <row r="3486" spans="2:5" x14ac:dyDescent="0.2">
      <c r="B3486" s="533">
        <v>4108</v>
      </c>
      <c r="C3486" s="533" t="s">
        <v>4130</v>
      </c>
      <c r="D3486" s="656" t="s">
        <v>405</v>
      </c>
      <c r="E3486" s="534">
        <v>753.34999800000003</v>
      </c>
    </row>
    <row r="3487" spans="2:5" x14ac:dyDescent="0.2">
      <c r="B3487" s="533">
        <v>4109</v>
      </c>
      <c r="C3487" s="533" t="s">
        <v>7120</v>
      </c>
      <c r="D3487" s="656" t="s">
        <v>405</v>
      </c>
      <c r="E3487" s="534">
        <v>759.45</v>
      </c>
    </row>
    <row r="3488" spans="2:5" x14ac:dyDescent="0.2">
      <c r="B3488" s="533">
        <v>4110</v>
      </c>
      <c r="C3488" s="533" t="s">
        <v>4843</v>
      </c>
      <c r="D3488" s="656" t="s">
        <v>405</v>
      </c>
      <c r="E3488" s="534">
        <v>807.38334099999997</v>
      </c>
    </row>
    <row r="3489" spans="2:5" x14ac:dyDescent="0.2">
      <c r="B3489" s="533">
        <v>4111</v>
      </c>
      <c r="C3489" s="533" t="s">
        <v>4423</v>
      </c>
      <c r="D3489" s="656" t="s">
        <v>405</v>
      </c>
      <c r="E3489" s="534">
        <v>775.41666699999996</v>
      </c>
    </row>
    <row r="3490" spans="2:5" x14ac:dyDescent="0.2">
      <c r="B3490" s="533">
        <v>4112</v>
      </c>
      <c r="C3490" s="533" t="s">
        <v>816</v>
      </c>
      <c r="D3490" s="656" t="s">
        <v>405</v>
      </c>
      <c r="E3490" s="534">
        <v>816.81999499999995</v>
      </c>
    </row>
    <row r="3491" spans="2:5" x14ac:dyDescent="0.2">
      <c r="B3491" s="533">
        <v>4113</v>
      </c>
      <c r="C3491" s="533" t="s">
        <v>5103</v>
      </c>
      <c r="D3491" s="656" t="s">
        <v>405</v>
      </c>
      <c r="E3491" s="534">
        <v>834.52777800000001</v>
      </c>
    </row>
    <row r="3492" spans="2:5" x14ac:dyDescent="0.2">
      <c r="B3492" s="533">
        <v>4114</v>
      </c>
      <c r="C3492" s="533" t="s">
        <v>7304</v>
      </c>
      <c r="D3492" s="656" t="s">
        <v>405</v>
      </c>
      <c r="E3492" s="534">
        <v>665.73999600000002</v>
      </c>
    </row>
    <row r="3493" spans="2:5" x14ac:dyDescent="0.2">
      <c r="B3493" s="533">
        <v>4115</v>
      </c>
      <c r="C3493" s="533" t="s">
        <v>6841</v>
      </c>
      <c r="D3493" s="656" t="s">
        <v>405</v>
      </c>
      <c r="E3493" s="534">
        <v>722.33333300000004</v>
      </c>
    </row>
    <row r="3494" spans="2:5" x14ac:dyDescent="0.2">
      <c r="B3494" s="533">
        <v>4116</v>
      </c>
      <c r="C3494" s="533" t="s">
        <v>3647</v>
      </c>
      <c r="D3494" s="656" t="s">
        <v>405</v>
      </c>
      <c r="E3494" s="534">
        <v>724.54634499999997</v>
      </c>
    </row>
    <row r="3495" spans="2:5" x14ac:dyDescent="0.2">
      <c r="B3495" s="533">
        <v>4117</v>
      </c>
      <c r="C3495" s="533" t="s">
        <v>2816</v>
      </c>
      <c r="D3495" s="656" t="s">
        <v>405</v>
      </c>
      <c r="E3495" s="534">
        <v>682.28332499999999</v>
      </c>
    </row>
    <row r="3496" spans="2:5" x14ac:dyDescent="0.2">
      <c r="B3496" s="533">
        <v>4118</v>
      </c>
      <c r="C3496" s="533" t="s">
        <v>1892</v>
      </c>
      <c r="D3496" s="656" t="s">
        <v>405</v>
      </c>
      <c r="E3496" s="534">
        <v>654.47501399999999</v>
      </c>
    </row>
    <row r="3497" spans="2:5" x14ac:dyDescent="0.2">
      <c r="B3497" s="533">
        <v>4119</v>
      </c>
      <c r="C3497" s="533" t="s">
        <v>2267</v>
      </c>
      <c r="D3497" s="656" t="s">
        <v>405</v>
      </c>
      <c r="E3497" s="534">
        <v>656.31071499999996</v>
      </c>
    </row>
    <row r="3498" spans="2:5" x14ac:dyDescent="0.2">
      <c r="B3498" s="533">
        <v>4120</v>
      </c>
      <c r="C3498" s="533" t="s">
        <v>6869</v>
      </c>
      <c r="D3498" s="656" t="s">
        <v>405</v>
      </c>
      <c r="E3498" s="534">
        <v>666.41875100000004</v>
      </c>
    </row>
    <row r="3499" spans="2:5" x14ac:dyDescent="0.2">
      <c r="B3499" s="533">
        <v>4121</v>
      </c>
      <c r="C3499" s="533" t="s">
        <v>6870</v>
      </c>
      <c r="D3499" s="656" t="s">
        <v>405</v>
      </c>
      <c r="E3499" s="534">
        <v>680.51429099999996</v>
      </c>
    </row>
    <row r="3500" spans="2:5" x14ac:dyDescent="0.2">
      <c r="B3500" s="533">
        <v>4122</v>
      </c>
      <c r="C3500" s="533" t="s">
        <v>1920</v>
      </c>
      <c r="D3500" s="656" t="s">
        <v>405</v>
      </c>
      <c r="E3500" s="534">
        <v>641.22962600000005</v>
      </c>
    </row>
    <row r="3501" spans="2:5" x14ac:dyDescent="0.2">
      <c r="B3501" s="533">
        <v>4123</v>
      </c>
      <c r="C3501" s="533" t="s">
        <v>7295</v>
      </c>
      <c r="D3501" s="656" t="s">
        <v>405</v>
      </c>
      <c r="E3501" s="534">
        <v>694.76363900000001</v>
      </c>
    </row>
    <row r="3502" spans="2:5" x14ac:dyDescent="0.2">
      <c r="B3502" s="533">
        <v>4124</v>
      </c>
      <c r="C3502" s="533" t="s">
        <v>2731</v>
      </c>
      <c r="D3502" s="656" t="s">
        <v>405</v>
      </c>
      <c r="E3502" s="534">
        <v>677.74999600000001</v>
      </c>
    </row>
    <row r="3503" spans="2:5" x14ac:dyDescent="0.2">
      <c r="B3503" s="533">
        <v>4125</v>
      </c>
      <c r="C3503" s="533" t="s">
        <v>6750</v>
      </c>
      <c r="D3503" s="656" t="s">
        <v>405</v>
      </c>
      <c r="E3503" s="534">
        <v>752.20714899999996</v>
      </c>
    </row>
    <row r="3504" spans="2:5" x14ac:dyDescent="0.2">
      <c r="B3504" s="533">
        <v>4126</v>
      </c>
      <c r="C3504" s="533" t="s">
        <v>3265</v>
      </c>
      <c r="D3504" s="656" t="s">
        <v>405</v>
      </c>
      <c r="E3504" s="534">
        <v>704.24583399999995</v>
      </c>
    </row>
    <row r="3505" spans="2:5" x14ac:dyDescent="0.2">
      <c r="B3505" s="533">
        <v>4127</v>
      </c>
      <c r="C3505" s="533" t="s">
        <v>7441</v>
      </c>
      <c r="D3505" s="656" t="s">
        <v>405</v>
      </c>
      <c r="E3505" s="534">
        <v>687.47499600000003</v>
      </c>
    </row>
    <row r="3506" spans="2:5" x14ac:dyDescent="0.2">
      <c r="B3506" s="533">
        <v>4128</v>
      </c>
      <c r="C3506" s="533" t="s">
        <v>6533</v>
      </c>
      <c r="D3506" s="656" t="s">
        <v>405</v>
      </c>
      <c r="E3506" s="534">
        <v>796.03332499999999</v>
      </c>
    </row>
    <row r="3507" spans="2:5" x14ac:dyDescent="0.2">
      <c r="B3507" s="533">
        <v>4129</v>
      </c>
      <c r="C3507" s="533" t="s">
        <v>3770</v>
      </c>
      <c r="D3507" s="656" t="s">
        <v>405</v>
      </c>
      <c r="E3507" s="534">
        <v>731.64545199999998</v>
      </c>
    </row>
    <row r="3508" spans="2:5" x14ac:dyDescent="0.2">
      <c r="B3508" s="533">
        <v>4130</v>
      </c>
      <c r="C3508" s="533" t="s">
        <v>3282</v>
      </c>
      <c r="D3508" s="656" t="s">
        <v>405</v>
      </c>
      <c r="E3508" s="534">
        <v>705.258331</v>
      </c>
    </row>
    <row r="3509" spans="2:5" x14ac:dyDescent="0.2">
      <c r="B3509" s="533">
        <v>4131</v>
      </c>
      <c r="C3509" s="533" t="s">
        <v>2682</v>
      </c>
      <c r="D3509" s="656" t="s">
        <v>405</v>
      </c>
      <c r="E3509" s="534">
        <v>675.51817200000005</v>
      </c>
    </row>
    <row r="3510" spans="2:5" x14ac:dyDescent="0.2">
      <c r="B3510" s="533">
        <v>4132</v>
      </c>
      <c r="C3510" s="533" t="s">
        <v>2944</v>
      </c>
      <c r="D3510" s="656" t="s">
        <v>405</v>
      </c>
      <c r="E3510" s="534">
        <v>687.98333200000002</v>
      </c>
    </row>
    <row r="3511" spans="2:5" x14ac:dyDescent="0.2">
      <c r="B3511" s="533">
        <v>4133</v>
      </c>
      <c r="C3511" s="533" t="s">
        <v>5212</v>
      </c>
      <c r="D3511" s="656" t="s">
        <v>405</v>
      </c>
      <c r="E3511" s="534">
        <v>848.64999399999999</v>
      </c>
    </row>
    <row r="3512" spans="2:5" x14ac:dyDescent="0.2">
      <c r="B3512" s="533">
        <v>4134</v>
      </c>
      <c r="C3512" s="533" t="s">
        <v>4832</v>
      </c>
      <c r="D3512" s="656" t="s">
        <v>405</v>
      </c>
      <c r="E3512" s="534">
        <v>806.629999</v>
      </c>
    </row>
    <row r="3513" spans="2:5" x14ac:dyDescent="0.2">
      <c r="B3513" s="533">
        <v>4135</v>
      </c>
      <c r="C3513" s="533" t="s">
        <v>4372</v>
      </c>
      <c r="D3513" s="656" t="s">
        <v>405</v>
      </c>
      <c r="E3513" s="534">
        <v>770.70000900000002</v>
      </c>
    </row>
    <row r="3514" spans="2:5" x14ac:dyDescent="0.2">
      <c r="B3514" s="533">
        <v>4136</v>
      </c>
      <c r="C3514" s="533" t="s">
        <v>4192</v>
      </c>
      <c r="D3514" s="656" t="s">
        <v>405</v>
      </c>
      <c r="E3514" s="534">
        <v>757.76666299999999</v>
      </c>
    </row>
    <row r="3515" spans="2:5" x14ac:dyDescent="0.2">
      <c r="B3515" s="533">
        <v>4137</v>
      </c>
      <c r="C3515" s="533" t="s">
        <v>4543</v>
      </c>
      <c r="D3515" s="656" t="s">
        <v>405</v>
      </c>
      <c r="E3515" s="534">
        <v>784.07367899999997</v>
      </c>
    </row>
    <row r="3516" spans="2:5" x14ac:dyDescent="0.2">
      <c r="B3516" s="533">
        <v>4138</v>
      </c>
      <c r="C3516" s="533" t="s">
        <v>3418</v>
      </c>
      <c r="D3516" s="656" t="s">
        <v>405</v>
      </c>
      <c r="E3516" s="534">
        <v>712.42000700000006</v>
      </c>
    </row>
    <row r="3517" spans="2:5" x14ac:dyDescent="0.2">
      <c r="B3517" s="533">
        <v>4139</v>
      </c>
      <c r="C3517" s="533" t="s">
        <v>3172</v>
      </c>
      <c r="D3517" s="656" t="s">
        <v>405</v>
      </c>
      <c r="E3517" s="534">
        <v>700.25</v>
      </c>
    </row>
    <row r="3518" spans="2:5" x14ac:dyDescent="0.2">
      <c r="B3518" s="533">
        <v>4140</v>
      </c>
      <c r="C3518" s="533" t="s">
        <v>4053</v>
      </c>
      <c r="D3518" s="656" t="s">
        <v>405</v>
      </c>
      <c r="E3518" s="534">
        <v>748.94999700000005</v>
      </c>
    </row>
    <row r="3519" spans="2:5" x14ac:dyDescent="0.2">
      <c r="B3519" s="533">
        <v>4141</v>
      </c>
      <c r="C3519" s="533" t="s">
        <v>3592</v>
      </c>
      <c r="D3519" s="656" t="s">
        <v>405</v>
      </c>
      <c r="E3519" s="534">
        <v>721.44998199999998</v>
      </c>
    </row>
    <row r="3520" spans="2:5" x14ac:dyDescent="0.2">
      <c r="B3520" s="533">
        <v>4142</v>
      </c>
      <c r="C3520" s="533" t="s">
        <v>7380</v>
      </c>
      <c r="D3520" s="656" t="s">
        <v>405</v>
      </c>
      <c r="E3520" s="534">
        <v>704.70000800000003</v>
      </c>
    </row>
    <row r="3521" spans="2:5" x14ac:dyDescent="0.2">
      <c r="B3521" s="533">
        <v>4143</v>
      </c>
      <c r="C3521" s="533" t="s">
        <v>3198</v>
      </c>
      <c r="D3521" s="656" t="s">
        <v>405</v>
      </c>
      <c r="E3521" s="534">
        <v>701.41666699999996</v>
      </c>
    </row>
    <row r="3522" spans="2:5" x14ac:dyDescent="0.2">
      <c r="B3522" s="533">
        <v>4144</v>
      </c>
      <c r="C3522" s="533" t="s">
        <v>3215</v>
      </c>
      <c r="D3522" s="656" t="s">
        <v>405</v>
      </c>
      <c r="E3522" s="534">
        <v>702.36363100000005</v>
      </c>
    </row>
    <row r="3523" spans="2:5" x14ac:dyDescent="0.2">
      <c r="B3523" s="533">
        <v>4145</v>
      </c>
      <c r="C3523" s="533" t="s">
        <v>2509</v>
      </c>
      <c r="D3523" s="656" t="s">
        <v>405</v>
      </c>
      <c r="E3523" s="534">
        <v>666.72999900000002</v>
      </c>
    </row>
    <row r="3524" spans="2:5" x14ac:dyDescent="0.2">
      <c r="B3524" s="533">
        <v>4146</v>
      </c>
      <c r="C3524" s="533" t="s">
        <v>2978</v>
      </c>
      <c r="D3524" s="656" t="s">
        <v>405</v>
      </c>
      <c r="E3524" s="534">
        <v>690.01428199999998</v>
      </c>
    </row>
    <row r="3525" spans="2:5" x14ac:dyDescent="0.2">
      <c r="B3525" s="533">
        <v>4147</v>
      </c>
      <c r="C3525" s="533" t="s">
        <v>6891</v>
      </c>
      <c r="D3525" s="656" t="s">
        <v>405</v>
      </c>
      <c r="E3525" s="534">
        <v>652.77500399999997</v>
      </c>
    </row>
    <row r="3526" spans="2:5" x14ac:dyDescent="0.2">
      <c r="B3526" s="533">
        <v>4148</v>
      </c>
      <c r="C3526" s="533" t="s">
        <v>2535</v>
      </c>
      <c r="D3526" s="656" t="s">
        <v>405</v>
      </c>
      <c r="E3526" s="534">
        <v>668.21428600000002</v>
      </c>
    </row>
    <row r="3527" spans="2:5" x14ac:dyDescent="0.2">
      <c r="B3527" s="533">
        <v>4149</v>
      </c>
      <c r="C3527" s="533" t="s">
        <v>405</v>
      </c>
      <c r="D3527" s="656" t="s">
        <v>405</v>
      </c>
      <c r="E3527" s="534">
        <v>649.29048399999999</v>
      </c>
    </row>
    <row r="3528" spans="2:5" x14ac:dyDescent="0.2">
      <c r="B3528" s="533">
        <v>4150</v>
      </c>
      <c r="C3528" s="533" t="s">
        <v>2995</v>
      </c>
      <c r="D3528" s="656" t="s">
        <v>405</v>
      </c>
      <c r="E3528" s="534">
        <v>690.70666900000003</v>
      </c>
    </row>
    <row r="3529" spans="2:5" x14ac:dyDescent="0.2">
      <c r="B3529" s="533">
        <v>4151</v>
      </c>
      <c r="C3529" s="533" t="s">
        <v>3166</v>
      </c>
      <c r="D3529" s="656" t="s">
        <v>405</v>
      </c>
      <c r="E3529" s="534">
        <v>700.04117699999995</v>
      </c>
    </row>
    <row r="3530" spans="2:5" x14ac:dyDescent="0.2">
      <c r="B3530" s="533">
        <v>4152</v>
      </c>
      <c r="C3530" s="533" t="s">
        <v>6893</v>
      </c>
      <c r="D3530" s="656" t="s">
        <v>405</v>
      </c>
      <c r="E3530" s="534">
        <v>727.42800299999999</v>
      </c>
    </row>
    <row r="3531" spans="2:5" x14ac:dyDescent="0.2">
      <c r="B3531" s="533">
        <v>4153</v>
      </c>
      <c r="C3531" s="533" t="s">
        <v>6629</v>
      </c>
      <c r="D3531" s="656" t="s">
        <v>405</v>
      </c>
      <c r="E3531" s="534">
        <v>749.73076900000001</v>
      </c>
    </row>
    <row r="3532" spans="2:5" x14ac:dyDescent="0.2">
      <c r="B3532" s="533">
        <v>4154</v>
      </c>
      <c r="C3532" s="533" t="s">
        <v>3401</v>
      </c>
      <c r="D3532" s="656" t="s">
        <v>405</v>
      </c>
      <c r="E3532" s="534">
        <v>711.80000600000005</v>
      </c>
    </row>
    <row r="3533" spans="2:5" x14ac:dyDescent="0.2">
      <c r="B3533" s="533">
        <v>4155</v>
      </c>
      <c r="C3533" s="533" t="s">
        <v>4330</v>
      </c>
      <c r="D3533" s="656" t="s">
        <v>405</v>
      </c>
      <c r="E3533" s="534">
        <v>778.02257899999995</v>
      </c>
    </row>
    <row r="3534" spans="2:5" x14ac:dyDescent="0.2">
      <c r="B3534" s="533">
        <v>4156</v>
      </c>
      <c r="C3534" s="533" t="s">
        <v>912</v>
      </c>
      <c r="D3534" s="656" t="s">
        <v>405</v>
      </c>
      <c r="E3534" s="534">
        <v>735.89999399999999</v>
      </c>
    </row>
    <row r="3535" spans="2:5" x14ac:dyDescent="0.2">
      <c r="B3535" s="533">
        <v>4157</v>
      </c>
      <c r="C3535" s="533" t="s">
        <v>4661</v>
      </c>
      <c r="D3535" s="656" t="s">
        <v>405</v>
      </c>
      <c r="E3535" s="534">
        <v>793.81999900000005</v>
      </c>
    </row>
    <row r="3536" spans="2:5" x14ac:dyDescent="0.2">
      <c r="B3536" s="533">
        <v>4158</v>
      </c>
      <c r="C3536" s="533" t="s">
        <v>6531</v>
      </c>
      <c r="D3536" s="656" t="s">
        <v>405</v>
      </c>
      <c r="E3536" s="534">
        <v>785.67273499999999</v>
      </c>
    </row>
    <row r="3537" spans="2:5" x14ac:dyDescent="0.2">
      <c r="B3537" s="533">
        <v>4159</v>
      </c>
      <c r="C3537" s="533" t="s">
        <v>4253</v>
      </c>
      <c r="D3537" s="656" t="s">
        <v>405</v>
      </c>
      <c r="E3537" s="534">
        <v>762.00713900000005</v>
      </c>
    </row>
    <row r="3538" spans="2:5" x14ac:dyDescent="0.2">
      <c r="B3538" s="533">
        <v>4160</v>
      </c>
      <c r="C3538" s="533" t="s">
        <v>4279</v>
      </c>
      <c r="D3538" s="656" t="s">
        <v>405</v>
      </c>
      <c r="E3538" s="534">
        <v>763.66250600000001</v>
      </c>
    </row>
    <row r="3539" spans="2:5" x14ac:dyDescent="0.2">
      <c r="B3539" s="533">
        <v>4161</v>
      </c>
      <c r="C3539" s="533" t="s">
        <v>3095</v>
      </c>
      <c r="D3539" s="656" t="s">
        <v>405</v>
      </c>
      <c r="E3539" s="534">
        <v>696.16874700000005</v>
      </c>
    </row>
    <row r="3540" spans="2:5" x14ac:dyDescent="0.2">
      <c r="B3540" s="533">
        <v>4162</v>
      </c>
      <c r="C3540" s="533" t="s">
        <v>6547</v>
      </c>
      <c r="D3540" s="656" t="s">
        <v>405</v>
      </c>
      <c r="E3540" s="534">
        <v>703.09997599999997</v>
      </c>
    </row>
    <row r="3541" spans="2:5" x14ac:dyDescent="0.2">
      <c r="B3541" s="533">
        <v>4163</v>
      </c>
      <c r="C3541" s="533" t="s">
        <v>7438</v>
      </c>
      <c r="D3541" s="656" t="s">
        <v>405</v>
      </c>
      <c r="E3541" s="534">
        <v>696.64165800000001</v>
      </c>
    </row>
    <row r="3542" spans="2:5" x14ac:dyDescent="0.2">
      <c r="B3542" s="533">
        <v>4164</v>
      </c>
      <c r="C3542" s="533" t="s">
        <v>3168</v>
      </c>
      <c r="D3542" s="656" t="s">
        <v>405</v>
      </c>
      <c r="E3542" s="534">
        <v>700.10555399999998</v>
      </c>
    </row>
    <row r="3543" spans="2:5" x14ac:dyDescent="0.2">
      <c r="B3543" s="533">
        <v>4165</v>
      </c>
      <c r="C3543" s="533" t="s">
        <v>7443</v>
      </c>
      <c r="D3543" s="656" t="s">
        <v>405</v>
      </c>
      <c r="E3543" s="534">
        <v>712.63999000000001</v>
      </c>
    </row>
    <row r="3544" spans="2:5" x14ac:dyDescent="0.2">
      <c r="B3544" s="533">
        <v>4166</v>
      </c>
      <c r="C3544" s="533" t="s">
        <v>3467</v>
      </c>
      <c r="D3544" s="656" t="s">
        <v>405</v>
      </c>
      <c r="E3544" s="534">
        <v>714.71111399999995</v>
      </c>
    </row>
    <row r="3545" spans="2:5" x14ac:dyDescent="0.2">
      <c r="B3545" s="533">
        <v>4167</v>
      </c>
      <c r="C3545" s="533" t="s">
        <v>6542</v>
      </c>
      <c r="D3545" s="656" t="s">
        <v>405</v>
      </c>
      <c r="E3545" s="534">
        <v>738.97499600000003</v>
      </c>
    </row>
    <row r="3546" spans="2:5" x14ac:dyDescent="0.2">
      <c r="B3546" s="533">
        <v>4201</v>
      </c>
      <c r="C3546" s="533" t="s">
        <v>2939</v>
      </c>
      <c r="D3546" s="656" t="s">
        <v>405</v>
      </c>
      <c r="E3546" s="534">
        <v>917.16999499999997</v>
      </c>
    </row>
    <row r="3547" spans="2:5" x14ac:dyDescent="0.2">
      <c r="B3547" s="533">
        <v>4202</v>
      </c>
      <c r="C3547" s="533" t="s">
        <v>5422</v>
      </c>
      <c r="D3547" s="656" t="s">
        <v>405</v>
      </c>
      <c r="E3547" s="534">
        <v>884.47499600000003</v>
      </c>
    </row>
    <row r="3548" spans="2:5" x14ac:dyDescent="0.2">
      <c r="B3548" s="533">
        <v>4203</v>
      </c>
      <c r="C3548" s="533" t="s">
        <v>5274</v>
      </c>
      <c r="D3548" s="656" t="s">
        <v>405</v>
      </c>
      <c r="E3548" s="534">
        <v>858.55384200000003</v>
      </c>
    </row>
    <row r="3549" spans="2:5" x14ac:dyDescent="0.2">
      <c r="B3549" s="533">
        <v>4204</v>
      </c>
      <c r="C3549" s="533" t="s">
        <v>4499</v>
      </c>
      <c r="D3549" s="656" t="s">
        <v>405</v>
      </c>
      <c r="E3549" s="534">
        <v>780.44000200000005</v>
      </c>
    </row>
    <row r="3550" spans="2:5" x14ac:dyDescent="0.2">
      <c r="B3550" s="533">
        <v>4205</v>
      </c>
      <c r="C3550" s="533" t="s">
        <v>7012</v>
      </c>
      <c r="D3550" s="656" t="s">
        <v>405</v>
      </c>
      <c r="E3550" s="534">
        <v>882.75</v>
      </c>
    </row>
    <row r="3551" spans="2:5" x14ac:dyDescent="0.2">
      <c r="B3551" s="533">
        <v>4206</v>
      </c>
      <c r="C3551" s="533" t="s">
        <v>5188</v>
      </c>
      <c r="D3551" s="656" t="s">
        <v>405</v>
      </c>
      <c r="E3551" s="534">
        <v>845.46667500000001</v>
      </c>
    </row>
    <row r="3552" spans="2:5" x14ac:dyDescent="0.2">
      <c r="B3552" s="533">
        <v>4207</v>
      </c>
      <c r="C3552" s="533" t="s">
        <v>3344</v>
      </c>
      <c r="D3552" s="656" t="s">
        <v>405</v>
      </c>
      <c r="E3552" s="534">
        <v>804.64999399999999</v>
      </c>
    </row>
    <row r="3553" spans="2:5" x14ac:dyDescent="0.2">
      <c r="B3553" s="533">
        <v>4208</v>
      </c>
      <c r="C3553" s="533" t="s">
        <v>4649</v>
      </c>
      <c r="D3553" s="656" t="s">
        <v>405</v>
      </c>
      <c r="E3553" s="534">
        <v>792.79998799999998</v>
      </c>
    </row>
    <row r="3554" spans="2:5" x14ac:dyDescent="0.2">
      <c r="B3554" s="533">
        <v>4209</v>
      </c>
      <c r="C3554" s="533" t="s">
        <v>5143</v>
      </c>
      <c r="D3554" s="656" t="s">
        <v>405</v>
      </c>
      <c r="E3554" s="534">
        <v>839.14999399999999</v>
      </c>
    </row>
    <row r="3555" spans="2:5" x14ac:dyDescent="0.2">
      <c r="B3555" s="533">
        <v>4210</v>
      </c>
      <c r="C3555" s="533" t="s">
        <v>5238</v>
      </c>
      <c r="D3555" s="656" t="s">
        <v>405</v>
      </c>
      <c r="E3555" s="534">
        <v>853.31538699999999</v>
      </c>
    </row>
    <row r="3556" spans="2:5" x14ac:dyDescent="0.2">
      <c r="B3556" s="533">
        <v>4211</v>
      </c>
      <c r="C3556" s="533" t="s">
        <v>4725</v>
      </c>
      <c r="D3556" s="656" t="s">
        <v>405</v>
      </c>
      <c r="E3556" s="534">
        <v>799.13999000000001</v>
      </c>
    </row>
    <row r="3557" spans="2:5" x14ac:dyDescent="0.2">
      <c r="B3557" s="533">
        <v>4212</v>
      </c>
      <c r="C3557" s="533" t="s">
        <v>4498</v>
      </c>
      <c r="D3557" s="656" t="s">
        <v>405</v>
      </c>
      <c r="E3557" s="534">
        <v>780.43076699999995</v>
      </c>
    </row>
    <row r="3558" spans="2:5" x14ac:dyDescent="0.2">
      <c r="B3558" s="533">
        <v>4213</v>
      </c>
      <c r="C3558" s="533" t="s">
        <v>7232</v>
      </c>
      <c r="D3558" s="656" t="s">
        <v>405</v>
      </c>
      <c r="E3558" s="534">
        <v>807.79998799999998</v>
      </c>
    </row>
    <row r="3559" spans="2:5" x14ac:dyDescent="0.2">
      <c r="B3559" s="533">
        <v>4214</v>
      </c>
      <c r="C3559" s="533" t="s">
        <v>4976</v>
      </c>
      <c r="D3559" s="656" t="s">
        <v>405</v>
      </c>
      <c r="E3559" s="534">
        <v>946.19230300000004</v>
      </c>
    </row>
    <row r="3560" spans="2:5" x14ac:dyDescent="0.2">
      <c r="B3560" s="533">
        <v>4215</v>
      </c>
      <c r="C3560" s="533" t="s">
        <v>5173</v>
      </c>
      <c r="D3560" s="656" t="s">
        <v>405</v>
      </c>
      <c r="E3560" s="534">
        <v>843.55998499999998</v>
      </c>
    </row>
    <row r="3561" spans="2:5" x14ac:dyDescent="0.2">
      <c r="B3561" s="533">
        <v>4216</v>
      </c>
      <c r="C3561" s="533" t="s">
        <v>4338</v>
      </c>
      <c r="D3561" s="656" t="s">
        <v>405</v>
      </c>
      <c r="E3561" s="534">
        <v>768.04285500000003</v>
      </c>
    </row>
    <row r="3562" spans="2:5" x14ac:dyDescent="0.2">
      <c r="B3562" s="533">
        <v>4217</v>
      </c>
      <c r="C3562" s="533" t="s">
        <v>5559</v>
      </c>
      <c r="D3562" s="656" t="s">
        <v>405</v>
      </c>
      <c r="E3562" s="534">
        <v>907.00714500000004</v>
      </c>
    </row>
    <row r="3563" spans="2:5" x14ac:dyDescent="0.2">
      <c r="B3563" s="533">
        <v>4218</v>
      </c>
      <c r="C3563" s="533" t="s">
        <v>3754</v>
      </c>
      <c r="D3563" s="656" t="s">
        <v>405</v>
      </c>
      <c r="E3563" s="534">
        <v>730.79998799999998</v>
      </c>
    </row>
    <row r="3564" spans="2:5" x14ac:dyDescent="0.2">
      <c r="B3564" s="533">
        <v>4219</v>
      </c>
      <c r="C3564" s="533" t="s">
        <v>4521</v>
      </c>
      <c r="D3564" s="656" t="s">
        <v>405</v>
      </c>
      <c r="E3564" s="534">
        <v>781.92501100000004</v>
      </c>
    </row>
    <row r="3565" spans="2:5" x14ac:dyDescent="0.2">
      <c r="B3565" s="533">
        <v>4220</v>
      </c>
      <c r="C3565" s="533" t="s">
        <v>4209</v>
      </c>
      <c r="D3565" s="656" t="s">
        <v>405</v>
      </c>
      <c r="E3565" s="534">
        <v>758.86000999999999</v>
      </c>
    </row>
    <row r="3566" spans="2:5" x14ac:dyDescent="0.2">
      <c r="B3566" s="533">
        <v>4221</v>
      </c>
      <c r="C3566" s="533" t="s">
        <v>7287</v>
      </c>
      <c r="D3566" s="656" t="s">
        <v>405</v>
      </c>
      <c r="E3566" s="534">
        <v>825.51999499999999</v>
      </c>
    </row>
    <row r="3567" spans="2:5" x14ac:dyDescent="0.2">
      <c r="B3567" s="533">
        <v>4222</v>
      </c>
      <c r="C3567" s="533" t="s">
        <v>7094</v>
      </c>
      <c r="D3567" s="656" t="s">
        <v>405</v>
      </c>
      <c r="E3567" s="534">
        <v>730.84997599999997</v>
      </c>
    </row>
    <row r="3568" spans="2:5" x14ac:dyDescent="0.2">
      <c r="B3568" s="533">
        <v>4223</v>
      </c>
      <c r="C3568" s="533" t="s">
        <v>3407</v>
      </c>
      <c r="D3568" s="656" t="s">
        <v>405</v>
      </c>
      <c r="E3568" s="534">
        <v>750.29998799999998</v>
      </c>
    </row>
    <row r="3569" spans="2:5" x14ac:dyDescent="0.2">
      <c r="B3569" s="533">
        <v>4224</v>
      </c>
      <c r="C3569" s="533" t="s">
        <v>3134</v>
      </c>
      <c r="D3569" s="656" t="s">
        <v>405</v>
      </c>
      <c r="E3569" s="534">
        <v>698.59997599999997</v>
      </c>
    </row>
    <row r="3570" spans="2:5" x14ac:dyDescent="0.2">
      <c r="B3570" s="533">
        <v>4225</v>
      </c>
      <c r="C3570" s="533" t="s">
        <v>6992</v>
      </c>
      <c r="D3570" s="656" t="s">
        <v>405</v>
      </c>
      <c r="E3570" s="534">
        <v>692.26667299999997</v>
      </c>
    </row>
    <row r="3571" spans="2:5" x14ac:dyDescent="0.2">
      <c r="B3571" s="533">
        <v>4226</v>
      </c>
      <c r="C3571" s="533" t="s">
        <v>3670</v>
      </c>
      <c r="D3571" s="656" t="s">
        <v>405</v>
      </c>
      <c r="E3571" s="534">
        <v>726.1</v>
      </c>
    </row>
    <row r="3572" spans="2:5" x14ac:dyDescent="0.2">
      <c r="B3572" s="533">
        <v>4227</v>
      </c>
      <c r="C3572" s="533" t="s">
        <v>3717</v>
      </c>
      <c r="D3572" s="656" t="s">
        <v>405</v>
      </c>
      <c r="E3572" s="534">
        <v>728.56664999999998</v>
      </c>
    </row>
    <row r="3573" spans="2:5" x14ac:dyDescent="0.2">
      <c r="B3573" s="533">
        <v>4228</v>
      </c>
      <c r="C3573" s="533" t="s">
        <v>7447</v>
      </c>
      <c r="D3573" s="656" t="s">
        <v>405</v>
      </c>
      <c r="E3573" s="534">
        <v>736.04999799999996</v>
      </c>
    </row>
    <row r="3574" spans="2:5" x14ac:dyDescent="0.2">
      <c r="B3574" s="533">
        <v>4229</v>
      </c>
      <c r="C3574" s="533" t="s">
        <v>4144</v>
      </c>
      <c r="D3574" s="656" t="s">
        <v>405</v>
      </c>
      <c r="E3574" s="534">
        <v>754.06001000000003</v>
      </c>
    </row>
    <row r="3575" spans="2:5" x14ac:dyDescent="0.2">
      <c r="B3575" s="533">
        <v>4230</v>
      </c>
      <c r="C3575" s="533" t="s">
        <v>4793</v>
      </c>
      <c r="D3575" s="656" t="s">
        <v>405</v>
      </c>
      <c r="E3575" s="534">
        <v>803.65999799999997</v>
      </c>
    </row>
    <row r="3576" spans="2:5" x14ac:dyDescent="0.2">
      <c r="B3576" s="533">
        <v>4231</v>
      </c>
      <c r="C3576" s="533" t="s">
        <v>3383</v>
      </c>
      <c r="D3576" s="656" t="s">
        <v>405</v>
      </c>
      <c r="E3576" s="534">
        <v>710.59999600000003</v>
      </c>
    </row>
    <row r="3577" spans="2:5" x14ac:dyDescent="0.2">
      <c r="B3577" s="533">
        <v>4232</v>
      </c>
      <c r="C3577" s="533" t="s">
        <v>3043</v>
      </c>
      <c r="D3577" s="656" t="s">
        <v>405</v>
      </c>
      <c r="E3577" s="534">
        <v>693.73333700000001</v>
      </c>
    </row>
    <row r="3578" spans="2:5" x14ac:dyDescent="0.2">
      <c r="B3578" s="533">
        <v>4233</v>
      </c>
      <c r="C3578" s="533" t="s">
        <v>7133</v>
      </c>
      <c r="D3578" s="656" t="s">
        <v>405</v>
      </c>
      <c r="E3578" s="534">
        <v>718.09997599999997</v>
      </c>
    </row>
    <row r="3579" spans="2:5" x14ac:dyDescent="0.2">
      <c r="B3579" s="533">
        <v>4234</v>
      </c>
      <c r="C3579" s="533" t="s">
        <v>3681</v>
      </c>
      <c r="D3579" s="656" t="s">
        <v>405</v>
      </c>
      <c r="E3579" s="534">
        <v>726.61427500000002</v>
      </c>
    </row>
    <row r="3580" spans="2:5" x14ac:dyDescent="0.2">
      <c r="B3580" s="533">
        <v>4235</v>
      </c>
      <c r="C3580" s="533" t="s">
        <v>4303</v>
      </c>
      <c r="D3580" s="656" t="s">
        <v>405</v>
      </c>
      <c r="E3580" s="534">
        <v>765.60000300000002</v>
      </c>
    </row>
    <row r="3581" spans="2:5" x14ac:dyDescent="0.2">
      <c r="B3581" s="533">
        <v>4237</v>
      </c>
      <c r="C3581" s="533" t="s">
        <v>3311</v>
      </c>
      <c r="D3581" s="656" t="s">
        <v>405</v>
      </c>
      <c r="E3581" s="534">
        <v>707.10001599999998</v>
      </c>
    </row>
    <row r="3582" spans="2:5" x14ac:dyDescent="0.2">
      <c r="B3582" s="533">
        <v>4238</v>
      </c>
      <c r="C3582" s="533" t="s">
        <v>2365</v>
      </c>
      <c r="D3582" s="656" t="s">
        <v>405</v>
      </c>
      <c r="E3582" s="534">
        <v>660.70001200000002</v>
      </c>
    </row>
    <row r="3583" spans="2:5" x14ac:dyDescent="0.2">
      <c r="B3583" s="533">
        <v>4239</v>
      </c>
      <c r="C3583" s="533" t="s">
        <v>3120</v>
      </c>
      <c r="D3583" s="656" t="s">
        <v>405</v>
      </c>
      <c r="E3583" s="534">
        <v>697.57691799999998</v>
      </c>
    </row>
    <row r="3584" spans="2:5" x14ac:dyDescent="0.2">
      <c r="B3584" s="533">
        <v>4240</v>
      </c>
      <c r="C3584" s="533" t="s">
        <v>2048</v>
      </c>
      <c r="D3584" s="656" t="s">
        <v>405</v>
      </c>
      <c r="E3584" s="534">
        <v>645.83333300000004</v>
      </c>
    </row>
    <row r="3585" spans="2:5" x14ac:dyDescent="0.2">
      <c r="B3585" s="533">
        <v>4241</v>
      </c>
      <c r="C3585" s="533" t="s">
        <v>1859</v>
      </c>
      <c r="D3585" s="656" t="s">
        <v>403</v>
      </c>
      <c r="E3585" s="534">
        <v>768.16154100000006</v>
      </c>
    </row>
    <row r="3586" spans="2:5" x14ac:dyDescent="0.2">
      <c r="B3586" s="533">
        <v>4242</v>
      </c>
      <c r="C3586" s="533" t="s">
        <v>4957</v>
      </c>
      <c r="D3586" s="656" t="s">
        <v>403</v>
      </c>
      <c r="E3586" s="534">
        <v>818.74999200000002</v>
      </c>
    </row>
    <row r="3587" spans="2:5" x14ac:dyDescent="0.2">
      <c r="B3587" s="533">
        <v>4243</v>
      </c>
      <c r="C3587" s="533" t="s">
        <v>4069</v>
      </c>
      <c r="D3587" s="656" t="s">
        <v>403</v>
      </c>
      <c r="E3587" s="534">
        <v>749.89999399999999</v>
      </c>
    </row>
    <row r="3588" spans="2:5" x14ac:dyDescent="0.2">
      <c r="B3588" s="533">
        <v>4244</v>
      </c>
      <c r="C3588" s="533" t="s">
        <v>4971</v>
      </c>
      <c r="D3588" s="656" t="s">
        <v>403</v>
      </c>
      <c r="E3588" s="534">
        <v>820.18333399999995</v>
      </c>
    </row>
    <row r="3589" spans="2:5" x14ac:dyDescent="0.2">
      <c r="B3589" s="533">
        <v>4245</v>
      </c>
      <c r="C3589" s="533" t="s">
        <v>4114</v>
      </c>
      <c r="D3589" s="656" t="s">
        <v>403</v>
      </c>
      <c r="E3589" s="534">
        <v>752.18181800000002</v>
      </c>
    </row>
    <row r="3590" spans="2:5" x14ac:dyDescent="0.2">
      <c r="B3590" s="533">
        <v>4246</v>
      </c>
      <c r="C3590" s="533" t="s">
        <v>3582</v>
      </c>
      <c r="D3590" s="656" t="s">
        <v>403</v>
      </c>
      <c r="E3590" s="534">
        <v>720.83332299999995</v>
      </c>
    </row>
    <row r="3591" spans="2:5" x14ac:dyDescent="0.2">
      <c r="B3591" s="533">
        <v>4247</v>
      </c>
      <c r="C3591" s="533" t="s">
        <v>2958</v>
      </c>
      <c r="D3591" s="656" t="s">
        <v>403</v>
      </c>
      <c r="E3591" s="534">
        <v>688.86665900000003</v>
      </c>
    </row>
    <row r="3592" spans="2:5" x14ac:dyDescent="0.2">
      <c r="B3592" s="533">
        <v>4248</v>
      </c>
      <c r="C3592" s="533" t="s">
        <v>2782</v>
      </c>
      <c r="D3592" s="656" t="s">
        <v>403</v>
      </c>
      <c r="E3592" s="534">
        <v>680.44286199999999</v>
      </c>
    </row>
    <row r="3593" spans="2:5" x14ac:dyDescent="0.2">
      <c r="B3593" s="533">
        <v>4249</v>
      </c>
      <c r="C3593" s="533" t="s">
        <v>1425</v>
      </c>
      <c r="D3593" s="656" t="s">
        <v>403</v>
      </c>
      <c r="E3593" s="534">
        <v>689.5625</v>
      </c>
    </row>
    <row r="3594" spans="2:5" x14ac:dyDescent="0.2">
      <c r="B3594" s="533">
        <v>4250</v>
      </c>
      <c r="C3594" s="533" t="s">
        <v>1276</v>
      </c>
      <c r="D3594" s="656" t="s">
        <v>403</v>
      </c>
      <c r="E3594" s="534">
        <v>682.60714299999995</v>
      </c>
    </row>
    <row r="3595" spans="2:5" x14ac:dyDescent="0.2">
      <c r="B3595" s="533">
        <v>4251</v>
      </c>
      <c r="C3595" s="533" t="s">
        <v>6992</v>
      </c>
      <c r="D3595" s="656" t="s">
        <v>403</v>
      </c>
      <c r="E3595" s="534">
        <v>680.70001200000002</v>
      </c>
    </row>
    <row r="3596" spans="2:5" x14ac:dyDescent="0.2">
      <c r="B3596" s="533">
        <v>4252</v>
      </c>
      <c r="C3596" s="533" t="s">
        <v>2050</v>
      </c>
      <c r="D3596" s="656" t="s">
        <v>403</v>
      </c>
      <c r="E3596" s="534">
        <v>685.24998500000004</v>
      </c>
    </row>
    <row r="3597" spans="2:5" x14ac:dyDescent="0.2">
      <c r="B3597" s="533">
        <v>4253</v>
      </c>
      <c r="C3597" s="533" t="s">
        <v>2552</v>
      </c>
      <c r="D3597" s="656" t="s">
        <v>403</v>
      </c>
      <c r="E3597" s="534">
        <v>668.83749399999999</v>
      </c>
    </row>
    <row r="3598" spans="2:5" x14ac:dyDescent="0.2">
      <c r="B3598" s="533">
        <v>4254</v>
      </c>
      <c r="C3598" s="533" t="s">
        <v>2861</v>
      </c>
      <c r="D3598" s="656" t="s">
        <v>403</v>
      </c>
      <c r="E3598" s="534">
        <v>684.78000499999996</v>
      </c>
    </row>
    <row r="3599" spans="2:5" x14ac:dyDescent="0.2">
      <c r="B3599" s="533">
        <v>4255</v>
      </c>
      <c r="C3599" s="533" t="s">
        <v>2488</v>
      </c>
      <c r="D3599" s="656" t="s">
        <v>403</v>
      </c>
      <c r="E3599" s="534">
        <v>665.57999299999994</v>
      </c>
    </row>
    <row r="3600" spans="2:5" x14ac:dyDescent="0.2">
      <c r="B3600" s="533">
        <v>4256</v>
      </c>
      <c r="C3600" s="533" t="s">
        <v>2442</v>
      </c>
      <c r="D3600" s="656" t="s">
        <v>403</v>
      </c>
      <c r="E3600" s="534">
        <v>664.116669</v>
      </c>
    </row>
    <row r="3601" spans="2:5" x14ac:dyDescent="0.2">
      <c r="B3601" s="533">
        <v>4257</v>
      </c>
      <c r="C3601" s="533" t="s">
        <v>2477</v>
      </c>
      <c r="D3601" s="656" t="s">
        <v>403</v>
      </c>
      <c r="E3601" s="534">
        <v>665.221047</v>
      </c>
    </row>
    <row r="3602" spans="2:5" x14ac:dyDescent="0.2">
      <c r="B3602" s="533">
        <v>4258</v>
      </c>
      <c r="C3602" s="533" t="s">
        <v>2090</v>
      </c>
      <c r="D3602" s="656" t="s">
        <v>403</v>
      </c>
      <c r="E3602" s="534">
        <v>648.08333300000004</v>
      </c>
    </row>
    <row r="3603" spans="2:5" x14ac:dyDescent="0.2">
      <c r="B3603" s="533">
        <v>4259</v>
      </c>
      <c r="C3603" s="533" t="s">
        <v>2348</v>
      </c>
      <c r="D3603" s="656" t="s">
        <v>403</v>
      </c>
      <c r="E3603" s="534">
        <v>660.19999900000005</v>
      </c>
    </row>
    <row r="3604" spans="2:5" x14ac:dyDescent="0.2">
      <c r="B3604" s="533">
        <v>4260</v>
      </c>
      <c r="C3604" s="533" t="s">
        <v>2219</v>
      </c>
      <c r="D3604" s="656" t="s">
        <v>403</v>
      </c>
      <c r="E3604" s="534">
        <v>654.23332500000004</v>
      </c>
    </row>
    <row r="3605" spans="2:5" x14ac:dyDescent="0.2">
      <c r="B3605" s="533">
        <v>4261</v>
      </c>
      <c r="C3605" s="533" t="s">
        <v>1976</v>
      </c>
      <c r="D3605" s="656" t="s">
        <v>403</v>
      </c>
      <c r="E3605" s="534">
        <v>642.942858</v>
      </c>
    </row>
    <row r="3606" spans="2:5" x14ac:dyDescent="0.2">
      <c r="B3606" s="533">
        <v>4262</v>
      </c>
      <c r="C3606" s="533" t="s">
        <v>2370</v>
      </c>
      <c r="D3606" s="656" t="s">
        <v>403</v>
      </c>
      <c r="E3606" s="534">
        <v>660.87273100000004</v>
      </c>
    </row>
    <row r="3607" spans="2:5" x14ac:dyDescent="0.2">
      <c r="B3607" s="533">
        <v>4263</v>
      </c>
      <c r="C3607" s="533" t="s">
        <v>7319</v>
      </c>
      <c r="D3607" s="656" t="s">
        <v>403</v>
      </c>
      <c r="E3607" s="534">
        <v>658.32500500000003</v>
      </c>
    </row>
    <row r="3608" spans="2:5" x14ac:dyDescent="0.2">
      <c r="B3608" s="533">
        <v>4264</v>
      </c>
      <c r="C3608" s="533" t="s">
        <v>2730</v>
      </c>
      <c r="D3608" s="656" t="s">
        <v>403</v>
      </c>
      <c r="E3608" s="534">
        <v>677.67500299999995</v>
      </c>
    </row>
    <row r="3609" spans="2:5" x14ac:dyDescent="0.2">
      <c r="B3609" s="533">
        <v>4265</v>
      </c>
      <c r="C3609" s="533" t="s">
        <v>2150</v>
      </c>
      <c r="D3609" s="656" t="s">
        <v>403</v>
      </c>
      <c r="E3609" s="534">
        <v>651.21666500000003</v>
      </c>
    </row>
    <row r="3610" spans="2:5" x14ac:dyDescent="0.2">
      <c r="B3610" s="533">
        <v>4266</v>
      </c>
      <c r="C3610" s="533" t="s">
        <v>2572</v>
      </c>
      <c r="D3610" s="656" t="s">
        <v>403</v>
      </c>
      <c r="E3610" s="534">
        <v>669.68332899999996</v>
      </c>
    </row>
    <row r="3611" spans="2:5" x14ac:dyDescent="0.2">
      <c r="B3611" s="533">
        <v>4267</v>
      </c>
      <c r="C3611" s="533" t="s">
        <v>3415</v>
      </c>
      <c r="D3611" s="656" t="s">
        <v>403</v>
      </c>
      <c r="E3611" s="534">
        <v>712.29069500000003</v>
      </c>
    </row>
    <row r="3612" spans="2:5" x14ac:dyDescent="0.2">
      <c r="B3612" s="533">
        <v>4268</v>
      </c>
      <c r="C3612" s="533" t="s">
        <v>3174</v>
      </c>
      <c r="D3612" s="656" t="s">
        <v>403</v>
      </c>
      <c r="E3612" s="534">
        <v>700.26666299999999</v>
      </c>
    </row>
    <row r="3613" spans="2:5" x14ac:dyDescent="0.2">
      <c r="B3613" s="533">
        <v>4269</v>
      </c>
      <c r="C3613" s="533" t="s">
        <v>3109</v>
      </c>
      <c r="D3613" s="656" t="s">
        <v>403</v>
      </c>
      <c r="E3613" s="534">
        <v>697.01999899999998</v>
      </c>
    </row>
    <row r="3614" spans="2:5" x14ac:dyDescent="0.2">
      <c r="B3614" s="533">
        <v>4270</v>
      </c>
      <c r="C3614" s="533" t="s">
        <v>6624</v>
      </c>
      <c r="D3614" s="656" t="s">
        <v>403</v>
      </c>
      <c r="E3614" s="534">
        <v>641.72499800000003</v>
      </c>
    </row>
    <row r="3615" spans="2:5" x14ac:dyDescent="0.2">
      <c r="B3615" s="533">
        <v>4271</v>
      </c>
      <c r="C3615" s="533" t="s">
        <v>6793</v>
      </c>
      <c r="D3615" s="656" t="s">
        <v>403</v>
      </c>
      <c r="E3615" s="534">
        <v>707.65174100000002</v>
      </c>
    </row>
    <row r="3616" spans="2:5" x14ac:dyDescent="0.2">
      <c r="B3616" s="533">
        <v>4272</v>
      </c>
      <c r="C3616" s="533" t="s">
        <v>6792</v>
      </c>
      <c r="D3616" s="656" t="s">
        <v>403</v>
      </c>
      <c r="E3616" s="534">
        <v>637.70000000000005</v>
      </c>
    </row>
    <row r="3617" spans="2:5" x14ac:dyDescent="0.2">
      <c r="B3617" s="533">
        <v>4273</v>
      </c>
      <c r="C3617" s="533" t="s">
        <v>7032</v>
      </c>
      <c r="D3617" s="656" t="s">
        <v>403</v>
      </c>
      <c r="E3617" s="534">
        <v>625.93332899999996</v>
      </c>
    </row>
    <row r="3618" spans="2:5" x14ac:dyDescent="0.2">
      <c r="B3618" s="533">
        <v>4274</v>
      </c>
      <c r="C3618" s="533" t="s">
        <v>5077</v>
      </c>
      <c r="D3618" s="656" t="s">
        <v>400</v>
      </c>
      <c r="E3618" s="534">
        <v>831.64999399999999</v>
      </c>
    </row>
    <row r="3619" spans="2:5" x14ac:dyDescent="0.2">
      <c r="B3619" s="533">
        <v>4275</v>
      </c>
      <c r="C3619" s="533" t="s">
        <v>1131</v>
      </c>
      <c r="D3619" s="656" t="s">
        <v>400</v>
      </c>
      <c r="E3619" s="534">
        <v>856.10999800000002</v>
      </c>
    </row>
    <row r="3620" spans="2:5" x14ac:dyDescent="0.2">
      <c r="B3620" s="533">
        <v>4276</v>
      </c>
      <c r="C3620" s="533" t="s">
        <v>4841</v>
      </c>
      <c r="D3620" s="656" t="s">
        <v>400</v>
      </c>
      <c r="E3620" s="534">
        <v>807.11998300000005</v>
      </c>
    </row>
    <row r="3621" spans="2:5" x14ac:dyDescent="0.2">
      <c r="B3621" s="533">
        <v>4277</v>
      </c>
      <c r="C3621" s="533" t="s">
        <v>5113</v>
      </c>
      <c r="D3621" s="656" t="s">
        <v>400</v>
      </c>
      <c r="E3621" s="534">
        <v>835.64998400000002</v>
      </c>
    </row>
    <row r="3622" spans="2:5" x14ac:dyDescent="0.2">
      <c r="B3622" s="533">
        <v>4278</v>
      </c>
      <c r="C3622" s="533" t="s">
        <v>5324</v>
      </c>
      <c r="D3622" s="656" t="s">
        <v>400</v>
      </c>
      <c r="E3622" s="534">
        <v>868.19999199999995</v>
      </c>
    </row>
    <row r="3623" spans="2:5" x14ac:dyDescent="0.2">
      <c r="B3623" s="533">
        <v>4279</v>
      </c>
      <c r="C3623" s="533" t="s">
        <v>5163</v>
      </c>
      <c r="D3623" s="656" t="s">
        <v>400</v>
      </c>
      <c r="E3623" s="534">
        <v>841.19999199999995</v>
      </c>
    </row>
    <row r="3624" spans="2:5" x14ac:dyDescent="0.2">
      <c r="B3624" s="533">
        <v>4280</v>
      </c>
      <c r="C3624" s="533" t="s">
        <v>694</v>
      </c>
      <c r="D3624" s="656" t="s">
        <v>400</v>
      </c>
      <c r="E3624" s="534">
        <v>784.01666599999999</v>
      </c>
    </row>
    <row r="3625" spans="2:5" x14ac:dyDescent="0.2">
      <c r="B3625" s="533">
        <v>4281</v>
      </c>
      <c r="C3625" s="533" t="s">
        <v>3704</v>
      </c>
      <c r="D3625" s="656" t="s">
        <v>400</v>
      </c>
      <c r="E3625" s="534">
        <v>727.96667500000001</v>
      </c>
    </row>
    <row r="3626" spans="2:5" x14ac:dyDescent="0.2">
      <c r="B3626" s="533">
        <v>4282</v>
      </c>
      <c r="C3626" s="533" t="s">
        <v>4833</v>
      </c>
      <c r="D3626" s="656" t="s">
        <v>400</v>
      </c>
      <c r="E3626" s="534">
        <v>806.72500400000001</v>
      </c>
    </row>
    <row r="3627" spans="2:5" x14ac:dyDescent="0.2">
      <c r="B3627" s="533">
        <v>4283</v>
      </c>
      <c r="C3627" s="533" t="s">
        <v>5101</v>
      </c>
      <c r="D3627" s="656" t="s">
        <v>400</v>
      </c>
      <c r="E3627" s="534">
        <v>834.5</v>
      </c>
    </row>
    <row r="3628" spans="2:5" x14ac:dyDescent="0.2">
      <c r="B3628" s="533">
        <v>4284</v>
      </c>
      <c r="C3628" s="533" t="s">
        <v>370</v>
      </c>
      <c r="D3628" s="656" t="s">
        <v>400</v>
      </c>
      <c r="E3628" s="534">
        <v>800.5</v>
      </c>
    </row>
    <row r="3629" spans="2:5" x14ac:dyDescent="0.2">
      <c r="B3629" s="533">
        <v>4301</v>
      </c>
      <c r="C3629" s="533" t="s">
        <v>3181</v>
      </c>
      <c r="D3629" s="656" t="s">
        <v>403</v>
      </c>
      <c r="E3629" s="534">
        <v>700.44545100000005</v>
      </c>
    </row>
    <row r="3630" spans="2:5" x14ac:dyDescent="0.2">
      <c r="B3630" s="533">
        <v>4302</v>
      </c>
      <c r="C3630" s="533" t="s">
        <v>3561</v>
      </c>
      <c r="D3630" s="656" t="s">
        <v>403</v>
      </c>
      <c r="E3630" s="534">
        <v>719.65000399999997</v>
      </c>
    </row>
    <row r="3631" spans="2:5" x14ac:dyDescent="0.2">
      <c r="B3631" s="533">
        <v>4303</v>
      </c>
      <c r="C3631" s="533" t="s">
        <v>1005</v>
      </c>
      <c r="D3631" s="656" t="s">
        <v>403</v>
      </c>
      <c r="E3631" s="534">
        <v>699.47142699999995</v>
      </c>
    </row>
    <row r="3632" spans="2:5" x14ac:dyDescent="0.2">
      <c r="B3632" s="533">
        <v>4304</v>
      </c>
      <c r="C3632" s="533" t="s">
        <v>3308</v>
      </c>
      <c r="D3632" s="656" t="s">
        <v>403</v>
      </c>
      <c r="E3632" s="534">
        <v>707.06249200000002</v>
      </c>
    </row>
    <row r="3633" spans="2:5" x14ac:dyDescent="0.2">
      <c r="B3633" s="533">
        <v>4305</v>
      </c>
      <c r="C3633" s="533" t="s">
        <v>1178</v>
      </c>
      <c r="D3633" s="656" t="s">
        <v>403</v>
      </c>
      <c r="E3633" s="534">
        <v>709.60000600000001</v>
      </c>
    </row>
    <row r="3634" spans="2:5" x14ac:dyDescent="0.2">
      <c r="B3634" s="533">
        <v>4306</v>
      </c>
      <c r="C3634" s="533" t="s">
        <v>3299</v>
      </c>
      <c r="D3634" s="656" t="s">
        <v>403</v>
      </c>
      <c r="E3634" s="534">
        <v>706.33998999999994</v>
      </c>
    </row>
    <row r="3635" spans="2:5" x14ac:dyDescent="0.2">
      <c r="B3635" s="533">
        <v>4307</v>
      </c>
      <c r="C3635" s="533" t="s">
        <v>2892</v>
      </c>
      <c r="D3635" s="656" t="s">
        <v>403</v>
      </c>
      <c r="E3635" s="534">
        <v>686.04999799999996</v>
      </c>
    </row>
    <row r="3636" spans="2:5" x14ac:dyDescent="0.2">
      <c r="B3636" s="533">
        <v>4308</v>
      </c>
      <c r="C3636" s="533" t="s">
        <v>2661</v>
      </c>
      <c r="D3636" s="656" t="s">
        <v>403</v>
      </c>
      <c r="E3636" s="534">
        <v>674.56667100000004</v>
      </c>
    </row>
    <row r="3637" spans="2:5" x14ac:dyDescent="0.2">
      <c r="B3637" s="533">
        <v>4309</v>
      </c>
      <c r="C3637" s="533" t="s">
        <v>2715</v>
      </c>
      <c r="D3637" s="656" t="s">
        <v>403</v>
      </c>
      <c r="E3637" s="534">
        <v>677.13749700000005</v>
      </c>
    </row>
    <row r="3638" spans="2:5" x14ac:dyDescent="0.2">
      <c r="B3638" s="533">
        <v>4310</v>
      </c>
      <c r="C3638" s="533" t="s">
        <v>3336</v>
      </c>
      <c r="D3638" s="656" t="s">
        <v>403</v>
      </c>
      <c r="E3638" s="534">
        <v>708.22500600000001</v>
      </c>
    </row>
    <row r="3639" spans="2:5" x14ac:dyDescent="0.2">
      <c r="B3639" s="533">
        <v>4311</v>
      </c>
      <c r="C3639" s="533" t="s">
        <v>3901</v>
      </c>
      <c r="D3639" s="656" t="s">
        <v>403</v>
      </c>
      <c r="E3639" s="534">
        <v>739.58000500000003</v>
      </c>
    </row>
    <row r="3640" spans="2:5" x14ac:dyDescent="0.2">
      <c r="B3640" s="533">
        <v>4312</v>
      </c>
      <c r="C3640" s="533" t="s">
        <v>6638</v>
      </c>
      <c r="D3640" s="656" t="s">
        <v>403</v>
      </c>
      <c r="E3640" s="534">
        <v>694.70001200000002</v>
      </c>
    </row>
    <row r="3641" spans="2:5" x14ac:dyDescent="0.2">
      <c r="B3641" s="533">
        <v>4313</v>
      </c>
      <c r="C3641" s="533" t="s">
        <v>2780</v>
      </c>
      <c r="D3641" s="656" t="s">
        <v>403</v>
      </c>
      <c r="E3641" s="534">
        <v>680.27500899999995</v>
      </c>
    </row>
    <row r="3642" spans="2:5" x14ac:dyDescent="0.2">
      <c r="B3642" s="533">
        <v>4314</v>
      </c>
      <c r="C3642" s="533" t="s">
        <v>3048</v>
      </c>
      <c r="D3642" s="656" t="s">
        <v>403</v>
      </c>
      <c r="E3642" s="534">
        <v>693.81999499999995</v>
      </c>
    </row>
    <row r="3643" spans="2:5" x14ac:dyDescent="0.2">
      <c r="B3643" s="533">
        <v>4315</v>
      </c>
      <c r="C3643" s="533" t="s">
        <v>2597</v>
      </c>
      <c r="D3643" s="656" t="s">
        <v>403</v>
      </c>
      <c r="E3643" s="534">
        <v>671.16001000000006</v>
      </c>
    </row>
    <row r="3644" spans="2:5" x14ac:dyDescent="0.2">
      <c r="B3644" s="533">
        <v>4316</v>
      </c>
      <c r="C3644" s="533" t="s">
        <v>2930</v>
      </c>
      <c r="D3644" s="656" t="s">
        <v>403</v>
      </c>
      <c r="E3644" s="534">
        <v>687.40769599999999</v>
      </c>
    </row>
    <row r="3645" spans="2:5" x14ac:dyDescent="0.2">
      <c r="B3645" s="533">
        <v>4317</v>
      </c>
      <c r="C3645" s="533" t="s">
        <v>3250</v>
      </c>
      <c r="D3645" s="656" t="s">
        <v>403</v>
      </c>
      <c r="E3645" s="534">
        <v>703.54998799999998</v>
      </c>
    </row>
    <row r="3646" spans="2:5" x14ac:dyDescent="0.2">
      <c r="B3646" s="533">
        <v>4318</v>
      </c>
      <c r="C3646" s="533" t="s">
        <v>6703</v>
      </c>
      <c r="D3646" s="656" t="s">
        <v>403</v>
      </c>
      <c r="E3646" s="534">
        <v>707.48000500000001</v>
      </c>
    </row>
    <row r="3647" spans="2:5" x14ac:dyDescent="0.2">
      <c r="B3647" s="533">
        <v>4319</v>
      </c>
      <c r="C3647" s="533" t="s">
        <v>2658</v>
      </c>
      <c r="D3647" s="656" t="s">
        <v>403</v>
      </c>
      <c r="E3647" s="534">
        <v>674.53333499999997</v>
      </c>
    </row>
    <row r="3648" spans="2:5" x14ac:dyDescent="0.2">
      <c r="B3648" s="533">
        <v>4320</v>
      </c>
      <c r="C3648" s="533" t="s">
        <v>7116</v>
      </c>
      <c r="D3648" s="656" t="s">
        <v>403</v>
      </c>
      <c r="E3648" s="534">
        <v>673.740002</v>
      </c>
    </row>
    <row r="3649" spans="2:5" x14ac:dyDescent="0.2">
      <c r="B3649" s="533">
        <v>4321</v>
      </c>
      <c r="C3649" s="533" t="s">
        <v>3209</v>
      </c>
      <c r="D3649" s="656" t="s">
        <v>403</v>
      </c>
      <c r="E3649" s="534">
        <v>702.16001000000006</v>
      </c>
    </row>
    <row r="3650" spans="2:5" x14ac:dyDescent="0.2">
      <c r="B3650" s="533">
        <v>4322</v>
      </c>
      <c r="C3650" s="533" t="s">
        <v>3348</v>
      </c>
      <c r="D3650" s="656" t="s">
        <v>403</v>
      </c>
      <c r="E3650" s="534">
        <v>708.78750600000001</v>
      </c>
    </row>
    <row r="3651" spans="2:5" x14ac:dyDescent="0.2">
      <c r="B3651" s="533">
        <v>4323</v>
      </c>
      <c r="C3651" s="533" t="s">
        <v>3958</v>
      </c>
      <c r="D3651" s="656" t="s">
        <v>403</v>
      </c>
      <c r="E3651" s="534">
        <v>742.86249499999997</v>
      </c>
    </row>
    <row r="3652" spans="2:5" x14ac:dyDescent="0.2">
      <c r="B3652" s="533">
        <v>4324</v>
      </c>
      <c r="C3652" s="533" t="s">
        <v>4057</v>
      </c>
      <c r="D3652" s="656" t="s">
        <v>403</v>
      </c>
      <c r="E3652" s="534">
        <v>749.1875</v>
      </c>
    </row>
    <row r="3653" spans="2:5" x14ac:dyDescent="0.2">
      <c r="B3653" s="533">
        <v>4325</v>
      </c>
      <c r="C3653" s="533" t="s">
        <v>3240</v>
      </c>
      <c r="D3653" s="656" t="s">
        <v>403</v>
      </c>
      <c r="E3653" s="534">
        <v>703.28332499999999</v>
      </c>
    </row>
    <row r="3654" spans="2:5" x14ac:dyDescent="0.2">
      <c r="B3654" s="533">
        <v>4326</v>
      </c>
      <c r="C3654" s="533" t="s">
        <v>6544</v>
      </c>
      <c r="D3654" s="656" t="s">
        <v>403</v>
      </c>
      <c r="E3654" s="534">
        <v>718.87143400000002</v>
      </c>
    </row>
    <row r="3655" spans="2:5" x14ac:dyDescent="0.2">
      <c r="B3655" s="533">
        <v>4327</v>
      </c>
      <c r="C3655" s="533" t="s">
        <v>3927</v>
      </c>
      <c r="D3655" s="656" t="s">
        <v>403</v>
      </c>
      <c r="E3655" s="534">
        <v>741</v>
      </c>
    </row>
    <row r="3656" spans="2:5" x14ac:dyDescent="0.2">
      <c r="B3656" s="533">
        <v>4328</v>
      </c>
      <c r="C3656" s="533" t="s">
        <v>6805</v>
      </c>
      <c r="D3656" s="656" t="s">
        <v>403</v>
      </c>
      <c r="E3656" s="534">
        <v>747.29999799999996</v>
      </c>
    </row>
    <row r="3657" spans="2:5" x14ac:dyDescent="0.2">
      <c r="B3657" s="533">
        <v>4329</v>
      </c>
      <c r="C3657" s="533" t="s">
        <v>2974</v>
      </c>
      <c r="D3657" s="656" t="s">
        <v>403</v>
      </c>
      <c r="E3657" s="534">
        <v>689.73331700000006</v>
      </c>
    </row>
    <row r="3658" spans="2:5" x14ac:dyDescent="0.2">
      <c r="B3658" s="533">
        <v>4330</v>
      </c>
      <c r="C3658" s="533" t="s">
        <v>7430</v>
      </c>
      <c r="D3658" s="656" t="s">
        <v>403</v>
      </c>
      <c r="E3658" s="534">
        <v>725.889996</v>
      </c>
    </row>
    <row r="3659" spans="2:5" x14ac:dyDescent="0.2">
      <c r="B3659" s="533">
        <v>4331</v>
      </c>
      <c r="C3659" s="533" t="s">
        <v>3424</v>
      </c>
      <c r="D3659" s="656" t="s">
        <v>403</v>
      </c>
      <c r="E3659" s="534">
        <v>712.51428199999998</v>
      </c>
    </row>
    <row r="3660" spans="2:5" x14ac:dyDescent="0.2">
      <c r="B3660" s="533">
        <v>4332</v>
      </c>
      <c r="C3660" s="533" t="s">
        <v>3206</v>
      </c>
      <c r="D3660" s="656" t="s">
        <v>403</v>
      </c>
      <c r="E3660" s="534">
        <v>726.32499700000005</v>
      </c>
    </row>
    <row r="3661" spans="2:5" x14ac:dyDescent="0.2">
      <c r="B3661" s="533">
        <v>4333</v>
      </c>
      <c r="C3661" s="533" t="s">
        <v>6723</v>
      </c>
      <c r="D3661" s="656" t="s">
        <v>403</v>
      </c>
      <c r="E3661" s="534">
        <v>784.90869399999997</v>
      </c>
    </row>
    <row r="3662" spans="2:5" x14ac:dyDescent="0.2">
      <c r="B3662" s="533">
        <v>4334</v>
      </c>
      <c r="C3662" s="533" t="s">
        <v>3737</v>
      </c>
      <c r="D3662" s="656" t="s">
        <v>403</v>
      </c>
      <c r="E3662" s="534">
        <v>750.72222199999999</v>
      </c>
    </row>
    <row r="3663" spans="2:5" x14ac:dyDescent="0.2">
      <c r="B3663" s="533">
        <v>4335</v>
      </c>
      <c r="C3663" s="533" t="s">
        <v>3037</v>
      </c>
      <c r="D3663" s="656" t="s">
        <v>403</v>
      </c>
      <c r="E3663" s="534">
        <v>693.327271</v>
      </c>
    </row>
    <row r="3664" spans="2:5" x14ac:dyDescent="0.2">
      <c r="B3664" s="533">
        <v>4336</v>
      </c>
      <c r="C3664" s="533" t="s">
        <v>3777</v>
      </c>
      <c r="D3664" s="656" t="s">
        <v>403</v>
      </c>
      <c r="E3664" s="534">
        <v>731.95713599999999</v>
      </c>
    </row>
    <row r="3665" spans="2:5" x14ac:dyDescent="0.2">
      <c r="B3665" s="533">
        <v>4337</v>
      </c>
      <c r="C3665" s="533" t="s">
        <v>4407</v>
      </c>
      <c r="D3665" s="656" t="s">
        <v>403</v>
      </c>
      <c r="E3665" s="534">
        <v>773.93636800000002</v>
      </c>
    </row>
    <row r="3666" spans="2:5" x14ac:dyDescent="0.2">
      <c r="B3666" s="533">
        <v>4338</v>
      </c>
      <c r="C3666" s="533" t="s">
        <v>3805</v>
      </c>
      <c r="D3666" s="656" t="s">
        <v>403</v>
      </c>
      <c r="E3666" s="534">
        <v>793.09999600000003</v>
      </c>
    </row>
    <row r="3667" spans="2:5" x14ac:dyDescent="0.2">
      <c r="B3667" s="533">
        <v>4339</v>
      </c>
      <c r="C3667" s="533" t="s">
        <v>839</v>
      </c>
      <c r="D3667" s="656" t="s">
        <v>403</v>
      </c>
      <c r="E3667" s="534">
        <v>786.92941099999996</v>
      </c>
    </row>
    <row r="3668" spans="2:5" x14ac:dyDescent="0.2">
      <c r="B3668" s="533">
        <v>4340</v>
      </c>
      <c r="C3668" s="533" t="s">
        <v>4333</v>
      </c>
      <c r="D3668" s="656" t="s">
        <v>403</v>
      </c>
      <c r="E3668" s="534">
        <v>767.5</v>
      </c>
    </row>
    <row r="3669" spans="2:5" x14ac:dyDescent="0.2">
      <c r="B3669" s="533">
        <v>4341</v>
      </c>
      <c r="C3669" s="533" t="s">
        <v>4426</v>
      </c>
      <c r="D3669" s="656" t="s">
        <v>403</v>
      </c>
      <c r="E3669" s="534">
        <v>775.616669</v>
      </c>
    </row>
    <row r="3670" spans="2:5" x14ac:dyDescent="0.2">
      <c r="B3670" s="533">
        <v>4342</v>
      </c>
      <c r="C3670" s="533" t="s">
        <v>6585</v>
      </c>
      <c r="D3670" s="656" t="s">
        <v>403</v>
      </c>
      <c r="E3670" s="534">
        <v>786.75</v>
      </c>
    </row>
    <row r="3671" spans="2:5" x14ac:dyDescent="0.2">
      <c r="B3671" s="533">
        <v>4343</v>
      </c>
      <c r="C3671" s="533" t="s">
        <v>4275</v>
      </c>
      <c r="D3671" s="656" t="s">
        <v>403</v>
      </c>
      <c r="E3671" s="534">
        <v>763.52141900000004</v>
      </c>
    </row>
    <row r="3672" spans="2:5" x14ac:dyDescent="0.2">
      <c r="B3672" s="533">
        <v>4344</v>
      </c>
      <c r="C3672" s="533" t="s">
        <v>3555</v>
      </c>
      <c r="D3672" s="656" t="s">
        <v>403</v>
      </c>
      <c r="E3672" s="534">
        <v>719.30000399999994</v>
      </c>
    </row>
    <row r="3673" spans="2:5" x14ac:dyDescent="0.2">
      <c r="B3673" s="533">
        <v>4345</v>
      </c>
      <c r="C3673" s="533" t="s">
        <v>3558</v>
      </c>
      <c r="D3673" s="656" t="s">
        <v>403</v>
      </c>
      <c r="E3673" s="534">
        <v>719.55999799999995</v>
      </c>
    </row>
    <row r="3674" spans="2:5" x14ac:dyDescent="0.2">
      <c r="B3674" s="533">
        <v>4346</v>
      </c>
      <c r="C3674" s="533" t="s">
        <v>2598</v>
      </c>
      <c r="D3674" s="656" t="s">
        <v>403</v>
      </c>
      <c r="E3674" s="534">
        <v>671.20001200000002</v>
      </c>
    </row>
    <row r="3675" spans="2:5" x14ac:dyDescent="0.2">
      <c r="B3675" s="533">
        <v>4347</v>
      </c>
      <c r="C3675" s="533" t="s">
        <v>2812</v>
      </c>
      <c r="D3675" s="656" t="s">
        <v>403</v>
      </c>
      <c r="E3675" s="534">
        <v>682.21250199999997</v>
      </c>
    </row>
    <row r="3676" spans="2:5" x14ac:dyDescent="0.2">
      <c r="B3676" s="533">
        <v>4348</v>
      </c>
      <c r="C3676" s="533" t="s">
        <v>3801</v>
      </c>
      <c r="D3676" s="656" t="s">
        <v>403</v>
      </c>
      <c r="E3676" s="534">
        <v>733.44546000000003</v>
      </c>
    </row>
    <row r="3677" spans="2:5" x14ac:dyDescent="0.2">
      <c r="B3677" s="533">
        <v>4349</v>
      </c>
      <c r="C3677" s="533" t="s">
        <v>3057</v>
      </c>
      <c r="D3677" s="656" t="s">
        <v>403</v>
      </c>
      <c r="E3677" s="534">
        <v>694.25384499999996</v>
      </c>
    </row>
    <row r="3678" spans="2:5" x14ac:dyDescent="0.2">
      <c r="B3678" s="533">
        <v>4350</v>
      </c>
      <c r="C3678" s="533" t="s">
        <v>1705</v>
      </c>
      <c r="D3678" s="656" t="s">
        <v>403</v>
      </c>
      <c r="E3678" s="534">
        <v>632.79998799999998</v>
      </c>
    </row>
    <row r="3679" spans="2:5" x14ac:dyDescent="0.2">
      <c r="B3679" s="533">
        <v>4351</v>
      </c>
      <c r="C3679" s="533" t="s">
        <v>912</v>
      </c>
      <c r="D3679" s="656" t="s">
        <v>403</v>
      </c>
      <c r="E3679" s="534">
        <v>652.94210699999996</v>
      </c>
    </row>
    <row r="3680" spans="2:5" x14ac:dyDescent="0.2">
      <c r="B3680" s="533">
        <v>4351</v>
      </c>
      <c r="C3680" s="533" t="s">
        <v>912</v>
      </c>
      <c r="D3680" s="656" t="s">
        <v>399</v>
      </c>
      <c r="E3680" s="534">
        <v>652.94210699999996</v>
      </c>
    </row>
    <row r="3681" spans="2:5" x14ac:dyDescent="0.2">
      <c r="B3681" s="533">
        <v>4352</v>
      </c>
      <c r="C3681" s="533" t="s">
        <v>1828</v>
      </c>
      <c r="D3681" s="656" t="s">
        <v>403</v>
      </c>
      <c r="E3681" s="534">
        <v>637.25160700000004</v>
      </c>
    </row>
    <row r="3682" spans="2:5" x14ac:dyDescent="0.2">
      <c r="B3682" s="533">
        <v>4352</v>
      </c>
      <c r="C3682" s="533" t="s">
        <v>1828</v>
      </c>
      <c r="D3682" s="656" t="s">
        <v>399</v>
      </c>
      <c r="E3682" s="534">
        <v>637.25160700000004</v>
      </c>
    </row>
    <row r="3683" spans="2:5" x14ac:dyDescent="0.2">
      <c r="B3683" s="533">
        <v>4353</v>
      </c>
      <c r="C3683" s="533" t="s">
        <v>2303</v>
      </c>
      <c r="D3683" s="656" t="s">
        <v>403</v>
      </c>
      <c r="E3683" s="534">
        <v>657.84737399999995</v>
      </c>
    </row>
    <row r="3684" spans="2:5" x14ac:dyDescent="0.2">
      <c r="B3684" s="533">
        <v>4354</v>
      </c>
      <c r="C3684" s="533" t="s">
        <v>2580</v>
      </c>
      <c r="D3684" s="656" t="s">
        <v>403</v>
      </c>
      <c r="E3684" s="534">
        <v>670.03001099999994</v>
      </c>
    </row>
    <row r="3685" spans="2:5" x14ac:dyDescent="0.2">
      <c r="B3685" s="533">
        <v>4355</v>
      </c>
      <c r="C3685" s="533" t="s">
        <v>403</v>
      </c>
      <c r="D3685" s="656" t="s">
        <v>403</v>
      </c>
      <c r="E3685" s="534">
        <v>674.53333899999996</v>
      </c>
    </row>
    <row r="3686" spans="2:5" x14ac:dyDescent="0.2">
      <c r="B3686" s="533">
        <v>4356</v>
      </c>
      <c r="C3686" s="533" t="s">
        <v>2262</v>
      </c>
      <c r="D3686" s="656" t="s">
        <v>399</v>
      </c>
      <c r="E3686" s="534">
        <v>656.18332899999996</v>
      </c>
    </row>
    <row r="3687" spans="2:5" x14ac:dyDescent="0.2">
      <c r="B3687" s="533">
        <v>4357</v>
      </c>
      <c r="C3687" s="533" t="s">
        <v>2264</v>
      </c>
      <c r="D3687" s="656" t="s">
        <v>399</v>
      </c>
      <c r="E3687" s="534">
        <v>656.20000300000004</v>
      </c>
    </row>
    <row r="3688" spans="2:5" x14ac:dyDescent="0.2">
      <c r="B3688" s="533">
        <v>4358</v>
      </c>
      <c r="C3688" s="533" t="s">
        <v>2475</v>
      </c>
      <c r="D3688" s="656" t="s">
        <v>403</v>
      </c>
      <c r="E3688" s="534">
        <v>665.17999299999997</v>
      </c>
    </row>
    <row r="3689" spans="2:5" x14ac:dyDescent="0.2">
      <c r="B3689" s="533">
        <v>4358</v>
      </c>
      <c r="C3689" s="533" t="s">
        <v>2475</v>
      </c>
      <c r="D3689" s="656" t="s">
        <v>399</v>
      </c>
      <c r="E3689" s="534">
        <v>665.17999299999997</v>
      </c>
    </row>
    <row r="3690" spans="2:5" x14ac:dyDescent="0.2">
      <c r="B3690" s="533">
        <v>4359</v>
      </c>
      <c r="C3690" s="533" t="s">
        <v>1556</v>
      </c>
      <c r="D3690" s="656" t="s">
        <v>403</v>
      </c>
      <c r="E3690" s="534">
        <v>624.4375</v>
      </c>
    </row>
    <row r="3691" spans="2:5" x14ac:dyDescent="0.2">
      <c r="B3691" s="533">
        <v>4359</v>
      </c>
      <c r="C3691" s="533" t="s">
        <v>1556</v>
      </c>
      <c r="D3691" s="656" t="s">
        <v>399</v>
      </c>
      <c r="E3691" s="534">
        <v>624.4375</v>
      </c>
    </row>
    <row r="3692" spans="2:5" x14ac:dyDescent="0.2">
      <c r="B3692" s="533">
        <v>4360</v>
      </c>
      <c r="C3692" s="533" t="s">
        <v>399</v>
      </c>
      <c r="D3692" s="656" t="s">
        <v>399</v>
      </c>
      <c r="E3692" s="534">
        <v>648.49443900000006</v>
      </c>
    </row>
    <row r="3693" spans="2:5" x14ac:dyDescent="0.2">
      <c r="B3693" s="533">
        <v>4361</v>
      </c>
      <c r="C3693" s="533" t="s">
        <v>4401</v>
      </c>
      <c r="D3693" s="656" t="s">
        <v>399</v>
      </c>
      <c r="E3693" s="534">
        <v>773.63334099999997</v>
      </c>
    </row>
    <row r="3694" spans="2:5" x14ac:dyDescent="0.2">
      <c r="B3694" s="533">
        <v>4362</v>
      </c>
      <c r="C3694" s="533" t="s">
        <v>3712</v>
      </c>
      <c r="D3694" s="656" t="s">
        <v>399</v>
      </c>
      <c r="E3694" s="534">
        <v>728.37143400000002</v>
      </c>
    </row>
    <row r="3695" spans="2:5" x14ac:dyDescent="0.2">
      <c r="B3695" s="533">
        <v>4363</v>
      </c>
      <c r="C3695" s="533" t="s">
        <v>2882</v>
      </c>
      <c r="D3695" s="656" t="s">
        <v>403</v>
      </c>
      <c r="E3695" s="534">
        <v>685.53846599999997</v>
      </c>
    </row>
    <row r="3696" spans="2:5" x14ac:dyDescent="0.2">
      <c r="B3696" s="533">
        <v>4364</v>
      </c>
      <c r="C3696" s="533" t="s">
        <v>6483</v>
      </c>
      <c r="D3696" s="656" t="s">
        <v>403</v>
      </c>
      <c r="E3696" s="534">
        <v>717.39999699999998</v>
      </c>
    </row>
    <row r="3697" spans="2:5" x14ac:dyDescent="0.2">
      <c r="B3697" s="533">
        <v>4365</v>
      </c>
      <c r="C3697" s="533" t="s">
        <v>6484</v>
      </c>
      <c r="D3697" s="656" t="s">
        <v>403</v>
      </c>
      <c r="E3697" s="534">
        <v>717.65882099999999</v>
      </c>
    </row>
    <row r="3698" spans="2:5" x14ac:dyDescent="0.2">
      <c r="B3698" s="533">
        <v>4366</v>
      </c>
      <c r="C3698" s="533" t="s">
        <v>7585</v>
      </c>
      <c r="D3698" s="656" t="s">
        <v>403</v>
      </c>
      <c r="E3698" s="534">
        <v>748.29998799999998</v>
      </c>
    </row>
    <row r="3699" spans="2:5" x14ac:dyDescent="0.2">
      <c r="B3699" s="533">
        <v>4367</v>
      </c>
      <c r="C3699" s="533" t="s">
        <v>3280</v>
      </c>
      <c r="D3699" s="656" t="s">
        <v>403</v>
      </c>
      <c r="E3699" s="534">
        <v>705.16667700000005</v>
      </c>
    </row>
    <row r="3700" spans="2:5" x14ac:dyDescent="0.2">
      <c r="B3700" s="533">
        <v>4368</v>
      </c>
      <c r="C3700" s="533" t="s">
        <v>3100</v>
      </c>
      <c r="D3700" s="656" t="s">
        <v>403</v>
      </c>
      <c r="E3700" s="534">
        <v>696.75</v>
      </c>
    </row>
    <row r="3701" spans="2:5" x14ac:dyDescent="0.2">
      <c r="B3701" s="533">
        <v>4369</v>
      </c>
      <c r="C3701" s="533" t="s">
        <v>7113</v>
      </c>
      <c r="D3701" s="656" t="s">
        <v>403</v>
      </c>
      <c r="E3701" s="534">
        <v>667.59997599999997</v>
      </c>
    </row>
    <row r="3702" spans="2:5" x14ac:dyDescent="0.2">
      <c r="B3702" s="533">
        <v>4370</v>
      </c>
      <c r="C3702" s="533" t="s">
        <v>2642</v>
      </c>
      <c r="D3702" s="656" t="s">
        <v>403</v>
      </c>
      <c r="E3702" s="534">
        <v>673.87999300000001</v>
      </c>
    </row>
    <row r="3703" spans="2:5" x14ac:dyDescent="0.2">
      <c r="B3703" s="533">
        <v>4371</v>
      </c>
      <c r="C3703" s="533" t="s">
        <v>2968</v>
      </c>
      <c r="D3703" s="656" t="s">
        <v>403</v>
      </c>
      <c r="E3703" s="534">
        <v>689.1875</v>
      </c>
    </row>
    <row r="3704" spans="2:5" x14ac:dyDescent="0.2">
      <c r="B3704" s="533">
        <v>4372</v>
      </c>
      <c r="C3704" s="533" t="s">
        <v>3783</v>
      </c>
      <c r="D3704" s="656" t="s">
        <v>403</v>
      </c>
      <c r="E3704" s="534">
        <v>732.20001200000002</v>
      </c>
    </row>
    <row r="3705" spans="2:5" x14ac:dyDescent="0.2">
      <c r="B3705" s="533">
        <v>4373</v>
      </c>
      <c r="C3705" s="533" t="s">
        <v>6567</v>
      </c>
      <c r="D3705" s="656" t="s">
        <v>403</v>
      </c>
      <c r="E3705" s="534">
        <v>685.80000800000005</v>
      </c>
    </row>
    <row r="3706" spans="2:5" x14ac:dyDescent="0.2">
      <c r="B3706" s="533">
        <v>4374</v>
      </c>
      <c r="C3706" s="533" t="s">
        <v>6838</v>
      </c>
      <c r="D3706" s="656" t="s">
        <v>403</v>
      </c>
      <c r="E3706" s="534">
        <v>684.08332299999995</v>
      </c>
    </row>
    <row r="3707" spans="2:5" x14ac:dyDescent="0.2">
      <c r="B3707" s="533">
        <v>4375</v>
      </c>
      <c r="C3707" s="533" t="s">
        <v>3157</v>
      </c>
      <c r="D3707" s="656" t="s">
        <v>403</v>
      </c>
      <c r="E3707" s="534">
        <v>699.59999400000004</v>
      </c>
    </row>
    <row r="3708" spans="2:5" x14ac:dyDescent="0.2">
      <c r="B3708" s="533">
        <v>4376</v>
      </c>
      <c r="C3708" s="533" t="s">
        <v>1911</v>
      </c>
      <c r="D3708" s="656" t="s">
        <v>403</v>
      </c>
      <c r="E3708" s="534">
        <v>698.02857300000005</v>
      </c>
    </row>
    <row r="3709" spans="2:5" x14ac:dyDescent="0.2">
      <c r="B3709" s="533">
        <v>4377</v>
      </c>
      <c r="C3709" s="533" t="s">
        <v>3420</v>
      </c>
      <c r="D3709" s="656" t="s">
        <v>403</v>
      </c>
      <c r="E3709" s="534">
        <v>712.44000200000005</v>
      </c>
    </row>
    <row r="3710" spans="2:5" x14ac:dyDescent="0.2">
      <c r="B3710" s="533">
        <v>4378</v>
      </c>
      <c r="C3710" s="533" t="s">
        <v>4073</v>
      </c>
      <c r="D3710" s="656" t="s">
        <v>403</v>
      </c>
      <c r="E3710" s="534">
        <v>750.11665900000003</v>
      </c>
    </row>
    <row r="3711" spans="2:5" x14ac:dyDescent="0.2">
      <c r="B3711" s="533">
        <v>4379</v>
      </c>
      <c r="C3711" s="533" t="s">
        <v>7522</v>
      </c>
      <c r="D3711" s="656" t="s">
        <v>403</v>
      </c>
      <c r="E3711" s="534">
        <v>739.18332899999996</v>
      </c>
    </row>
    <row r="3712" spans="2:5" x14ac:dyDescent="0.2">
      <c r="B3712" s="533">
        <v>4380</v>
      </c>
      <c r="C3712" s="533" t="s">
        <v>7392</v>
      </c>
      <c r="D3712" s="656" t="s">
        <v>403</v>
      </c>
      <c r="E3712" s="534">
        <v>781.85000600000001</v>
      </c>
    </row>
    <row r="3713" spans="2:5" x14ac:dyDescent="0.2">
      <c r="B3713" s="533">
        <v>4381</v>
      </c>
      <c r="C3713" s="533" t="s">
        <v>4202</v>
      </c>
      <c r="D3713" s="656" t="s">
        <v>403</v>
      </c>
      <c r="E3713" s="534">
        <v>758.30000500000006</v>
      </c>
    </row>
    <row r="3714" spans="2:5" x14ac:dyDescent="0.2">
      <c r="B3714" s="533">
        <v>4382</v>
      </c>
      <c r="C3714" s="533" t="s">
        <v>4070</v>
      </c>
      <c r="D3714" s="656" t="s">
        <v>403</v>
      </c>
      <c r="E3714" s="534">
        <v>749.97142699999995</v>
      </c>
    </row>
    <row r="3715" spans="2:5" x14ac:dyDescent="0.2">
      <c r="B3715" s="533">
        <v>4383</v>
      </c>
      <c r="C3715" s="533" t="s">
        <v>4096</v>
      </c>
      <c r="D3715" s="656" t="s">
        <v>403</v>
      </c>
      <c r="E3715" s="534">
        <v>751.05714599999999</v>
      </c>
    </row>
    <row r="3716" spans="2:5" x14ac:dyDescent="0.2">
      <c r="B3716" s="533">
        <v>4384</v>
      </c>
      <c r="C3716" s="533" t="s">
        <v>1704</v>
      </c>
      <c r="D3716" s="656" t="s">
        <v>403</v>
      </c>
      <c r="E3716" s="534">
        <v>632.75</v>
      </c>
    </row>
    <row r="3717" spans="2:5" x14ac:dyDescent="0.2">
      <c r="B3717" s="533">
        <v>4385</v>
      </c>
      <c r="C3717" s="533" t="s">
        <v>1845</v>
      </c>
      <c r="D3717" s="656" t="s">
        <v>403</v>
      </c>
      <c r="E3717" s="534">
        <v>638.13334099999997</v>
      </c>
    </row>
    <row r="3718" spans="2:5" x14ac:dyDescent="0.2">
      <c r="B3718" s="533">
        <v>4386</v>
      </c>
      <c r="C3718" s="533" t="s">
        <v>1500</v>
      </c>
      <c r="D3718" s="656" t="s">
        <v>403</v>
      </c>
      <c r="E3718" s="534">
        <v>621.06667100000004</v>
      </c>
    </row>
    <row r="3719" spans="2:5" x14ac:dyDescent="0.2">
      <c r="B3719" s="533">
        <v>4387</v>
      </c>
      <c r="C3719" s="533" t="s">
        <v>713</v>
      </c>
      <c r="D3719" s="656" t="s">
        <v>403</v>
      </c>
      <c r="E3719" s="534">
        <v>657.75262799999996</v>
      </c>
    </row>
    <row r="3720" spans="2:5" x14ac:dyDescent="0.2">
      <c r="B3720" s="533">
        <v>4388</v>
      </c>
      <c r="C3720" s="533" t="s">
        <v>7378</v>
      </c>
      <c r="D3720" s="656" t="s">
        <v>403</v>
      </c>
      <c r="E3720" s="534">
        <v>650.41333399999996</v>
      </c>
    </row>
    <row r="3721" spans="2:5" x14ac:dyDescent="0.2">
      <c r="B3721" s="533">
        <v>4389</v>
      </c>
      <c r="C3721" s="533" t="s">
        <v>1580</v>
      </c>
      <c r="D3721" s="656" t="s">
        <v>403</v>
      </c>
      <c r="E3721" s="534">
        <v>625.783997</v>
      </c>
    </row>
    <row r="3722" spans="2:5" x14ac:dyDescent="0.2">
      <c r="B3722" s="533">
        <v>4390</v>
      </c>
      <c r="C3722" s="533" t="s">
        <v>2726</v>
      </c>
      <c r="D3722" s="656" t="s">
        <v>403</v>
      </c>
      <c r="E3722" s="534">
        <v>677.45001200000002</v>
      </c>
    </row>
    <row r="3723" spans="2:5" x14ac:dyDescent="0.2">
      <c r="B3723" s="533">
        <v>4391</v>
      </c>
      <c r="C3723" s="533" t="s">
        <v>2665</v>
      </c>
      <c r="D3723" s="656" t="s">
        <v>403</v>
      </c>
      <c r="E3723" s="534">
        <v>674.85555699999998</v>
      </c>
    </row>
    <row r="3724" spans="2:5" x14ac:dyDescent="0.2">
      <c r="B3724" s="533">
        <v>4392</v>
      </c>
      <c r="C3724" s="533" t="s">
        <v>6965</v>
      </c>
      <c r="D3724" s="656" t="s">
        <v>403</v>
      </c>
      <c r="E3724" s="534">
        <v>676.60909800000002</v>
      </c>
    </row>
    <row r="3725" spans="2:5" x14ac:dyDescent="0.2">
      <c r="B3725" s="533">
        <v>4393</v>
      </c>
      <c r="C3725" s="533" t="s">
        <v>1811</v>
      </c>
      <c r="D3725" s="656" t="s">
        <v>403</v>
      </c>
      <c r="E3725" s="534">
        <v>636.759998</v>
      </c>
    </row>
    <row r="3726" spans="2:5" x14ac:dyDescent="0.2">
      <c r="B3726" s="533">
        <v>4394</v>
      </c>
      <c r="C3726" s="533" t="s">
        <v>1266</v>
      </c>
      <c r="D3726" s="656" t="s">
        <v>403</v>
      </c>
      <c r="E3726" s="534">
        <v>607.95001200000002</v>
      </c>
    </row>
    <row r="3727" spans="2:5" x14ac:dyDescent="0.2">
      <c r="B3727" s="533">
        <v>4395</v>
      </c>
      <c r="C3727" s="533" t="s">
        <v>2001</v>
      </c>
      <c r="D3727" s="656" t="s">
        <v>403</v>
      </c>
      <c r="E3727" s="534">
        <v>643.70000200000004</v>
      </c>
    </row>
    <row r="3728" spans="2:5" x14ac:dyDescent="0.2">
      <c r="B3728" s="533">
        <v>4396</v>
      </c>
      <c r="C3728" s="533" t="s">
        <v>1621</v>
      </c>
      <c r="D3728" s="656" t="s">
        <v>403</v>
      </c>
      <c r="E3728" s="534">
        <v>627.93999599999995</v>
      </c>
    </row>
    <row r="3729" spans="2:5" x14ac:dyDescent="0.2">
      <c r="B3729" s="533">
        <v>4397</v>
      </c>
      <c r="C3729" s="533" t="s">
        <v>1727</v>
      </c>
      <c r="D3729" s="656" t="s">
        <v>403</v>
      </c>
      <c r="E3729" s="534">
        <v>633.69374500000004</v>
      </c>
    </row>
    <row r="3730" spans="2:5" x14ac:dyDescent="0.2">
      <c r="B3730" s="533">
        <v>4398</v>
      </c>
      <c r="C3730" s="533" t="s">
        <v>1876</v>
      </c>
      <c r="D3730" s="656" t="s">
        <v>403</v>
      </c>
      <c r="E3730" s="534">
        <v>639.42500299999995</v>
      </c>
    </row>
    <row r="3731" spans="2:5" x14ac:dyDescent="0.2">
      <c r="B3731" s="533">
        <v>4399</v>
      </c>
      <c r="C3731" s="533" t="s">
        <v>2896</v>
      </c>
      <c r="D3731" s="656" t="s">
        <v>403</v>
      </c>
      <c r="E3731" s="534">
        <v>686.07499700000005</v>
      </c>
    </row>
    <row r="3732" spans="2:5" x14ac:dyDescent="0.2">
      <c r="B3732" s="533">
        <v>4400</v>
      </c>
      <c r="C3732" s="533" t="s">
        <v>2584</v>
      </c>
      <c r="D3732" s="656" t="s">
        <v>403</v>
      </c>
      <c r="E3732" s="534">
        <v>670.34997599999997</v>
      </c>
    </row>
    <row r="3733" spans="2:5" x14ac:dyDescent="0.2">
      <c r="B3733" s="533">
        <v>4401</v>
      </c>
      <c r="C3733" s="533" t="s">
        <v>2371</v>
      </c>
      <c r="D3733" s="656" t="s">
        <v>403</v>
      </c>
      <c r="E3733" s="534">
        <v>660.875</v>
      </c>
    </row>
    <row r="3734" spans="2:5" x14ac:dyDescent="0.2">
      <c r="B3734" s="533">
        <v>4402</v>
      </c>
      <c r="C3734" s="533" t="s">
        <v>1607</v>
      </c>
      <c r="D3734" s="656" t="s">
        <v>403</v>
      </c>
      <c r="E3734" s="534">
        <v>627.37272499999995</v>
      </c>
    </row>
    <row r="3735" spans="2:5" x14ac:dyDescent="0.2">
      <c r="B3735" s="533">
        <v>4403</v>
      </c>
      <c r="C3735" s="533" t="s">
        <v>2292</v>
      </c>
      <c r="D3735" s="656" t="s">
        <v>403</v>
      </c>
      <c r="E3735" s="534">
        <v>657.35554999999999</v>
      </c>
    </row>
    <row r="3736" spans="2:5" x14ac:dyDescent="0.2">
      <c r="B3736" s="533">
        <v>4404</v>
      </c>
      <c r="C3736" s="533" t="s">
        <v>2159</v>
      </c>
      <c r="D3736" s="656" t="s">
        <v>403</v>
      </c>
      <c r="E3736" s="534">
        <v>651.677775</v>
      </c>
    </row>
    <row r="3737" spans="2:5" x14ac:dyDescent="0.2">
      <c r="B3737" s="533">
        <v>4405</v>
      </c>
      <c r="C3737" s="533" t="s">
        <v>2654</v>
      </c>
      <c r="D3737" s="656" t="s">
        <v>403</v>
      </c>
      <c r="E3737" s="534">
        <v>674.35714299999995</v>
      </c>
    </row>
    <row r="3738" spans="2:5" x14ac:dyDescent="0.2">
      <c r="B3738" s="533">
        <v>4406</v>
      </c>
      <c r="C3738" s="533" t="s">
        <v>2908</v>
      </c>
      <c r="D3738" s="656" t="s">
        <v>403</v>
      </c>
      <c r="E3738" s="534">
        <v>686.44998799999996</v>
      </c>
    </row>
    <row r="3739" spans="2:5" x14ac:dyDescent="0.2">
      <c r="B3739" s="533">
        <v>4407</v>
      </c>
      <c r="C3739" s="533" t="s">
        <v>3374</v>
      </c>
      <c r="D3739" s="656" t="s">
        <v>403</v>
      </c>
      <c r="E3739" s="534">
        <v>709.91999499999997</v>
      </c>
    </row>
    <row r="3740" spans="2:5" x14ac:dyDescent="0.2">
      <c r="B3740" s="533">
        <v>4408</v>
      </c>
      <c r="C3740" s="533" t="s">
        <v>6635</v>
      </c>
      <c r="D3740" s="656" t="s">
        <v>403</v>
      </c>
      <c r="E3740" s="534">
        <v>680.08000500000003</v>
      </c>
    </row>
    <row r="3741" spans="2:5" x14ac:dyDescent="0.2">
      <c r="B3741" s="533">
        <v>4409</v>
      </c>
      <c r="C3741" s="533" t="s">
        <v>2764</v>
      </c>
      <c r="D3741" s="656" t="s">
        <v>403</v>
      </c>
      <c r="E3741" s="534">
        <v>679.44000200000005</v>
      </c>
    </row>
    <row r="3742" spans="2:5" x14ac:dyDescent="0.2">
      <c r="B3742" s="533">
        <v>4410</v>
      </c>
      <c r="C3742" s="533" t="s">
        <v>3153</v>
      </c>
      <c r="D3742" s="656" t="s">
        <v>403</v>
      </c>
      <c r="E3742" s="534">
        <v>699.52500899999995</v>
      </c>
    </row>
    <row r="3743" spans="2:5" x14ac:dyDescent="0.2">
      <c r="B3743" s="533">
        <v>4411</v>
      </c>
      <c r="C3743" s="533" t="s">
        <v>6867</v>
      </c>
      <c r="D3743" s="656" t="s">
        <v>403</v>
      </c>
      <c r="E3743" s="534">
        <v>680.72857699999997</v>
      </c>
    </row>
    <row r="3744" spans="2:5" x14ac:dyDescent="0.2">
      <c r="B3744" s="533">
        <v>4412</v>
      </c>
      <c r="C3744" s="533" t="s">
        <v>6636</v>
      </c>
      <c r="D3744" s="656" t="s">
        <v>403</v>
      </c>
      <c r="E3744" s="534">
        <v>753.69686899999999</v>
      </c>
    </row>
    <row r="3745" spans="2:5" x14ac:dyDescent="0.2">
      <c r="B3745" s="533">
        <v>4451</v>
      </c>
      <c r="C3745" s="533" t="s">
        <v>6769</v>
      </c>
      <c r="D3745" s="656" t="s">
        <v>400</v>
      </c>
      <c r="E3745" s="534">
        <v>826.635716</v>
      </c>
    </row>
    <row r="3746" spans="2:5" x14ac:dyDescent="0.2">
      <c r="B3746" s="533">
        <v>4452</v>
      </c>
      <c r="C3746" s="533" t="s">
        <v>6768</v>
      </c>
      <c r="D3746" s="656" t="s">
        <v>400</v>
      </c>
      <c r="E3746" s="534">
        <v>792.63750500000003</v>
      </c>
    </row>
    <row r="3747" spans="2:5" x14ac:dyDescent="0.2">
      <c r="B3747" s="533">
        <v>4453</v>
      </c>
      <c r="C3747" s="533" t="s">
        <v>7107</v>
      </c>
      <c r="D3747" s="656" t="s">
        <v>400</v>
      </c>
      <c r="E3747" s="534">
        <v>744.55001800000002</v>
      </c>
    </row>
    <row r="3748" spans="2:5" x14ac:dyDescent="0.2">
      <c r="B3748" s="533">
        <v>4454</v>
      </c>
      <c r="C3748" s="533" t="s">
        <v>4306</v>
      </c>
      <c r="D3748" s="656" t="s">
        <v>400</v>
      </c>
      <c r="E3748" s="534">
        <v>765.80908799999997</v>
      </c>
    </row>
    <row r="3749" spans="2:5" x14ac:dyDescent="0.2">
      <c r="B3749" s="533">
        <v>4455</v>
      </c>
      <c r="C3749" s="533" t="s">
        <v>3506</v>
      </c>
      <c r="D3749" s="656" t="s">
        <v>400</v>
      </c>
      <c r="E3749" s="534">
        <v>717.11333400000001</v>
      </c>
    </row>
    <row r="3750" spans="2:5" x14ac:dyDescent="0.2">
      <c r="B3750" s="533">
        <v>4456</v>
      </c>
      <c r="C3750" s="533" t="s">
        <v>2554</v>
      </c>
      <c r="D3750" s="656" t="s">
        <v>400</v>
      </c>
      <c r="E3750" s="534">
        <v>668.91110600000002</v>
      </c>
    </row>
    <row r="3751" spans="2:5" x14ac:dyDescent="0.2">
      <c r="B3751" s="533">
        <v>4457</v>
      </c>
      <c r="C3751" s="533" t="s">
        <v>3182</v>
      </c>
      <c r="D3751" s="656" t="s">
        <v>400</v>
      </c>
      <c r="E3751" s="534">
        <v>700.49999500000001</v>
      </c>
    </row>
    <row r="3752" spans="2:5" x14ac:dyDescent="0.2">
      <c r="B3752" s="533">
        <v>4458</v>
      </c>
      <c r="C3752" s="533" t="s">
        <v>2970</v>
      </c>
      <c r="D3752" s="656" t="s">
        <v>400</v>
      </c>
      <c r="E3752" s="534">
        <v>689.24445900000001</v>
      </c>
    </row>
    <row r="3753" spans="2:5" x14ac:dyDescent="0.2">
      <c r="B3753" s="533">
        <v>4459</v>
      </c>
      <c r="C3753" s="533" t="s">
        <v>2268</v>
      </c>
      <c r="D3753" s="656" t="s">
        <v>400</v>
      </c>
      <c r="E3753" s="534">
        <v>656.34999100000005</v>
      </c>
    </row>
    <row r="3754" spans="2:5" x14ac:dyDescent="0.2">
      <c r="B3754" s="533">
        <v>4460</v>
      </c>
      <c r="C3754" s="533" t="s">
        <v>6832</v>
      </c>
      <c r="D3754" s="656" t="s">
        <v>400</v>
      </c>
      <c r="E3754" s="534">
        <v>655.48095999999998</v>
      </c>
    </row>
    <row r="3755" spans="2:5" x14ac:dyDescent="0.2">
      <c r="B3755" s="533">
        <v>4461</v>
      </c>
      <c r="C3755" s="533" t="s">
        <v>2474</v>
      </c>
      <c r="D3755" s="656" t="s">
        <v>400</v>
      </c>
      <c r="E3755" s="534">
        <v>665.09999100000005</v>
      </c>
    </row>
    <row r="3756" spans="2:5" x14ac:dyDescent="0.2">
      <c r="B3756" s="533">
        <v>4462</v>
      </c>
      <c r="C3756" s="533" t="s">
        <v>2430</v>
      </c>
      <c r="D3756" s="656" t="s">
        <v>400</v>
      </c>
      <c r="E3756" s="534">
        <v>663.79998799999998</v>
      </c>
    </row>
    <row r="3757" spans="2:5" x14ac:dyDescent="0.2">
      <c r="B3757" s="533">
        <v>4463</v>
      </c>
      <c r="C3757" s="533" t="s">
        <v>7502</v>
      </c>
      <c r="D3757" s="656" t="s">
        <v>400</v>
      </c>
      <c r="E3757" s="534">
        <v>668.33845899999994</v>
      </c>
    </row>
    <row r="3758" spans="2:5" x14ac:dyDescent="0.2">
      <c r="B3758" s="533">
        <v>4464</v>
      </c>
      <c r="C3758" s="533" t="s">
        <v>2407</v>
      </c>
      <c r="D3758" s="656" t="s">
        <v>400</v>
      </c>
      <c r="E3758" s="534">
        <v>663.04998799999998</v>
      </c>
    </row>
    <row r="3759" spans="2:5" x14ac:dyDescent="0.2">
      <c r="B3759" s="533">
        <v>4465</v>
      </c>
      <c r="C3759" s="533" t="s">
        <v>3028</v>
      </c>
      <c r="D3759" s="656" t="s">
        <v>400</v>
      </c>
      <c r="E3759" s="534">
        <v>692.66923599999996</v>
      </c>
    </row>
    <row r="3760" spans="2:5" x14ac:dyDescent="0.2">
      <c r="B3760" s="533">
        <v>4466</v>
      </c>
      <c r="C3760" s="533" t="s">
        <v>4874</v>
      </c>
      <c r="D3760" s="656" t="s">
        <v>400</v>
      </c>
      <c r="E3760" s="534">
        <v>809.95417499999996</v>
      </c>
    </row>
    <row r="3761" spans="2:5" x14ac:dyDescent="0.2">
      <c r="B3761" s="533">
        <v>4467</v>
      </c>
      <c r="C3761" s="533" t="s">
        <v>4887</v>
      </c>
      <c r="D3761" s="656" t="s">
        <v>400</v>
      </c>
      <c r="E3761" s="534">
        <v>811.80001800000002</v>
      </c>
    </row>
    <row r="3762" spans="2:5" x14ac:dyDescent="0.2">
      <c r="B3762" s="533">
        <v>4468</v>
      </c>
      <c r="C3762" s="533" t="s">
        <v>4376</v>
      </c>
      <c r="D3762" s="656" t="s">
        <v>400</v>
      </c>
      <c r="E3762" s="534">
        <v>771.06249200000002</v>
      </c>
    </row>
    <row r="3763" spans="2:5" x14ac:dyDescent="0.2">
      <c r="B3763" s="533">
        <v>4469</v>
      </c>
      <c r="C3763" s="533" t="s">
        <v>3451</v>
      </c>
      <c r="D3763" s="656" t="s">
        <v>400</v>
      </c>
      <c r="E3763" s="534">
        <v>763.23333100000002</v>
      </c>
    </row>
    <row r="3764" spans="2:5" x14ac:dyDescent="0.2">
      <c r="B3764" s="533">
        <v>4470</v>
      </c>
      <c r="C3764" s="533" t="s">
        <v>4186</v>
      </c>
      <c r="D3764" s="656" t="s">
        <v>400</v>
      </c>
      <c r="E3764" s="534">
        <v>757.17142200000001</v>
      </c>
    </row>
    <row r="3765" spans="2:5" x14ac:dyDescent="0.2">
      <c r="B3765" s="533">
        <v>4471</v>
      </c>
      <c r="C3765" s="533" t="s">
        <v>3894</v>
      </c>
      <c r="D3765" s="656" t="s">
        <v>400</v>
      </c>
      <c r="E3765" s="534">
        <v>739.32499700000005</v>
      </c>
    </row>
    <row r="3766" spans="2:5" x14ac:dyDescent="0.2">
      <c r="B3766" s="533">
        <v>4472</v>
      </c>
      <c r="C3766" s="533" t="s">
        <v>7575</v>
      </c>
      <c r="D3766" s="656" t="s">
        <v>400</v>
      </c>
      <c r="E3766" s="534">
        <v>693.15713900000003</v>
      </c>
    </row>
    <row r="3767" spans="2:5" x14ac:dyDescent="0.2">
      <c r="B3767" s="533">
        <v>4473</v>
      </c>
      <c r="C3767" s="533" t="s">
        <v>2357</v>
      </c>
      <c r="D3767" s="656" t="s">
        <v>400</v>
      </c>
      <c r="E3767" s="534">
        <v>660.42500299999995</v>
      </c>
    </row>
    <row r="3768" spans="2:5" x14ac:dyDescent="0.2">
      <c r="B3768" s="533">
        <v>4474</v>
      </c>
      <c r="C3768" s="533" t="s">
        <v>3450</v>
      </c>
      <c r="D3768" s="656" t="s">
        <v>400</v>
      </c>
      <c r="E3768" s="534">
        <v>713.75454400000001</v>
      </c>
    </row>
    <row r="3769" spans="2:5" x14ac:dyDescent="0.2">
      <c r="B3769" s="533">
        <v>4475</v>
      </c>
      <c r="C3769" s="533" t="s">
        <v>6906</v>
      </c>
      <c r="D3769" s="656" t="s">
        <v>400</v>
      </c>
      <c r="E3769" s="534">
        <v>698.34667200000001</v>
      </c>
    </row>
    <row r="3770" spans="2:5" x14ac:dyDescent="0.2">
      <c r="B3770" s="533">
        <v>4476</v>
      </c>
      <c r="C3770" s="533" t="s">
        <v>3154</v>
      </c>
      <c r="D3770" s="656" t="s">
        <v>400</v>
      </c>
      <c r="E3770" s="534">
        <v>699.57500700000003</v>
      </c>
    </row>
    <row r="3771" spans="2:5" x14ac:dyDescent="0.2">
      <c r="B3771" s="533">
        <v>4477</v>
      </c>
      <c r="C3771" s="533" t="s">
        <v>4020</v>
      </c>
      <c r="D3771" s="656" t="s">
        <v>400</v>
      </c>
      <c r="E3771" s="534">
        <v>832.57498199999998</v>
      </c>
    </row>
    <row r="3772" spans="2:5" x14ac:dyDescent="0.2">
      <c r="B3772" s="533">
        <v>4478</v>
      </c>
      <c r="C3772" s="533" t="s">
        <v>4585</v>
      </c>
      <c r="D3772" s="656" t="s">
        <v>400</v>
      </c>
      <c r="E3772" s="534">
        <v>787.54444699999999</v>
      </c>
    </row>
    <row r="3773" spans="2:5" x14ac:dyDescent="0.2">
      <c r="B3773" s="533">
        <v>4479</v>
      </c>
      <c r="C3773" s="533" t="s">
        <v>4273</v>
      </c>
      <c r="D3773" s="656" t="s">
        <v>400</v>
      </c>
      <c r="E3773" s="534">
        <v>763.49998800000003</v>
      </c>
    </row>
    <row r="3774" spans="2:5" x14ac:dyDescent="0.2">
      <c r="B3774" s="533">
        <v>4480</v>
      </c>
      <c r="C3774" s="533" t="s">
        <v>3856</v>
      </c>
      <c r="D3774" s="656" t="s">
        <v>400</v>
      </c>
      <c r="E3774" s="534">
        <v>736.59999300000004</v>
      </c>
    </row>
    <row r="3775" spans="2:5" x14ac:dyDescent="0.2">
      <c r="B3775" s="533">
        <v>4481</v>
      </c>
      <c r="C3775" s="533" t="s">
        <v>3501</v>
      </c>
      <c r="D3775" s="656" t="s">
        <v>400</v>
      </c>
      <c r="E3775" s="534">
        <v>716.95000200000004</v>
      </c>
    </row>
    <row r="3776" spans="2:5" x14ac:dyDescent="0.2">
      <c r="B3776" s="533">
        <v>4482</v>
      </c>
      <c r="C3776" s="533" t="s">
        <v>7348</v>
      </c>
      <c r="D3776" s="656" t="s">
        <v>400</v>
      </c>
      <c r="E3776" s="534">
        <v>730.22857199999999</v>
      </c>
    </row>
    <row r="3777" spans="2:5" x14ac:dyDescent="0.2">
      <c r="B3777" s="533">
        <v>4483</v>
      </c>
      <c r="C3777" s="533" t="s">
        <v>6845</v>
      </c>
      <c r="D3777" s="656" t="s">
        <v>400</v>
      </c>
      <c r="E3777" s="534">
        <v>729.72307899999998</v>
      </c>
    </row>
    <row r="3778" spans="2:5" x14ac:dyDescent="0.2">
      <c r="B3778" s="533">
        <v>4484</v>
      </c>
      <c r="C3778" s="533" t="s">
        <v>3012</v>
      </c>
      <c r="D3778" s="656" t="s">
        <v>400</v>
      </c>
      <c r="E3778" s="534">
        <v>691.97857699999997</v>
      </c>
    </row>
    <row r="3779" spans="2:5" x14ac:dyDescent="0.2">
      <c r="B3779" s="533">
        <v>4485</v>
      </c>
      <c r="C3779" s="533" t="s">
        <v>7498</v>
      </c>
      <c r="D3779" s="656" t="s">
        <v>400</v>
      </c>
      <c r="E3779" s="534">
        <v>668.98334799999998</v>
      </c>
    </row>
    <row r="3780" spans="2:5" x14ac:dyDescent="0.2">
      <c r="B3780" s="533">
        <v>4486</v>
      </c>
      <c r="C3780" s="533" t="s">
        <v>2907</v>
      </c>
      <c r="D3780" s="656" t="s">
        <v>400</v>
      </c>
      <c r="E3780" s="534">
        <v>686.42222100000004</v>
      </c>
    </row>
    <row r="3781" spans="2:5" x14ac:dyDescent="0.2">
      <c r="B3781" s="533">
        <v>4487</v>
      </c>
      <c r="C3781" s="533" t="s">
        <v>3230</v>
      </c>
      <c r="D3781" s="656" t="s">
        <v>400</v>
      </c>
      <c r="E3781" s="534">
        <v>702.90000399999997</v>
      </c>
    </row>
    <row r="3782" spans="2:5" x14ac:dyDescent="0.2">
      <c r="B3782" s="533">
        <v>4488</v>
      </c>
      <c r="C3782" s="533" t="s">
        <v>3328</v>
      </c>
      <c r="D3782" s="656" t="s">
        <v>400</v>
      </c>
      <c r="E3782" s="534">
        <v>707.65</v>
      </c>
    </row>
    <row r="3783" spans="2:5" x14ac:dyDescent="0.2">
      <c r="B3783" s="533">
        <v>4489</v>
      </c>
      <c r="C3783" s="533" t="s">
        <v>2895</v>
      </c>
      <c r="D3783" s="656" t="s">
        <v>400</v>
      </c>
      <c r="E3783" s="534">
        <v>686.06667100000004</v>
      </c>
    </row>
    <row r="3784" spans="2:5" x14ac:dyDescent="0.2">
      <c r="B3784" s="533">
        <v>4490</v>
      </c>
      <c r="C3784" s="533" t="s">
        <v>2434</v>
      </c>
      <c r="D3784" s="656" t="s">
        <v>400</v>
      </c>
      <c r="E3784" s="534">
        <v>663.94643099999996</v>
      </c>
    </row>
    <row r="3785" spans="2:5" x14ac:dyDescent="0.2">
      <c r="B3785" s="533">
        <v>4491</v>
      </c>
      <c r="C3785" s="533" t="s">
        <v>1883</v>
      </c>
      <c r="D3785" s="656" t="s">
        <v>400</v>
      </c>
      <c r="E3785" s="534">
        <v>639.59997599999997</v>
      </c>
    </row>
    <row r="3786" spans="2:5" x14ac:dyDescent="0.2">
      <c r="B3786" s="533">
        <v>4492</v>
      </c>
      <c r="C3786" s="533" t="s">
        <v>2113</v>
      </c>
      <c r="D3786" s="656" t="s">
        <v>400</v>
      </c>
      <c r="E3786" s="534">
        <v>649.53889000000004</v>
      </c>
    </row>
    <row r="3787" spans="2:5" x14ac:dyDescent="0.2">
      <c r="B3787" s="533">
        <v>4493</v>
      </c>
      <c r="C3787" s="533" t="s">
        <v>1189</v>
      </c>
      <c r="D3787" s="656" t="s">
        <v>400</v>
      </c>
      <c r="E3787" s="534">
        <v>679.28749100000005</v>
      </c>
    </row>
    <row r="3788" spans="2:5" x14ac:dyDescent="0.2">
      <c r="B3788" s="533">
        <v>4494</v>
      </c>
      <c r="C3788" s="533" t="s">
        <v>1831</v>
      </c>
      <c r="D3788" s="656" t="s">
        <v>400</v>
      </c>
      <c r="E3788" s="534">
        <v>637.375</v>
      </c>
    </row>
    <row r="3789" spans="2:5" x14ac:dyDescent="0.2">
      <c r="B3789" s="533">
        <v>4495</v>
      </c>
      <c r="C3789" s="533" t="s">
        <v>3730</v>
      </c>
      <c r="D3789" s="656" t="s">
        <v>400</v>
      </c>
      <c r="E3789" s="534">
        <v>729.12307999999996</v>
      </c>
    </row>
    <row r="3790" spans="2:5" x14ac:dyDescent="0.2">
      <c r="B3790" s="533">
        <v>4496</v>
      </c>
      <c r="C3790" s="533" t="s">
        <v>3303</v>
      </c>
      <c r="D3790" s="656" t="s">
        <v>400</v>
      </c>
      <c r="E3790" s="534">
        <v>706.64616000000001</v>
      </c>
    </row>
    <row r="3791" spans="2:5" x14ac:dyDescent="0.2">
      <c r="B3791" s="533">
        <v>4497</v>
      </c>
      <c r="C3791" s="533" t="s">
        <v>3175</v>
      </c>
      <c r="D3791" s="656" t="s">
        <v>400</v>
      </c>
      <c r="E3791" s="534">
        <v>700.29091000000005</v>
      </c>
    </row>
    <row r="3792" spans="2:5" x14ac:dyDescent="0.2">
      <c r="B3792" s="533">
        <v>4498</v>
      </c>
      <c r="C3792" s="533" t="s">
        <v>1767</v>
      </c>
      <c r="D3792" s="656" t="s">
        <v>400</v>
      </c>
      <c r="E3792" s="534">
        <v>718.01110200000005</v>
      </c>
    </row>
    <row r="3793" spans="2:5" x14ac:dyDescent="0.2">
      <c r="B3793" s="533">
        <v>4499</v>
      </c>
      <c r="C3793" s="533" t="s">
        <v>2758</v>
      </c>
      <c r="D3793" s="656" t="s">
        <v>400</v>
      </c>
      <c r="E3793" s="534">
        <v>679.077766</v>
      </c>
    </row>
    <row r="3794" spans="2:5" x14ac:dyDescent="0.2">
      <c r="B3794" s="533">
        <v>4500</v>
      </c>
      <c r="C3794" s="533" t="s">
        <v>7095</v>
      </c>
      <c r="D3794" s="656" t="s">
        <v>400</v>
      </c>
      <c r="E3794" s="534">
        <v>670.75556099999994</v>
      </c>
    </row>
    <row r="3795" spans="2:5" x14ac:dyDescent="0.2">
      <c r="B3795" s="533">
        <v>4501</v>
      </c>
      <c r="C3795" s="533" t="s">
        <v>2507</v>
      </c>
      <c r="D3795" s="656" t="s">
        <v>400</v>
      </c>
      <c r="E3795" s="534">
        <v>666.64999399999999</v>
      </c>
    </row>
    <row r="3796" spans="2:5" x14ac:dyDescent="0.2">
      <c r="B3796" s="533">
        <v>4502</v>
      </c>
      <c r="C3796" s="533" t="s">
        <v>3144</v>
      </c>
      <c r="D3796" s="656" t="s">
        <v>400</v>
      </c>
      <c r="E3796" s="534">
        <v>699.12222599999996</v>
      </c>
    </row>
    <row r="3797" spans="2:5" x14ac:dyDescent="0.2">
      <c r="B3797" s="533">
        <v>4503</v>
      </c>
      <c r="C3797" s="533" t="s">
        <v>2590</v>
      </c>
      <c r="D3797" s="656" t="s">
        <v>400</v>
      </c>
      <c r="E3797" s="534">
        <v>717.28888600000005</v>
      </c>
    </row>
    <row r="3798" spans="2:5" x14ac:dyDescent="0.2">
      <c r="B3798" s="533">
        <v>4504</v>
      </c>
      <c r="C3798" s="533" t="s">
        <v>6758</v>
      </c>
      <c r="D3798" s="656" t="s">
        <v>400</v>
      </c>
      <c r="E3798" s="534">
        <v>735.05998499999998</v>
      </c>
    </row>
    <row r="3799" spans="2:5" x14ac:dyDescent="0.2">
      <c r="B3799" s="533">
        <v>4505</v>
      </c>
      <c r="C3799" s="533" t="s">
        <v>3851</v>
      </c>
      <c r="D3799" s="656" t="s">
        <v>400</v>
      </c>
      <c r="E3799" s="534">
        <v>736.21111399999995</v>
      </c>
    </row>
    <row r="3800" spans="2:5" x14ac:dyDescent="0.2">
      <c r="B3800" s="533">
        <v>4506</v>
      </c>
      <c r="C3800" s="533" t="s">
        <v>4707</v>
      </c>
      <c r="D3800" s="656" t="s">
        <v>400</v>
      </c>
      <c r="E3800" s="534">
        <v>797.50000499999999</v>
      </c>
    </row>
    <row r="3801" spans="2:5" x14ac:dyDescent="0.2">
      <c r="B3801" s="533">
        <v>4507</v>
      </c>
      <c r="C3801" s="533" t="s">
        <v>4354</v>
      </c>
      <c r="D3801" s="656" t="s">
        <v>400</v>
      </c>
      <c r="E3801" s="534">
        <v>769.03333999999995</v>
      </c>
    </row>
    <row r="3802" spans="2:5" x14ac:dyDescent="0.2">
      <c r="B3802" s="533">
        <v>4508</v>
      </c>
      <c r="C3802" s="533" t="s">
        <v>3532</v>
      </c>
      <c r="D3802" s="656" t="s">
        <v>400</v>
      </c>
      <c r="E3802" s="534">
        <v>718.41874700000005</v>
      </c>
    </row>
    <row r="3803" spans="2:5" x14ac:dyDescent="0.2">
      <c r="B3803" s="533">
        <v>4509</v>
      </c>
      <c r="C3803" s="533" t="s">
        <v>3760</v>
      </c>
      <c r="D3803" s="656" t="s">
        <v>400</v>
      </c>
      <c r="E3803" s="534">
        <v>731.13635799999997</v>
      </c>
    </row>
    <row r="3804" spans="2:5" x14ac:dyDescent="0.2">
      <c r="B3804" s="533">
        <v>4510</v>
      </c>
      <c r="C3804" s="533" t="s">
        <v>2901</v>
      </c>
      <c r="D3804" s="656" t="s">
        <v>400</v>
      </c>
      <c r="E3804" s="534">
        <v>686.23333200000002</v>
      </c>
    </row>
    <row r="3805" spans="2:5" x14ac:dyDescent="0.2">
      <c r="B3805" s="533">
        <v>4511</v>
      </c>
      <c r="C3805" s="533" t="s">
        <v>3147</v>
      </c>
      <c r="D3805" s="656" t="s">
        <v>400</v>
      </c>
      <c r="E3805" s="534">
        <v>699.25714100000005</v>
      </c>
    </row>
    <row r="3806" spans="2:5" x14ac:dyDescent="0.2">
      <c r="B3806" s="533">
        <v>4512</v>
      </c>
      <c r="C3806" s="533" t="s">
        <v>2455</v>
      </c>
      <c r="D3806" s="656" t="s">
        <v>400</v>
      </c>
      <c r="E3806" s="534">
        <v>664.66667700000005</v>
      </c>
    </row>
    <row r="3807" spans="2:5" x14ac:dyDescent="0.2">
      <c r="B3807" s="533">
        <v>4513</v>
      </c>
      <c r="C3807" s="533" t="s">
        <v>2747</v>
      </c>
      <c r="D3807" s="656" t="s">
        <v>400</v>
      </c>
      <c r="E3807" s="534">
        <v>678.63332100000002</v>
      </c>
    </row>
    <row r="3808" spans="2:5" x14ac:dyDescent="0.2">
      <c r="B3808" s="533">
        <v>4514</v>
      </c>
      <c r="C3808" s="533" t="s">
        <v>7049</v>
      </c>
      <c r="D3808" s="656" t="s">
        <v>397</v>
      </c>
      <c r="E3808" s="534">
        <v>651.15999799999997</v>
      </c>
    </row>
    <row r="3809" spans="2:5" x14ac:dyDescent="0.2">
      <c r="B3809" s="533">
        <v>4515</v>
      </c>
      <c r="C3809" s="533" t="s">
        <v>7521</v>
      </c>
      <c r="D3809" s="656" t="s">
        <v>397</v>
      </c>
      <c r="E3809" s="534">
        <v>640.46249399999999</v>
      </c>
    </row>
    <row r="3810" spans="2:5" x14ac:dyDescent="0.2">
      <c r="B3810" s="533">
        <v>4515</v>
      </c>
      <c r="C3810" s="533" t="s">
        <v>7521</v>
      </c>
      <c r="D3810" s="656" t="s">
        <v>400</v>
      </c>
      <c r="E3810" s="534">
        <v>640.46249399999999</v>
      </c>
    </row>
    <row r="3811" spans="2:5" x14ac:dyDescent="0.2">
      <c r="B3811" s="533">
        <v>4516</v>
      </c>
      <c r="C3811" s="533" t="s">
        <v>2124</v>
      </c>
      <c r="D3811" s="656" t="s">
        <v>397</v>
      </c>
      <c r="E3811" s="534">
        <v>650.08333300000004</v>
      </c>
    </row>
    <row r="3812" spans="2:5" x14ac:dyDescent="0.2">
      <c r="B3812" s="533">
        <v>4517</v>
      </c>
      <c r="C3812" s="533" t="s">
        <v>397</v>
      </c>
      <c r="D3812" s="656" t="s">
        <v>397</v>
      </c>
      <c r="E3812" s="534">
        <v>639.879999</v>
      </c>
    </row>
    <row r="3813" spans="2:5" x14ac:dyDescent="0.2">
      <c r="B3813" s="533">
        <v>4518</v>
      </c>
      <c r="C3813" s="533" t="s">
        <v>2109</v>
      </c>
      <c r="D3813" s="656" t="s">
        <v>397</v>
      </c>
      <c r="E3813" s="534">
        <v>649.40002400000003</v>
      </c>
    </row>
    <row r="3814" spans="2:5" x14ac:dyDescent="0.2">
      <c r="B3814" s="533">
        <v>4519</v>
      </c>
      <c r="C3814" s="533" t="s">
        <v>1553</v>
      </c>
      <c r="D3814" s="656" t="s">
        <v>400</v>
      </c>
      <c r="E3814" s="534">
        <v>695.56363699999997</v>
      </c>
    </row>
    <row r="3815" spans="2:5" x14ac:dyDescent="0.2">
      <c r="B3815" s="533">
        <v>4520</v>
      </c>
      <c r="C3815" s="533" t="s">
        <v>2480</v>
      </c>
      <c r="D3815" s="656" t="s">
        <v>400</v>
      </c>
      <c r="E3815" s="534">
        <v>665.36665900000003</v>
      </c>
    </row>
    <row r="3816" spans="2:5" x14ac:dyDescent="0.2">
      <c r="B3816" s="533">
        <v>4521</v>
      </c>
      <c r="C3816" s="533" t="s">
        <v>2912</v>
      </c>
      <c r="D3816" s="656" t="s">
        <v>400</v>
      </c>
      <c r="E3816" s="534">
        <v>686.614284</v>
      </c>
    </row>
    <row r="3817" spans="2:5" x14ac:dyDescent="0.2">
      <c r="B3817" s="533">
        <v>4522</v>
      </c>
      <c r="C3817" s="533" t="s">
        <v>3694</v>
      </c>
      <c r="D3817" s="656" t="s">
        <v>400</v>
      </c>
      <c r="E3817" s="534">
        <v>727.33076800000003</v>
      </c>
    </row>
    <row r="3818" spans="2:5" x14ac:dyDescent="0.2">
      <c r="B3818" s="533">
        <v>4523</v>
      </c>
      <c r="C3818" s="533" t="s">
        <v>3939</v>
      </c>
      <c r="D3818" s="656" t="s">
        <v>400</v>
      </c>
      <c r="E3818" s="534">
        <v>741.46668299999999</v>
      </c>
    </row>
    <row r="3819" spans="2:5" x14ac:dyDescent="0.2">
      <c r="B3819" s="533">
        <v>4524</v>
      </c>
      <c r="C3819" s="533" t="s">
        <v>2667</v>
      </c>
      <c r="D3819" s="656" t="s">
        <v>400</v>
      </c>
      <c r="E3819" s="534">
        <v>674.93685100000005</v>
      </c>
    </row>
    <row r="3820" spans="2:5" x14ac:dyDescent="0.2">
      <c r="B3820" s="533">
        <v>4525</v>
      </c>
      <c r="C3820" s="533" t="s">
        <v>4430</v>
      </c>
      <c r="D3820" s="656" t="s">
        <v>400</v>
      </c>
      <c r="E3820" s="534">
        <v>775.86667199999999</v>
      </c>
    </row>
    <row r="3821" spans="2:5" x14ac:dyDescent="0.2">
      <c r="B3821" s="533">
        <v>4526</v>
      </c>
      <c r="C3821" s="533" t="s">
        <v>4746</v>
      </c>
      <c r="D3821" s="656" t="s">
        <v>400</v>
      </c>
      <c r="E3821" s="534">
        <v>800.12222599999996</v>
      </c>
    </row>
    <row r="3822" spans="2:5" x14ac:dyDescent="0.2">
      <c r="B3822" s="533">
        <v>4527</v>
      </c>
      <c r="C3822" s="533" t="s">
        <v>4614</v>
      </c>
      <c r="D3822" s="656" t="s">
        <v>400</v>
      </c>
      <c r="E3822" s="534">
        <v>789.91334199999994</v>
      </c>
    </row>
    <row r="3823" spans="2:5" x14ac:dyDescent="0.2">
      <c r="B3823" s="533">
        <v>4528</v>
      </c>
      <c r="C3823" s="533" t="s">
        <v>7118</v>
      </c>
      <c r="D3823" s="656" t="s">
        <v>400</v>
      </c>
      <c r="E3823" s="534">
        <v>745</v>
      </c>
    </row>
    <row r="3824" spans="2:5" x14ac:dyDescent="0.2">
      <c r="B3824" s="533">
        <v>4529</v>
      </c>
      <c r="C3824" s="533" t="s">
        <v>3530</v>
      </c>
      <c r="D3824" s="656" t="s">
        <v>400</v>
      </c>
      <c r="E3824" s="534">
        <v>718.33845899999994</v>
      </c>
    </row>
    <row r="3825" spans="2:5" x14ac:dyDescent="0.2">
      <c r="B3825" s="533">
        <v>4530</v>
      </c>
      <c r="C3825" s="533" t="s">
        <v>6821</v>
      </c>
      <c r="D3825" s="656" t="s">
        <v>400</v>
      </c>
      <c r="E3825" s="534">
        <v>705.77272700000003</v>
      </c>
    </row>
    <row r="3826" spans="2:5" x14ac:dyDescent="0.2">
      <c r="B3826" s="533">
        <v>4531</v>
      </c>
      <c r="C3826" s="533" t="s">
        <v>2574</v>
      </c>
      <c r="D3826" s="656" t="s">
        <v>400</v>
      </c>
      <c r="E3826" s="534">
        <v>669.77500199999997</v>
      </c>
    </row>
    <row r="3827" spans="2:5" x14ac:dyDescent="0.2">
      <c r="B3827" s="533">
        <v>4532</v>
      </c>
      <c r="C3827" s="533" t="s">
        <v>2919</v>
      </c>
      <c r="D3827" s="656" t="s">
        <v>400</v>
      </c>
      <c r="E3827" s="534">
        <v>687.03334600000005</v>
      </c>
    </row>
    <row r="3828" spans="2:5" x14ac:dyDescent="0.2">
      <c r="B3828" s="533">
        <v>4533</v>
      </c>
      <c r="C3828" s="533" t="s">
        <v>2683</v>
      </c>
      <c r="D3828" s="656" t="s">
        <v>400</v>
      </c>
      <c r="E3828" s="534">
        <v>675.52499399999999</v>
      </c>
    </row>
    <row r="3829" spans="2:5" x14ac:dyDescent="0.2">
      <c r="B3829" s="533">
        <v>4534</v>
      </c>
      <c r="C3829" s="533" t="s">
        <v>1588</v>
      </c>
      <c r="D3829" s="656" t="s">
        <v>400</v>
      </c>
      <c r="E3829" s="534">
        <v>648.00000799999998</v>
      </c>
    </row>
    <row r="3830" spans="2:5" x14ac:dyDescent="0.2">
      <c r="B3830" s="533">
        <v>4535</v>
      </c>
      <c r="C3830" s="533" t="s">
        <v>1699</v>
      </c>
      <c r="D3830" s="656" t="s">
        <v>397</v>
      </c>
      <c r="E3830" s="534">
        <v>632.64999399999999</v>
      </c>
    </row>
    <row r="3831" spans="2:5" x14ac:dyDescent="0.2">
      <c r="B3831" s="533">
        <v>4536</v>
      </c>
      <c r="C3831" s="533" t="s">
        <v>7069</v>
      </c>
      <c r="D3831" s="656" t="s">
        <v>400</v>
      </c>
      <c r="E3831" s="534">
        <v>627.63888499999996</v>
      </c>
    </row>
    <row r="3832" spans="2:5" x14ac:dyDescent="0.2">
      <c r="B3832" s="533">
        <v>4537</v>
      </c>
      <c r="C3832" s="533" t="s">
        <v>1794</v>
      </c>
      <c r="D3832" s="656" t="s">
        <v>400</v>
      </c>
      <c r="E3832" s="534">
        <v>636.21000400000003</v>
      </c>
    </row>
    <row r="3833" spans="2:5" x14ac:dyDescent="0.2">
      <c r="B3833" s="533">
        <v>4538</v>
      </c>
      <c r="C3833" s="533" t="s">
        <v>1651</v>
      </c>
      <c r="D3833" s="656" t="s">
        <v>400</v>
      </c>
      <c r="E3833" s="534">
        <v>630.27500199999997</v>
      </c>
    </row>
    <row r="3834" spans="2:5" x14ac:dyDescent="0.2">
      <c r="B3834" s="533">
        <v>4539</v>
      </c>
      <c r="C3834" s="533" t="s">
        <v>6773</v>
      </c>
      <c r="D3834" s="656" t="s">
        <v>397</v>
      </c>
      <c r="E3834" s="534">
        <v>630.90952600000003</v>
      </c>
    </row>
    <row r="3835" spans="2:5" x14ac:dyDescent="0.2">
      <c r="B3835" s="533">
        <v>4539</v>
      </c>
      <c r="C3835" s="533" t="s">
        <v>6773</v>
      </c>
      <c r="D3835" s="656" t="s">
        <v>400</v>
      </c>
      <c r="E3835" s="534">
        <v>630.90952600000003</v>
      </c>
    </row>
    <row r="3836" spans="2:5" x14ac:dyDescent="0.2">
      <c r="B3836" s="533">
        <v>4540</v>
      </c>
      <c r="C3836" s="533" t="s">
        <v>1572</v>
      </c>
      <c r="D3836" s="656" t="s">
        <v>400</v>
      </c>
      <c r="E3836" s="534">
        <v>625.31000400000005</v>
      </c>
    </row>
    <row r="3837" spans="2:5" x14ac:dyDescent="0.2">
      <c r="B3837" s="533">
        <v>4541</v>
      </c>
      <c r="C3837" s="533" t="s">
        <v>2252</v>
      </c>
      <c r="D3837" s="656" t="s">
        <v>400</v>
      </c>
      <c r="E3837" s="534">
        <v>655.77856899999995</v>
      </c>
    </row>
    <row r="3838" spans="2:5" x14ac:dyDescent="0.2">
      <c r="B3838" s="533">
        <v>4542</v>
      </c>
      <c r="C3838" s="533" t="s">
        <v>1306</v>
      </c>
      <c r="D3838" s="656" t="s">
        <v>400</v>
      </c>
      <c r="E3838" s="534">
        <v>764.41666699999996</v>
      </c>
    </row>
    <row r="3839" spans="2:5" x14ac:dyDescent="0.2">
      <c r="B3839" s="533">
        <v>4543</v>
      </c>
      <c r="C3839" s="533" t="s">
        <v>3120</v>
      </c>
      <c r="D3839" s="656" t="s">
        <v>400</v>
      </c>
      <c r="E3839" s="534">
        <v>735.40909099999999</v>
      </c>
    </row>
    <row r="3840" spans="2:5" x14ac:dyDescent="0.2">
      <c r="B3840" s="533">
        <v>4544</v>
      </c>
      <c r="C3840" s="533" t="s">
        <v>3462</v>
      </c>
      <c r="D3840" s="656" t="s">
        <v>400</v>
      </c>
      <c r="E3840" s="534">
        <v>714.33333700000003</v>
      </c>
    </row>
    <row r="3841" spans="2:5" x14ac:dyDescent="0.2">
      <c r="B3841" s="533">
        <v>4545</v>
      </c>
      <c r="C3841" s="533" t="s">
        <v>954</v>
      </c>
      <c r="D3841" s="656" t="s">
        <v>400</v>
      </c>
      <c r="E3841" s="534">
        <v>686.366669</v>
      </c>
    </row>
    <row r="3842" spans="2:5" x14ac:dyDescent="0.2">
      <c r="B3842" s="533">
        <v>4546</v>
      </c>
      <c r="C3842" s="533" t="s">
        <v>2817</v>
      </c>
      <c r="D3842" s="656" t="s">
        <v>400</v>
      </c>
      <c r="E3842" s="534">
        <v>682.34999400000004</v>
      </c>
    </row>
    <row r="3843" spans="2:5" x14ac:dyDescent="0.2">
      <c r="B3843" s="533">
        <v>4547</v>
      </c>
      <c r="C3843" s="533" t="s">
        <v>2671</v>
      </c>
      <c r="D3843" s="656" t="s">
        <v>400</v>
      </c>
      <c r="E3843" s="534">
        <v>675.16060600000003</v>
      </c>
    </row>
    <row r="3844" spans="2:5" x14ac:dyDescent="0.2">
      <c r="B3844" s="533">
        <v>4548</v>
      </c>
      <c r="C3844" s="533" t="s">
        <v>3519</v>
      </c>
      <c r="D3844" s="656" t="s">
        <v>400</v>
      </c>
      <c r="E3844" s="534">
        <v>717.79998799999998</v>
      </c>
    </row>
    <row r="3845" spans="2:5" x14ac:dyDescent="0.2">
      <c r="B3845" s="533">
        <v>4549</v>
      </c>
      <c r="C3845" s="533" t="s">
        <v>2074</v>
      </c>
      <c r="D3845" s="656" t="s">
        <v>400</v>
      </c>
      <c r="E3845" s="534">
        <v>647.35833200000002</v>
      </c>
    </row>
    <row r="3846" spans="2:5" x14ac:dyDescent="0.2">
      <c r="B3846" s="533">
        <v>4550</v>
      </c>
      <c r="C3846" s="533" t="s">
        <v>2979</v>
      </c>
      <c r="D3846" s="656" t="s">
        <v>400</v>
      </c>
      <c r="E3846" s="534">
        <v>690.08570599999996</v>
      </c>
    </row>
    <row r="3847" spans="2:5" x14ac:dyDescent="0.2">
      <c r="B3847" s="533">
        <v>4551</v>
      </c>
      <c r="C3847" s="533" t="s">
        <v>2468</v>
      </c>
      <c r="D3847" s="656" t="s">
        <v>400</v>
      </c>
      <c r="E3847" s="534">
        <v>665</v>
      </c>
    </row>
    <row r="3848" spans="2:5" x14ac:dyDescent="0.2">
      <c r="B3848" s="533">
        <v>4552</v>
      </c>
      <c r="C3848" s="533" t="s">
        <v>1748</v>
      </c>
      <c r="D3848" s="656" t="s">
        <v>400</v>
      </c>
      <c r="E3848" s="534">
        <v>634.33999600000004</v>
      </c>
    </row>
    <row r="3849" spans="2:5" x14ac:dyDescent="0.2">
      <c r="B3849" s="533">
        <v>4553</v>
      </c>
      <c r="C3849" s="533" t="s">
        <v>1278</v>
      </c>
      <c r="D3849" s="656" t="s">
        <v>400</v>
      </c>
      <c r="E3849" s="534">
        <v>608.88260600000001</v>
      </c>
    </row>
    <row r="3850" spans="2:5" x14ac:dyDescent="0.2">
      <c r="B3850" s="533">
        <v>4554</v>
      </c>
      <c r="C3850" s="533" t="s">
        <v>1732</v>
      </c>
      <c r="D3850" s="656" t="s">
        <v>400</v>
      </c>
      <c r="E3850" s="534">
        <v>633.77499399999999</v>
      </c>
    </row>
    <row r="3851" spans="2:5" x14ac:dyDescent="0.2">
      <c r="B3851" s="533">
        <v>4555</v>
      </c>
      <c r="C3851" s="533" t="s">
        <v>1600</v>
      </c>
      <c r="D3851" s="656" t="s">
        <v>400</v>
      </c>
      <c r="E3851" s="534">
        <v>627</v>
      </c>
    </row>
    <row r="3852" spans="2:5" x14ac:dyDescent="0.2">
      <c r="B3852" s="533">
        <v>4556</v>
      </c>
      <c r="C3852" s="533" t="s">
        <v>3700</v>
      </c>
      <c r="D3852" s="656" t="s">
        <v>400</v>
      </c>
      <c r="E3852" s="534">
        <v>727.65</v>
      </c>
    </row>
    <row r="3853" spans="2:5" x14ac:dyDescent="0.2">
      <c r="B3853" s="533">
        <v>4557</v>
      </c>
      <c r="C3853" s="533" t="s">
        <v>3219</v>
      </c>
      <c r="D3853" s="656" t="s">
        <v>400</v>
      </c>
      <c r="E3853" s="534">
        <v>702.53332499999999</v>
      </c>
    </row>
    <row r="3854" spans="2:5" x14ac:dyDescent="0.2">
      <c r="B3854" s="533">
        <v>4558</v>
      </c>
      <c r="C3854" s="533" t="s">
        <v>2528</v>
      </c>
      <c r="D3854" s="656" t="s">
        <v>400</v>
      </c>
      <c r="E3854" s="534">
        <v>668.02856399999996</v>
      </c>
    </row>
    <row r="3855" spans="2:5" x14ac:dyDescent="0.2">
      <c r="B3855" s="533">
        <v>4559</v>
      </c>
      <c r="C3855" s="533" t="s">
        <v>2117</v>
      </c>
      <c r="D3855" s="656" t="s">
        <v>400</v>
      </c>
      <c r="E3855" s="534">
        <v>649.71176700000001</v>
      </c>
    </row>
    <row r="3856" spans="2:5" x14ac:dyDescent="0.2">
      <c r="B3856" s="533">
        <v>4560</v>
      </c>
      <c r="C3856" s="533" t="s">
        <v>925</v>
      </c>
      <c r="D3856" s="656" t="s">
        <v>400</v>
      </c>
      <c r="E3856" s="534">
        <v>582.90002400000003</v>
      </c>
    </row>
    <row r="3857" spans="2:5" x14ac:dyDescent="0.2">
      <c r="B3857" s="533">
        <v>4561</v>
      </c>
      <c r="C3857" s="533" t="s">
        <v>1342</v>
      </c>
      <c r="D3857" s="656" t="s">
        <v>400</v>
      </c>
      <c r="E3857" s="534">
        <v>612.53332499999999</v>
      </c>
    </row>
    <row r="3858" spans="2:5" x14ac:dyDescent="0.2">
      <c r="B3858" s="533">
        <v>4562</v>
      </c>
      <c r="C3858" s="533" t="s">
        <v>1803</v>
      </c>
      <c r="D3858" s="656" t="s">
        <v>400</v>
      </c>
      <c r="E3858" s="534">
        <v>636.54284700000005</v>
      </c>
    </row>
    <row r="3859" spans="2:5" x14ac:dyDescent="0.2">
      <c r="B3859" s="533">
        <v>4563</v>
      </c>
      <c r="C3859" s="533" t="s">
        <v>1928</v>
      </c>
      <c r="D3859" s="656" t="s">
        <v>400</v>
      </c>
      <c r="E3859" s="534">
        <v>641.35000600000001</v>
      </c>
    </row>
    <row r="3860" spans="2:5" x14ac:dyDescent="0.2">
      <c r="B3860" s="533">
        <v>4564</v>
      </c>
      <c r="C3860" s="533" t="s">
        <v>2734</v>
      </c>
      <c r="D3860" s="656" t="s">
        <v>400</v>
      </c>
      <c r="E3860" s="534">
        <v>677.86428799999999</v>
      </c>
    </row>
    <row r="3861" spans="2:5" x14ac:dyDescent="0.2">
      <c r="B3861" s="533">
        <v>4565</v>
      </c>
      <c r="C3861" s="533" t="s">
        <v>2205</v>
      </c>
      <c r="D3861" s="656" t="s">
        <v>400</v>
      </c>
      <c r="E3861" s="534">
        <v>653.58750199999997</v>
      </c>
    </row>
    <row r="3862" spans="2:5" x14ac:dyDescent="0.2">
      <c r="B3862" s="533">
        <v>4566</v>
      </c>
      <c r="C3862" s="533" t="s">
        <v>1038</v>
      </c>
      <c r="D3862" s="656" t="s">
        <v>400</v>
      </c>
      <c r="E3862" s="534">
        <v>665.47142699999995</v>
      </c>
    </row>
    <row r="3863" spans="2:5" x14ac:dyDescent="0.2">
      <c r="B3863" s="533">
        <v>4567</v>
      </c>
      <c r="C3863" s="533" t="s">
        <v>2068</v>
      </c>
      <c r="D3863" s="656" t="s">
        <v>400</v>
      </c>
      <c r="E3863" s="534">
        <v>647.17500299999995</v>
      </c>
    </row>
    <row r="3864" spans="2:5" x14ac:dyDescent="0.2">
      <c r="B3864" s="533">
        <v>4568</v>
      </c>
      <c r="C3864" s="533" t="s">
        <v>2041</v>
      </c>
      <c r="D3864" s="656" t="s">
        <v>400</v>
      </c>
      <c r="E3864" s="534">
        <v>645.49091099999998</v>
      </c>
    </row>
    <row r="3865" spans="2:5" x14ac:dyDescent="0.2">
      <c r="B3865" s="533">
        <v>4569</v>
      </c>
      <c r="C3865" s="533" t="s">
        <v>6700</v>
      </c>
      <c r="D3865" s="656" t="s">
        <v>400</v>
      </c>
      <c r="E3865" s="534">
        <v>656.106673</v>
      </c>
    </row>
    <row r="3866" spans="2:5" x14ac:dyDescent="0.2">
      <c r="B3866" s="533">
        <v>4570</v>
      </c>
      <c r="C3866" s="533" t="s">
        <v>2522</v>
      </c>
      <c r="D3866" s="656" t="s">
        <v>400</v>
      </c>
      <c r="E3866" s="534">
        <v>667.82501200000002</v>
      </c>
    </row>
    <row r="3867" spans="2:5" x14ac:dyDescent="0.2">
      <c r="B3867" s="533">
        <v>4601</v>
      </c>
      <c r="C3867" s="533" t="s">
        <v>3782</v>
      </c>
      <c r="D3867" s="656" t="s">
        <v>402</v>
      </c>
      <c r="E3867" s="534">
        <v>732.18000500000005</v>
      </c>
    </row>
    <row r="3868" spans="2:5" x14ac:dyDescent="0.2">
      <c r="B3868" s="533">
        <v>4602</v>
      </c>
      <c r="C3868" s="533" t="s">
        <v>6507</v>
      </c>
      <c r="D3868" s="656" t="s">
        <v>402</v>
      </c>
      <c r="E3868" s="534">
        <v>712.3</v>
      </c>
    </row>
    <row r="3869" spans="2:5" x14ac:dyDescent="0.2">
      <c r="B3869" s="533">
        <v>4603</v>
      </c>
      <c r="C3869" s="533" t="s">
        <v>2533</v>
      </c>
      <c r="D3869" s="656" t="s">
        <v>402</v>
      </c>
      <c r="E3869" s="534">
        <v>668.15999799999997</v>
      </c>
    </row>
    <row r="3870" spans="2:5" x14ac:dyDescent="0.2">
      <c r="B3870" s="533">
        <v>4604</v>
      </c>
      <c r="C3870" s="533" t="s">
        <v>3289</v>
      </c>
      <c r="D3870" s="656" t="s">
        <v>402</v>
      </c>
      <c r="E3870" s="534">
        <v>705.71999500000004</v>
      </c>
    </row>
    <row r="3871" spans="2:5" x14ac:dyDescent="0.2">
      <c r="B3871" s="533">
        <v>4605</v>
      </c>
      <c r="C3871" s="533" t="s">
        <v>3868</v>
      </c>
      <c r="D3871" s="656" t="s">
        <v>402</v>
      </c>
      <c r="E3871" s="534">
        <v>737.366669</v>
      </c>
    </row>
    <row r="3872" spans="2:5" x14ac:dyDescent="0.2">
      <c r="B3872" s="533">
        <v>4606</v>
      </c>
      <c r="C3872" s="533" t="s">
        <v>3823</v>
      </c>
      <c r="D3872" s="656" t="s">
        <v>402</v>
      </c>
      <c r="E3872" s="534">
        <v>734.77856399999996</v>
      </c>
    </row>
    <row r="3873" spans="2:5" x14ac:dyDescent="0.2">
      <c r="B3873" s="533">
        <v>4607</v>
      </c>
      <c r="C3873" s="533" t="s">
        <v>1067</v>
      </c>
      <c r="D3873" s="656" t="s">
        <v>402</v>
      </c>
      <c r="E3873" s="534">
        <v>788.11249499999997</v>
      </c>
    </row>
    <row r="3874" spans="2:5" x14ac:dyDescent="0.2">
      <c r="B3874" s="533">
        <v>4608</v>
      </c>
      <c r="C3874" s="533" t="s">
        <v>798</v>
      </c>
      <c r="D3874" s="656" t="s">
        <v>402</v>
      </c>
      <c r="E3874" s="534">
        <v>743.05001800000002</v>
      </c>
    </row>
    <row r="3875" spans="2:5" x14ac:dyDescent="0.2">
      <c r="B3875" s="533">
        <v>4609</v>
      </c>
      <c r="C3875" s="533" t="s">
        <v>3046</v>
      </c>
      <c r="D3875" s="656" t="s">
        <v>402</v>
      </c>
      <c r="E3875" s="534">
        <v>693.78749800000003</v>
      </c>
    </row>
    <row r="3876" spans="2:5" x14ac:dyDescent="0.2">
      <c r="B3876" s="533">
        <v>4610</v>
      </c>
      <c r="C3876" s="533" t="s">
        <v>3909</v>
      </c>
      <c r="D3876" s="656" t="s">
        <v>402</v>
      </c>
      <c r="E3876" s="534">
        <v>740</v>
      </c>
    </row>
    <row r="3877" spans="2:5" x14ac:dyDescent="0.2">
      <c r="B3877" s="533">
        <v>4611</v>
      </c>
      <c r="C3877" s="533" t="s">
        <v>5232</v>
      </c>
      <c r="D3877" s="656" t="s">
        <v>402</v>
      </c>
      <c r="E3877" s="534">
        <v>852.75715000000002</v>
      </c>
    </row>
    <row r="3878" spans="2:5" x14ac:dyDescent="0.2">
      <c r="B3878" s="533">
        <v>4612</v>
      </c>
      <c r="C3878" s="533" t="s">
        <v>4345</v>
      </c>
      <c r="D3878" s="656" t="s">
        <v>402</v>
      </c>
      <c r="E3878" s="534">
        <v>768.38750500000003</v>
      </c>
    </row>
    <row r="3879" spans="2:5" x14ac:dyDescent="0.2">
      <c r="B3879" s="533">
        <v>4613</v>
      </c>
      <c r="C3879" s="533" t="s">
        <v>5193</v>
      </c>
      <c r="D3879" s="656" t="s">
        <v>402</v>
      </c>
      <c r="E3879" s="534">
        <v>846.01668299999994</v>
      </c>
    </row>
    <row r="3880" spans="2:5" x14ac:dyDescent="0.2">
      <c r="B3880" s="533">
        <v>4614</v>
      </c>
      <c r="C3880" s="533" t="s">
        <v>6637</v>
      </c>
      <c r="D3880" s="656" t="s">
        <v>402</v>
      </c>
      <c r="E3880" s="534">
        <v>745.75453900000002</v>
      </c>
    </row>
    <row r="3881" spans="2:5" x14ac:dyDescent="0.2">
      <c r="B3881" s="533">
        <v>4615</v>
      </c>
      <c r="C3881" s="533" t="s">
        <v>4839</v>
      </c>
      <c r="D3881" s="656" t="s">
        <v>402</v>
      </c>
      <c r="E3881" s="534">
        <v>807.03999399999998</v>
      </c>
    </row>
    <row r="3882" spans="2:5" x14ac:dyDescent="0.2">
      <c r="B3882" s="533">
        <v>4616</v>
      </c>
      <c r="C3882" s="533" t="s">
        <v>3326</v>
      </c>
      <c r="D3882" s="656" t="s">
        <v>402</v>
      </c>
      <c r="E3882" s="534">
        <v>707.62856599999998</v>
      </c>
    </row>
    <row r="3883" spans="2:5" x14ac:dyDescent="0.2">
      <c r="B3883" s="533">
        <v>4617</v>
      </c>
      <c r="C3883" s="533" t="s">
        <v>4413</v>
      </c>
      <c r="D3883" s="656" t="s">
        <v>402</v>
      </c>
      <c r="E3883" s="534">
        <v>774.375</v>
      </c>
    </row>
    <row r="3884" spans="2:5" x14ac:dyDescent="0.2">
      <c r="B3884" s="533">
        <v>4618</v>
      </c>
      <c r="C3884" s="533" t="s">
        <v>410</v>
      </c>
      <c r="D3884" s="656" t="s">
        <v>402</v>
      </c>
      <c r="E3884" s="534">
        <v>641.17499499999997</v>
      </c>
    </row>
    <row r="3885" spans="2:5" x14ac:dyDescent="0.2">
      <c r="B3885" s="533">
        <v>4619</v>
      </c>
      <c r="C3885" s="533" t="s">
        <v>1189</v>
      </c>
      <c r="D3885" s="656" t="s">
        <v>402</v>
      </c>
      <c r="E3885" s="534">
        <v>684.82726500000001</v>
      </c>
    </row>
    <row r="3886" spans="2:5" x14ac:dyDescent="0.2">
      <c r="B3886" s="533">
        <v>4620</v>
      </c>
      <c r="C3886" s="533" t="s">
        <v>2804</v>
      </c>
      <c r="D3886" s="656" t="s">
        <v>402</v>
      </c>
      <c r="E3886" s="534">
        <v>681.82499700000005</v>
      </c>
    </row>
    <row r="3887" spans="2:5" x14ac:dyDescent="0.2">
      <c r="B3887" s="533">
        <v>4621</v>
      </c>
      <c r="C3887" s="533" t="s">
        <v>4715</v>
      </c>
      <c r="D3887" s="656" t="s">
        <v>402</v>
      </c>
      <c r="E3887" s="534">
        <v>797.82000700000003</v>
      </c>
    </row>
    <row r="3888" spans="2:5" x14ac:dyDescent="0.2">
      <c r="B3888" s="533">
        <v>4622</v>
      </c>
      <c r="C3888" s="533" t="s">
        <v>4904</v>
      </c>
      <c r="D3888" s="656" t="s">
        <v>402</v>
      </c>
      <c r="E3888" s="534">
        <v>813.47141799999997</v>
      </c>
    </row>
    <row r="3889" spans="2:5" x14ac:dyDescent="0.2">
      <c r="B3889" s="533">
        <v>4623</v>
      </c>
      <c r="C3889" s="533" t="s">
        <v>4290</v>
      </c>
      <c r="D3889" s="656" t="s">
        <v>402</v>
      </c>
      <c r="E3889" s="534">
        <v>764.47058500000003</v>
      </c>
    </row>
    <row r="3890" spans="2:5" x14ac:dyDescent="0.2">
      <c r="B3890" s="533">
        <v>4624</v>
      </c>
      <c r="C3890" s="533" t="s">
        <v>5247</v>
      </c>
      <c r="D3890" s="656" t="s">
        <v>402</v>
      </c>
      <c r="E3890" s="534">
        <v>854.57999299999994</v>
      </c>
    </row>
    <row r="3891" spans="2:5" x14ac:dyDescent="0.2">
      <c r="B3891" s="533">
        <v>4625</v>
      </c>
      <c r="C3891" s="533" t="s">
        <v>6846</v>
      </c>
      <c r="D3891" s="656" t="s">
        <v>402</v>
      </c>
      <c r="E3891" s="534">
        <v>755.63750500000003</v>
      </c>
    </row>
    <row r="3892" spans="2:5" x14ac:dyDescent="0.2">
      <c r="B3892" s="533">
        <v>4626</v>
      </c>
      <c r="C3892" s="533" t="s">
        <v>6853</v>
      </c>
      <c r="D3892" s="656" t="s">
        <v>402</v>
      </c>
      <c r="E3892" s="534">
        <v>695.34999100000005</v>
      </c>
    </row>
    <row r="3893" spans="2:5" x14ac:dyDescent="0.2">
      <c r="B3893" s="533">
        <v>4627</v>
      </c>
      <c r="C3893" s="533" t="s">
        <v>6937</v>
      </c>
      <c r="D3893" s="656" t="s">
        <v>402</v>
      </c>
      <c r="E3893" s="534">
        <v>775.31818199999998</v>
      </c>
    </row>
    <row r="3894" spans="2:5" x14ac:dyDescent="0.2">
      <c r="B3894" s="533">
        <v>4628</v>
      </c>
      <c r="C3894" s="533" t="s">
        <v>4684</v>
      </c>
      <c r="D3894" s="656" t="s">
        <v>402</v>
      </c>
      <c r="E3894" s="534">
        <v>795.40002400000003</v>
      </c>
    </row>
    <row r="3895" spans="2:5" x14ac:dyDescent="0.2">
      <c r="B3895" s="533">
        <v>4629</v>
      </c>
      <c r="C3895" s="533" t="s">
        <v>4653</v>
      </c>
      <c r="D3895" s="656" t="s">
        <v>402</v>
      </c>
      <c r="E3895" s="534">
        <v>793.14000199999998</v>
      </c>
    </row>
    <row r="3896" spans="2:5" x14ac:dyDescent="0.2">
      <c r="B3896" s="533">
        <v>4630</v>
      </c>
      <c r="C3896" s="533" t="s">
        <v>6974</v>
      </c>
      <c r="D3896" s="656" t="s">
        <v>402</v>
      </c>
      <c r="E3896" s="534">
        <v>831.97142699999995</v>
      </c>
    </row>
    <row r="3897" spans="2:5" x14ac:dyDescent="0.2">
      <c r="B3897" s="533">
        <v>4631</v>
      </c>
      <c r="C3897" s="533" t="s">
        <v>4594</v>
      </c>
      <c r="D3897" s="656" t="s">
        <v>402</v>
      </c>
      <c r="E3897" s="534">
        <v>788.13076100000001</v>
      </c>
    </row>
    <row r="3898" spans="2:5" x14ac:dyDescent="0.2">
      <c r="B3898" s="533">
        <v>4632</v>
      </c>
      <c r="C3898" s="533" t="s">
        <v>4797</v>
      </c>
      <c r="D3898" s="656" t="s">
        <v>402</v>
      </c>
      <c r="E3898" s="534">
        <v>803.96667000000002</v>
      </c>
    </row>
    <row r="3899" spans="2:5" x14ac:dyDescent="0.2">
      <c r="B3899" s="533">
        <v>4633</v>
      </c>
      <c r="C3899" s="533" t="s">
        <v>4497</v>
      </c>
      <c r="D3899" s="656" t="s">
        <v>402</v>
      </c>
      <c r="E3899" s="534">
        <v>780.38570700000002</v>
      </c>
    </row>
    <row r="3900" spans="2:5" x14ac:dyDescent="0.2">
      <c r="B3900" s="533">
        <v>4634</v>
      </c>
      <c r="C3900" s="533" t="s">
        <v>6989</v>
      </c>
      <c r="D3900" s="656" t="s">
        <v>402</v>
      </c>
      <c r="E3900" s="534">
        <v>633.23333700000001</v>
      </c>
    </row>
    <row r="3901" spans="2:5" x14ac:dyDescent="0.2">
      <c r="B3901" s="533">
        <v>4635</v>
      </c>
      <c r="C3901" s="533" t="s">
        <v>3451</v>
      </c>
      <c r="D3901" s="656" t="s">
        <v>402</v>
      </c>
      <c r="E3901" s="534">
        <v>713.78571399999998</v>
      </c>
    </row>
    <row r="3902" spans="2:5" x14ac:dyDescent="0.2">
      <c r="B3902" s="533">
        <v>4636</v>
      </c>
      <c r="C3902" s="533" t="s">
        <v>3162</v>
      </c>
      <c r="D3902" s="656" t="s">
        <v>402</v>
      </c>
      <c r="E3902" s="534">
        <v>761.69999199999995</v>
      </c>
    </row>
    <row r="3903" spans="2:5" x14ac:dyDescent="0.2">
      <c r="B3903" s="533">
        <v>4637</v>
      </c>
      <c r="C3903" s="533" t="s">
        <v>2971</v>
      </c>
      <c r="D3903" s="656" t="s">
        <v>402</v>
      </c>
      <c r="E3903" s="534">
        <v>689.45715299999995</v>
      </c>
    </row>
    <row r="3904" spans="2:5" x14ac:dyDescent="0.2">
      <c r="B3904" s="533">
        <v>4638</v>
      </c>
      <c r="C3904" s="533" t="s">
        <v>2786</v>
      </c>
      <c r="D3904" s="656" t="s">
        <v>402</v>
      </c>
      <c r="E3904" s="534">
        <v>869.46250899999995</v>
      </c>
    </row>
    <row r="3905" spans="2:5" x14ac:dyDescent="0.2">
      <c r="B3905" s="533">
        <v>4639</v>
      </c>
      <c r="C3905" s="533" t="s">
        <v>4692</v>
      </c>
      <c r="D3905" s="656" t="s">
        <v>402</v>
      </c>
      <c r="E3905" s="534">
        <v>795.75001499999996</v>
      </c>
    </row>
    <row r="3906" spans="2:5" x14ac:dyDescent="0.2">
      <c r="B3906" s="533">
        <v>4640</v>
      </c>
      <c r="C3906" s="533" t="s">
        <v>1260</v>
      </c>
      <c r="D3906" s="656" t="s">
        <v>402</v>
      </c>
      <c r="E3906" s="534">
        <v>607.59999600000003</v>
      </c>
    </row>
    <row r="3907" spans="2:5" x14ac:dyDescent="0.2">
      <c r="B3907" s="533">
        <v>4641</v>
      </c>
      <c r="C3907" s="533" t="s">
        <v>4644</v>
      </c>
      <c r="D3907" s="656" t="s">
        <v>402</v>
      </c>
      <c r="E3907" s="534">
        <v>792.59167000000002</v>
      </c>
    </row>
    <row r="3908" spans="2:5" x14ac:dyDescent="0.2">
      <c r="B3908" s="533">
        <v>4642</v>
      </c>
      <c r="C3908" s="533" t="s">
        <v>4161</v>
      </c>
      <c r="D3908" s="656" t="s">
        <v>402</v>
      </c>
      <c r="E3908" s="534">
        <v>755.47691899999995</v>
      </c>
    </row>
    <row r="3909" spans="2:5" x14ac:dyDescent="0.2">
      <c r="B3909" s="533">
        <v>4643</v>
      </c>
      <c r="C3909" s="533" t="s">
        <v>4417</v>
      </c>
      <c r="D3909" s="656" t="s">
        <v>402</v>
      </c>
      <c r="E3909" s="534">
        <v>774.83076800000003</v>
      </c>
    </row>
    <row r="3910" spans="2:5" x14ac:dyDescent="0.2">
      <c r="B3910" s="533">
        <v>4644</v>
      </c>
      <c r="C3910" s="533" t="s">
        <v>1801</v>
      </c>
      <c r="D3910" s="656" t="s">
        <v>402</v>
      </c>
      <c r="E3910" s="534">
        <v>816.58570199999997</v>
      </c>
    </row>
    <row r="3911" spans="2:5" x14ac:dyDescent="0.2">
      <c r="B3911" s="533">
        <v>4645</v>
      </c>
      <c r="C3911" s="533" t="s">
        <v>5183</v>
      </c>
      <c r="D3911" s="656" t="s">
        <v>402</v>
      </c>
      <c r="E3911" s="534">
        <v>844.69167100000004</v>
      </c>
    </row>
    <row r="3912" spans="2:5" x14ac:dyDescent="0.2">
      <c r="B3912" s="533">
        <v>4646</v>
      </c>
      <c r="C3912" s="533" t="s">
        <v>4071</v>
      </c>
      <c r="D3912" s="656" t="s">
        <v>402</v>
      </c>
      <c r="E3912" s="534">
        <v>749.97499100000005</v>
      </c>
    </row>
    <row r="3913" spans="2:5" x14ac:dyDescent="0.2">
      <c r="B3913" s="533">
        <v>4647</v>
      </c>
      <c r="C3913" s="533" t="s">
        <v>3970</v>
      </c>
      <c r="D3913" s="656" t="s">
        <v>402</v>
      </c>
      <c r="E3913" s="534">
        <v>743.875</v>
      </c>
    </row>
    <row r="3914" spans="2:5" x14ac:dyDescent="0.2">
      <c r="B3914" s="533">
        <v>4648</v>
      </c>
      <c r="C3914" s="533" t="s">
        <v>2751</v>
      </c>
      <c r="D3914" s="656" t="s">
        <v>402</v>
      </c>
      <c r="E3914" s="534">
        <v>678.73333700000001</v>
      </c>
    </row>
    <row r="3915" spans="2:5" x14ac:dyDescent="0.2">
      <c r="B3915" s="533">
        <v>4649</v>
      </c>
      <c r="C3915" s="533" t="s">
        <v>3338</v>
      </c>
      <c r="D3915" s="656" t="s">
        <v>402</v>
      </c>
      <c r="E3915" s="534">
        <v>708.36665900000003</v>
      </c>
    </row>
    <row r="3916" spans="2:5" x14ac:dyDescent="0.2">
      <c r="B3916" s="533">
        <v>4650</v>
      </c>
      <c r="C3916" s="533" t="s">
        <v>4176</v>
      </c>
      <c r="D3916" s="656" t="s">
        <v>402</v>
      </c>
      <c r="E3916" s="534">
        <v>756.192858</v>
      </c>
    </row>
    <row r="3917" spans="2:5" x14ac:dyDescent="0.2">
      <c r="B3917" s="533">
        <v>4651</v>
      </c>
      <c r="C3917" s="533" t="s">
        <v>7177</v>
      </c>
      <c r="D3917" s="656" t="s">
        <v>402</v>
      </c>
      <c r="E3917" s="534">
        <v>723</v>
      </c>
    </row>
    <row r="3918" spans="2:5" x14ac:dyDescent="0.2">
      <c r="B3918" s="533">
        <v>4652</v>
      </c>
      <c r="C3918" s="533" t="s">
        <v>7185</v>
      </c>
      <c r="D3918" s="656" t="s">
        <v>402</v>
      </c>
      <c r="E3918" s="534">
        <v>699.78572299999996</v>
      </c>
    </row>
    <row r="3919" spans="2:5" x14ac:dyDescent="0.2">
      <c r="B3919" s="533">
        <v>4653</v>
      </c>
      <c r="C3919" s="533" t="s">
        <v>7193</v>
      </c>
      <c r="D3919" s="656" t="s">
        <v>402</v>
      </c>
      <c r="E3919" s="534">
        <v>776.95000500000003</v>
      </c>
    </row>
    <row r="3920" spans="2:5" x14ac:dyDescent="0.2">
      <c r="B3920" s="533">
        <v>4654</v>
      </c>
      <c r="C3920" s="533" t="s">
        <v>6521</v>
      </c>
      <c r="D3920" s="656" t="s">
        <v>402</v>
      </c>
      <c r="E3920" s="534">
        <v>703.52499399999999</v>
      </c>
    </row>
    <row r="3921" spans="2:5" x14ac:dyDescent="0.2">
      <c r="B3921" s="533">
        <v>4655</v>
      </c>
      <c r="C3921" s="533" t="s">
        <v>402</v>
      </c>
      <c r="D3921" s="656" t="s">
        <v>402</v>
      </c>
      <c r="E3921" s="534">
        <v>741.82142399999998</v>
      </c>
    </row>
    <row r="3922" spans="2:5" x14ac:dyDescent="0.2">
      <c r="B3922" s="533">
        <v>4656</v>
      </c>
      <c r="C3922" s="533" t="s">
        <v>4602</v>
      </c>
      <c r="D3922" s="656" t="s">
        <v>402</v>
      </c>
      <c r="E3922" s="534">
        <v>788.642875</v>
      </c>
    </row>
    <row r="3923" spans="2:5" x14ac:dyDescent="0.2">
      <c r="B3923" s="533">
        <v>4657</v>
      </c>
      <c r="C3923" s="533" t="s">
        <v>3150</v>
      </c>
      <c r="D3923" s="656" t="s">
        <v>402</v>
      </c>
      <c r="E3923" s="534">
        <v>699.38000199999999</v>
      </c>
    </row>
    <row r="3924" spans="2:5" x14ac:dyDescent="0.2">
      <c r="B3924" s="533">
        <v>4658</v>
      </c>
      <c r="C3924" s="533" t="s">
        <v>691</v>
      </c>
      <c r="D3924" s="656" t="s">
        <v>402</v>
      </c>
      <c r="E3924" s="534">
        <v>672.54285500000003</v>
      </c>
    </row>
    <row r="3925" spans="2:5" x14ac:dyDescent="0.2">
      <c r="B3925" s="533">
        <v>4659</v>
      </c>
      <c r="C3925" s="533" t="s">
        <v>7272</v>
      </c>
      <c r="D3925" s="656" t="s">
        <v>402</v>
      </c>
      <c r="E3925" s="534">
        <v>738.56250799999998</v>
      </c>
    </row>
    <row r="3926" spans="2:5" x14ac:dyDescent="0.2">
      <c r="B3926" s="533">
        <v>4660</v>
      </c>
      <c r="C3926" s="533" t="s">
        <v>3736</v>
      </c>
      <c r="D3926" s="656" t="s">
        <v>402</v>
      </c>
      <c r="E3926" s="534">
        <v>729.5</v>
      </c>
    </row>
    <row r="3927" spans="2:5" x14ac:dyDescent="0.2">
      <c r="B3927" s="533">
        <v>4661</v>
      </c>
      <c r="C3927" s="533" t="s">
        <v>4883</v>
      </c>
      <c r="D3927" s="656" t="s">
        <v>402</v>
      </c>
      <c r="E3927" s="534">
        <v>811.27499699999998</v>
      </c>
    </row>
    <row r="3928" spans="2:5" x14ac:dyDescent="0.2">
      <c r="B3928" s="533">
        <v>4662</v>
      </c>
      <c r="C3928" s="533" t="s">
        <v>3617</v>
      </c>
      <c r="D3928" s="656" t="s">
        <v>402</v>
      </c>
      <c r="E3928" s="534">
        <v>723.419983</v>
      </c>
    </row>
    <row r="3929" spans="2:5" x14ac:dyDescent="0.2">
      <c r="B3929" s="533">
        <v>4663</v>
      </c>
      <c r="C3929" s="533" t="s">
        <v>3743</v>
      </c>
      <c r="D3929" s="656" t="s">
        <v>402</v>
      </c>
      <c r="E3929" s="534">
        <v>729.91111899999999</v>
      </c>
    </row>
    <row r="3930" spans="2:5" x14ac:dyDescent="0.2">
      <c r="B3930" s="533">
        <v>4664</v>
      </c>
      <c r="C3930" s="533" t="s">
        <v>5201</v>
      </c>
      <c r="D3930" s="656" t="s">
        <v>402</v>
      </c>
      <c r="E3930" s="534">
        <v>846.79999799999996</v>
      </c>
    </row>
    <row r="3931" spans="2:5" x14ac:dyDescent="0.2">
      <c r="B3931" s="533">
        <v>4665</v>
      </c>
      <c r="C3931" s="533" t="s">
        <v>1374</v>
      </c>
      <c r="D3931" s="656" t="s">
        <v>402</v>
      </c>
      <c r="E3931" s="534">
        <v>834.42999299999997</v>
      </c>
    </row>
    <row r="3932" spans="2:5" x14ac:dyDescent="0.2">
      <c r="B3932" s="533">
        <v>4666</v>
      </c>
      <c r="C3932" s="533" t="s">
        <v>5207</v>
      </c>
      <c r="D3932" s="656" t="s">
        <v>402</v>
      </c>
      <c r="E3932" s="534">
        <v>847.990002</v>
      </c>
    </row>
    <row r="3933" spans="2:5" x14ac:dyDescent="0.2">
      <c r="B3933" s="533">
        <v>4667</v>
      </c>
      <c r="C3933" s="533" t="s">
        <v>4862</v>
      </c>
      <c r="D3933" s="656" t="s">
        <v>402</v>
      </c>
      <c r="E3933" s="534">
        <v>808.81428700000004</v>
      </c>
    </row>
    <row r="3934" spans="2:5" x14ac:dyDescent="0.2">
      <c r="B3934" s="533">
        <v>4668</v>
      </c>
      <c r="C3934" s="533" t="s">
        <v>3121</v>
      </c>
      <c r="D3934" s="656" t="s">
        <v>402</v>
      </c>
      <c r="E3934" s="534">
        <v>697.62000699999999</v>
      </c>
    </row>
    <row r="3935" spans="2:5" x14ac:dyDescent="0.2">
      <c r="B3935" s="533">
        <v>4669</v>
      </c>
      <c r="C3935" s="533" t="s">
        <v>3932</v>
      </c>
      <c r="D3935" s="656" t="s">
        <v>402</v>
      </c>
      <c r="E3935" s="534">
        <v>741.253333</v>
      </c>
    </row>
    <row r="3936" spans="2:5" x14ac:dyDescent="0.2">
      <c r="B3936" s="533">
        <v>4670</v>
      </c>
      <c r="C3936" s="533" t="s">
        <v>7310</v>
      </c>
      <c r="D3936" s="656" t="s">
        <v>402</v>
      </c>
      <c r="E3936" s="534">
        <v>758.54444699999999</v>
      </c>
    </row>
    <row r="3937" spans="2:5" x14ac:dyDescent="0.2">
      <c r="B3937" s="533">
        <v>4671</v>
      </c>
      <c r="C3937" s="533" t="s">
        <v>4677</v>
      </c>
      <c r="D3937" s="656" t="s">
        <v>402</v>
      </c>
      <c r="E3937" s="534">
        <v>794.759998</v>
      </c>
    </row>
    <row r="3938" spans="2:5" x14ac:dyDescent="0.2">
      <c r="B3938" s="533">
        <v>4672</v>
      </c>
      <c r="C3938" s="533" t="s">
        <v>7321</v>
      </c>
      <c r="D3938" s="656" t="s">
        <v>402</v>
      </c>
      <c r="E3938" s="534">
        <v>744.51333</v>
      </c>
    </row>
    <row r="3939" spans="2:5" x14ac:dyDescent="0.2">
      <c r="B3939" s="533">
        <v>4673</v>
      </c>
      <c r="C3939" s="533" t="s">
        <v>3673</v>
      </c>
      <c r="D3939" s="656" t="s">
        <v>402</v>
      </c>
      <c r="E3939" s="534">
        <v>726.31666399999995</v>
      </c>
    </row>
    <row r="3940" spans="2:5" x14ac:dyDescent="0.2">
      <c r="B3940" s="533">
        <v>4674</v>
      </c>
      <c r="C3940" s="533" t="s">
        <v>3460</v>
      </c>
      <c r="D3940" s="656" t="s">
        <v>402</v>
      </c>
      <c r="E3940" s="534">
        <v>714.21999500000004</v>
      </c>
    </row>
    <row r="3941" spans="2:5" x14ac:dyDescent="0.2">
      <c r="B3941" s="533">
        <v>4675</v>
      </c>
      <c r="C3941" s="533" t="s">
        <v>2449</v>
      </c>
      <c r="D3941" s="656" t="s">
        <v>402</v>
      </c>
      <c r="E3941" s="534">
        <v>711.10000600000001</v>
      </c>
    </row>
    <row r="3942" spans="2:5" x14ac:dyDescent="0.2">
      <c r="B3942" s="533">
        <v>4676</v>
      </c>
      <c r="C3942" s="533" t="s">
        <v>4277</v>
      </c>
      <c r="D3942" s="656" t="s">
        <v>402</v>
      </c>
      <c r="E3942" s="534">
        <v>763.57692799999995</v>
      </c>
    </row>
    <row r="3943" spans="2:5" x14ac:dyDescent="0.2">
      <c r="B3943" s="533">
        <v>4677</v>
      </c>
      <c r="C3943" s="533" t="s">
        <v>3572</v>
      </c>
      <c r="D3943" s="656" t="s">
        <v>402</v>
      </c>
      <c r="E3943" s="534">
        <v>720.30000800000005</v>
      </c>
    </row>
    <row r="3944" spans="2:5" x14ac:dyDescent="0.2">
      <c r="B3944" s="533">
        <v>4678</v>
      </c>
      <c r="C3944" s="533" t="s">
        <v>7349</v>
      </c>
      <c r="D3944" s="656" t="s">
        <v>402</v>
      </c>
      <c r="E3944" s="534">
        <v>727.10000600000001</v>
      </c>
    </row>
    <row r="3945" spans="2:5" x14ac:dyDescent="0.2">
      <c r="B3945" s="533">
        <v>4679</v>
      </c>
      <c r="C3945" s="533" t="s">
        <v>3959</v>
      </c>
      <c r="D3945" s="656" t="s">
        <v>402</v>
      </c>
      <c r="E3945" s="534">
        <v>742.92999899999995</v>
      </c>
    </row>
    <row r="3946" spans="2:5" x14ac:dyDescent="0.2">
      <c r="B3946" s="533">
        <v>4680</v>
      </c>
      <c r="C3946" s="533" t="s">
        <v>4533</v>
      </c>
      <c r="D3946" s="656" t="s">
        <v>402</v>
      </c>
      <c r="E3946" s="534">
        <v>783.14285700000005</v>
      </c>
    </row>
    <row r="3947" spans="2:5" x14ac:dyDescent="0.2">
      <c r="B3947" s="533">
        <v>4681</v>
      </c>
      <c r="C3947" s="533" t="s">
        <v>1036</v>
      </c>
      <c r="D3947" s="656" t="s">
        <v>402</v>
      </c>
      <c r="E3947" s="534">
        <v>593.14999399999999</v>
      </c>
    </row>
    <row r="3948" spans="2:5" x14ac:dyDescent="0.2">
      <c r="B3948" s="533">
        <v>4682</v>
      </c>
      <c r="C3948" s="533" t="s">
        <v>3488</v>
      </c>
      <c r="D3948" s="656" t="s">
        <v>402</v>
      </c>
      <c r="E3948" s="534">
        <v>715.77499399999999</v>
      </c>
    </row>
    <row r="3949" spans="2:5" x14ac:dyDescent="0.2">
      <c r="B3949" s="533">
        <v>4683</v>
      </c>
      <c r="C3949" s="533" t="s">
        <v>3833</v>
      </c>
      <c r="D3949" s="656" t="s">
        <v>402</v>
      </c>
      <c r="E3949" s="534">
        <v>735.23999600000002</v>
      </c>
    </row>
    <row r="3950" spans="2:5" x14ac:dyDescent="0.2">
      <c r="B3950" s="533">
        <v>4684</v>
      </c>
      <c r="C3950" s="533" t="s">
        <v>4981</v>
      </c>
      <c r="D3950" s="656" t="s">
        <v>402</v>
      </c>
      <c r="E3950" s="534">
        <v>821.91818000000001</v>
      </c>
    </row>
    <row r="3951" spans="2:5" x14ac:dyDescent="0.2">
      <c r="B3951" s="533">
        <v>4685</v>
      </c>
      <c r="C3951" s="533" t="s">
        <v>4015</v>
      </c>
      <c r="D3951" s="656" t="s">
        <v>402</v>
      </c>
      <c r="E3951" s="534">
        <v>746.639996</v>
      </c>
    </row>
    <row r="3952" spans="2:5" x14ac:dyDescent="0.2">
      <c r="B3952" s="533">
        <v>4686</v>
      </c>
      <c r="C3952" s="533" t="s">
        <v>3112</v>
      </c>
      <c r="D3952" s="656" t="s">
        <v>402</v>
      </c>
      <c r="E3952" s="534">
        <v>697.25556800000004</v>
      </c>
    </row>
    <row r="3953" spans="2:5" x14ac:dyDescent="0.2">
      <c r="B3953" s="533">
        <v>4687</v>
      </c>
      <c r="C3953" s="533" t="s">
        <v>3751</v>
      </c>
      <c r="D3953" s="656" t="s">
        <v>402</v>
      </c>
      <c r="E3953" s="534">
        <v>737.26248899999996</v>
      </c>
    </row>
    <row r="3954" spans="2:5" x14ac:dyDescent="0.2">
      <c r="B3954" s="533">
        <v>4688</v>
      </c>
      <c r="C3954" s="533" t="s">
        <v>3628</v>
      </c>
      <c r="D3954" s="656" t="s">
        <v>402</v>
      </c>
      <c r="E3954" s="534">
        <v>723.77272700000003</v>
      </c>
    </row>
    <row r="3955" spans="2:5" x14ac:dyDescent="0.2">
      <c r="B3955" s="533">
        <v>4689</v>
      </c>
      <c r="C3955" s="533" t="s">
        <v>4314</v>
      </c>
      <c r="D3955" s="656" t="s">
        <v>402</v>
      </c>
      <c r="E3955" s="534">
        <v>766.67500299999995</v>
      </c>
    </row>
    <row r="3956" spans="2:5" x14ac:dyDescent="0.2">
      <c r="B3956" s="533">
        <v>4690</v>
      </c>
      <c r="C3956" s="533" t="s">
        <v>7479</v>
      </c>
      <c r="D3956" s="656" t="s">
        <v>402</v>
      </c>
      <c r="E3956" s="534">
        <v>811.21112100000005</v>
      </c>
    </row>
    <row r="3957" spans="2:5" x14ac:dyDescent="0.2">
      <c r="B3957" s="533">
        <v>4691</v>
      </c>
      <c r="C3957" s="533" t="s">
        <v>7494</v>
      </c>
      <c r="D3957" s="656" t="s">
        <v>402</v>
      </c>
      <c r="E3957" s="534">
        <v>719.90000399999997</v>
      </c>
    </row>
    <row r="3958" spans="2:5" x14ac:dyDescent="0.2">
      <c r="B3958" s="533">
        <v>4692</v>
      </c>
      <c r="C3958" s="533" t="s">
        <v>2310</v>
      </c>
      <c r="D3958" s="656" t="s">
        <v>402</v>
      </c>
      <c r="E3958" s="534">
        <v>658.27500899999995</v>
      </c>
    </row>
    <row r="3959" spans="2:5" x14ac:dyDescent="0.2">
      <c r="B3959" s="533">
        <v>4693</v>
      </c>
      <c r="C3959" s="533" t="s">
        <v>1328</v>
      </c>
      <c r="D3959" s="656" t="s">
        <v>402</v>
      </c>
      <c r="E3959" s="534">
        <v>748.62857499999996</v>
      </c>
    </row>
    <row r="3960" spans="2:5" x14ac:dyDescent="0.2">
      <c r="B3960" s="533">
        <v>4694</v>
      </c>
      <c r="C3960" s="533" t="s">
        <v>1589</v>
      </c>
      <c r="D3960" s="656" t="s">
        <v>402</v>
      </c>
      <c r="E3960" s="534">
        <v>671.125</v>
      </c>
    </row>
    <row r="3961" spans="2:5" x14ac:dyDescent="0.2">
      <c r="B3961" s="533">
        <v>4695</v>
      </c>
      <c r="C3961" s="533" t="s">
        <v>3126</v>
      </c>
      <c r="D3961" s="656" t="s">
        <v>402</v>
      </c>
      <c r="E3961" s="534">
        <v>698</v>
      </c>
    </row>
    <row r="3962" spans="2:5" x14ac:dyDescent="0.2">
      <c r="B3962" s="533">
        <v>4696</v>
      </c>
      <c r="C3962" s="533" t="s">
        <v>5246</v>
      </c>
      <c r="D3962" s="656" t="s">
        <v>402</v>
      </c>
      <c r="E3962" s="534">
        <v>854.49999100000002</v>
      </c>
    </row>
    <row r="3963" spans="2:5" x14ac:dyDescent="0.2">
      <c r="B3963" s="533">
        <v>4697</v>
      </c>
      <c r="C3963" s="533" t="s">
        <v>5178</v>
      </c>
      <c r="D3963" s="656" t="s">
        <v>402</v>
      </c>
      <c r="E3963" s="534">
        <v>844.20000500000003</v>
      </c>
    </row>
    <row r="3964" spans="2:5" x14ac:dyDescent="0.2">
      <c r="B3964" s="533">
        <v>4698</v>
      </c>
      <c r="C3964" s="533" t="s">
        <v>4339</v>
      </c>
      <c r="D3964" s="656" t="s">
        <v>402</v>
      </c>
      <c r="E3964" s="534">
        <v>768.09999600000003</v>
      </c>
    </row>
    <row r="3965" spans="2:5" x14ac:dyDescent="0.2">
      <c r="B3965" s="533">
        <v>4699</v>
      </c>
      <c r="C3965" s="533" t="s">
        <v>3656</v>
      </c>
      <c r="D3965" s="656" t="s">
        <v>402</v>
      </c>
      <c r="E3965" s="534">
        <v>725</v>
      </c>
    </row>
    <row r="3966" spans="2:5" x14ac:dyDescent="0.2">
      <c r="B3966" s="533">
        <v>4700</v>
      </c>
      <c r="C3966" s="533" t="s">
        <v>4271</v>
      </c>
      <c r="D3966" s="656" t="s">
        <v>402</v>
      </c>
      <c r="E3966" s="534">
        <v>763.45000600000003</v>
      </c>
    </row>
    <row r="3967" spans="2:5" x14ac:dyDescent="0.2">
      <c r="B3967" s="533">
        <v>4701</v>
      </c>
      <c r="C3967" s="533" t="s">
        <v>3825</v>
      </c>
      <c r="D3967" s="656" t="s">
        <v>402</v>
      </c>
      <c r="E3967" s="534">
        <v>734.83749399999999</v>
      </c>
    </row>
    <row r="3968" spans="2:5" x14ac:dyDescent="0.2">
      <c r="B3968" s="533">
        <v>4702</v>
      </c>
      <c r="C3968" s="533" t="s">
        <v>3392</v>
      </c>
      <c r="D3968" s="656" t="s">
        <v>402</v>
      </c>
      <c r="E3968" s="534">
        <v>711.07142899999997</v>
      </c>
    </row>
    <row r="3969" spans="2:5" x14ac:dyDescent="0.2">
      <c r="B3969" s="533">
        <v>4703</v>
      </c>
      <c r="C3969" s="533" t="s">
        <v>3729</v>
      </c>
      <c r="D3969" s="656" t="s">
        <v>402</v>
      </c>
      <c r="E3969" s="534">
        <v>729.04999799999996</v>
      </c>
    </row>
    <row r="3970" spans="2:5" x14ac:dyDescent="0.2">
      <c r="B3970" s="533">
        <v>4704</v>
      </c>
      <c r="C3970" s="533" t="s">
        <v>4237</v>
      </c>
      <c r="D3970" s="656" t="s">
        <v>402</v>
      </c>
      <c r="E3970" s="534">
        <v>760.79998799999998</v>
      </c>
    </row>
    <row r="3971" spans="2:5" x14ac:dyDescent="0.2">
      <c r="B3971" s="533">
        <v>4705</v>
      </c>
      <c r="C3971" s="533" t="s">
        <v>4676</v>
      </c>
      <c r="D3971" s="656" t="s">
        <v>402</v>
      </c>
      <c r="E3971" s="534">
        <v>794.61999500000002</v>
      </c>
    </row>
    <row r="3972" spans="2:5" x14ac:dyDescent="0.2">
      <c r="B3972" s="533">
        <v>4706</v>
      </c>
      <c r="C3972" s="533" t="s">
        <v>3529</v>
      </c>
      <c r="D3972" s="656" t="s">
        <v>402</v>
      </c>
      <c r="E3972" s="534">
        <v>718.240002</v>
      </c>
    </row>
    <row r="3973" spans="2:5" x14ac:dyDescent="0.2">
      <c r="B3973" s="533">
        <v>4751</v>
      </c>
      <c r="C3973" s="533" t="s">
        <v>1157</v>
      </c>
      <c r="D3973" s="656" t="s">
        <v>404</v>
      </c>
      <c r="E3973" s="534">
        <v>602.08000100000004</v>
      </c>
    </row>
    <row r="3974" spans="2:5" x14ac:dyDescent="0.2">
      <c r="B3974" s="533">
        <v>4752</v>
      </c>
      <c r="C3974" s="533" t="s">
        <v>1199</v>
      </c>
      <c r="D3974" s="656" t="s">
        <v>404</v>
      </c>
      <c r="E3974" s="534">
        <v>604.33333300000004</v>
      </c>
    </row>
    <row r="3975" spans="2:5" x14ac:dyDescent="0.2">
      <c r="B3975" s="533">
        <v>4753</v>
      </c>
      <c r="C3975" s="533" t="s">
        <v>1428</v>
      </c>
      <c r="D3975" s="656" t="s">
        <v>404</v>
      </c>
      <c r="E3975" s="534">
        <v>617.02500599999996</v>
      </c>
    </row>
    <row r="3976" spans="2:5" x14ac:dyDescent="0.2">
      <c r="B3976" s="533">
        <v>4754</v>
      </c>
      <c r="C3976" s="533" t="s">
        <v>1318</v>
      </c>
      <c r="D3976" s="656" t="s">
        <v>404</v>
      </c>
      <c r="E3976" s="534">
        <v>611.23750299999995</v>
      </c>
    </row>
    <row r="3977" spans="2:5" x14ac:dyDescent="0.2">
      <c r="B3977" s="533">
        <v>4755</v>
      </c>
      <c r="C3977" s="533" t="s">
        <v>959</v>
      </c>
      <c r="D3977" s="656" t="s">
        <v>404</v>
      </c>
      <c r="E3977" s="534">
        <v>585.55714599999999</v>
      </c>
    </row>
    <row r="3978" spans="2:5" x14ac:dyDescent="0.2">
      <c r="B3978" s="533">
        <v>4756</v>
      </c>
      <c r="C3978" s="533" t="s">
        <v>2320</v>
      </c>
      <c r="D3978" s="656" t="s">
        <v>404</v>
      </c>
      <c r="E3978" s="534">
        <v>658.90000499999996</v>
      </c>
    </row>
    <row r="3979" spans="2:5" x14ac:dyDescent="0.2">
      <c r="B3979" s="533">
        <v>4757</v>
      </c>
      <c r="C3979" s="533" t="s">
        <v>2092</v>
      </c>
      <c r="D3979" s="656" t="s">
        <v>404</v>
      </c>
      <c r="E3979" s="534">
        <v>648.09999100000005</v>
      </c>
    </row>
    <row r="3980" spans="2:5" x14ac:dyDescent="0.2">
      <c r="B3980" s="533">
        <v>4758</v>
      </c>
      <c r="C3980" s="533" t="s">
        <v>1972</v>
      </c>
      <c r="D3980" s="656" t="s">
        <v>404</v>
      </c>
      <c r="E3980" s="534">
        <v>642.75454999999999</v>
      </c>
    </row>
    <row r="3981" spans="2:5" x14ac:dyDescent="0.2">
      <c r="B3981" s="533">
        <v>4759</v>
      </c>
      <c r="C3981" s="533" t="s">
        <v>6797</v>
      </c>
      <c r="D3981" s="656" t="s">
        <v>404</v>
      </c>
      <c r="E3981" s="534">
        <v>598.41665599999999</v>
      </c>
    </row>
    <row r="3982" spans="2:5" x14ac:dyDescent="0.2">
      <c r="B3982" s="533">
        <v>4760</v>
      </c>
      <c r="C3982" s="533" t="s">
        <v>404</v>
      </c>
      <c r="D3982" s="656" t="s">
        <v>404</v>
      </c>
      <c r="E3982" s="534">
        <v>600.311103</v>
      </c>
    </row>
    <row r="3983" spans="2:5" x14ac:dyDescent="0.2">
      <c r="B3983" s="533">
        <v>4761</v>
      </c>
      <c r="C3983" s="533" t="s">
        <v>1471</v>
      </c>
      <c r="D3983" s="656" t="s">
        <v>404</v>
      </c>
      <c r="E3983" s="534">
        <v>619.133331</v>
      </c>
    </row>
    <row r="3984" spans="2:5" x14ac:dyDescent="0.2">
      <c r="B3984" s="533">
        <v>4762</v>
      </c>
      <c r="C3984" s="533" t="s">
        <v>2709</v>
      </c>
      <c r="D3984" s="656" t="s">
        <v>404</v>
      </c>
      <c r="E3984" s="534">
        <v>676.75714100000005</v>
      </c>
    </row>
    <row r="3985" spans="2:5" x14ac:dyDescent="0.2">
      <c r="B3985" s="533">
        <v>4763</v>
      </c>
      <c r="C3985" s="533" t="s">
        <v>6592</v>
      </c>
      <c r="D3985" s="656" t="s">
        <v>404</v>
      </c>
      <c r="E3985" s="534">
        <v>671.58571500000005</v>
      </c>
    </row>
    <row r="3986" spans="2:5" x14ac:dyDescent="0.2">
      <c r="B3986" s="533">
        <v>4764</v>
      </c>
      <c r="C3986" s="533" t="s">
        <v>2209</v>
      </c>
      <c r="D3986" s="656" t="s">
        <v>404</v>
      </c>
      <c r="E3986" s="534">
        <v>653.77500899999995</v>
      </c>
    </row>
    <row r="3987" spans="2:5" x14ac:dyDescent="0.2">
      <c r="B3987" s="533">
        <v>4765</v>
      </c>
      <c r="C3987" s="533" t="s">
        <v>927</v>
      </c>
      <c r="D3987" s="656" t="s">
        <v>404</v>
      </c>
      <c r="E3987" s="534">
        <v>583.02727200000004</v>
      </c>
    </row>
    <row r="3988" spans="2:5" x14ac:dyDescent="0.2">
      <c r="B3988" s="533">
        <v>4766</v>
      </c>
      <c r="C3988" s="533" t="s">
        <v>2179</v>
      </c>
      <c r="D3988" s="656" t="s">
        <v>404</v>
      </c>
      <c r="E3988" s="534">
        <v>652.34999100000005</v>
      </c>
    </row>
    <row r="3989" spans="2:5" x14ac:dyDescent="0.2">
      <c r="B3989" s="533">
        <v>4767</v>
      </c>
      <c r="C3989" s="533" t="s">
        <v>2359</v>
      </c>
      <c r="D3989" s="656" t="s">
        <v>404</v>
      </c>
      <c r="E3989" s="534">
        <v>660.51665200000002</v>
      </c>
    </row>
    <row r="3990" spans="2:5" x14ac:dyDescent="0.2">
      <c r="B3990" s="533">
        <v>4768</v>
      </c>
      <c r="C3990" s="533" t="s">
        <v>969</v>
      </c>
      <c r="D3990" s="656" t="s">
        <v>404</v>
      </c>
      <c r="E3990" s="534">
        <v>586.70000500000003</v>
      </c>
    </row>
    <row r="3991" spans="2:5" x14ac:dyDescent="0.2">
      <c r="B3991" s="533">
        <v>4769</v>
      </c>
      <c r="C3991" s="533" t="s">
        <v>1680</v>
      </c>
      <c r="D3991" s="656" t="s">
        <v>404</v>
      </c>
      <c r="E3991" s="534">
        <v>631.79374700000005</v>
      </c>
    </row>
    <row r="3992" spans="2:5" x14ac:dyDescent="0.2">
      <c r="B3992" s="533">
        <v>4770</v>
      </c>
      <c r="C3992" s="533" t="s">
        <v>1562</v>
      </c>
      <c r="D3992" s="656" t="s">
        <v>404</v>
      </c>
      <c r="E3992" s="534">
        <v>624.75</v>
      </c>
    </row>
    <row r="3993" spans="2:5" x14ac:dyDescent="0.2">
      <c r="B3993" s="533">
        <v>4771</v>
      </c>
      <c r="C3993" s="533" t="s">
        <v>6983</v>
      </c>
      <c r="D3993" s="656" t="s">
        <v>404</v>
      </c>
      <c r="E3993" s="534">
        <v>665.30000299999995</v>
      </c>
    </row>
    <row r="3994" spans="2:5" x14ac:dyDescent="0.2">
      <c r="B3994" s="533">
        <v>4772</v>
      </c>
      <c r="C3994" s="533" t="s">
        <v>2617</v>
      </c>
      <c r="D3994" s="656" t="s">
        <v>404</v>
      </c>
      <c r="E3994" s="534">
        <v>672.633331</v>
      </c>
    </row>
    <row r="3995" spans="2:5" x14ac:dyDescent="0.2">
      <c r="B3995" s="533">
        <v>4773</v>
      </c>
      <c r="C3995" s="533" t="s">
        <v>1294</v>
      </c>
      <c r="D3995" s="656" t="s">
        <v>404</v>
      </c>
      <c r="E3995" s="534">
        <v>609.93749200000002</v>
      </c>
    </row>
    <row r="3996" spans="2:5" x14ac:dyDescent="0.2">
      <c r="B3996" s="533">
        <v>4774</v>
      </c>
      <c r="C3996" s="533" t="s">
        <v>1100</v>
      </c>
      <c r="D3996" s="656" t="s">
        <v>404</v>
      </c>
      <c r="E3996" s="534">
        <v>598.41499899999997</v>
      </c>
    </row>
    <row r="3997" spans="2:5" x14ac:dyDescent="0.2">
      <c r="B3997" s="533">
        <v>4775</v>
      </c>
      <c r="C3997" s="533" t="s">
        <v>2235</v>
      </c>
      <c r="D3997" s="656" t="s">
        <v>404</v>
      </c>
      <c r="E3997" s="534">
        <v>654.92500299999995</v>
      </c>
    </row>
    <row r="3998" spans="2:5" x14ac:dyDescent="0.2">
      <c r="B3998" s="533">
        <v>4776</v>
      </c>
      <c r="C3998" s="533" t="s">
        <v>2038</v>
      </c>
      <c r="D3998" s="656" t="s">
        <v>404</v>
      </c>
      <c r="E3998" s="534">
        <v>645.21818399999995</v>
      </c>
    </row>
    <row r="3999" spans="2:5" x14ac:dyDescent="0.2">
      <c r="B3999" s="533">
        <v>4777</v>
      </c>
      <c r="C3999" s="533" t="s">
        <v>1366</v>
      </c>
      <c r="D3999" s="656" t="s">
        <v>404</v>
      </c>
      <c r="E3999" s="534">
        <v>613.94000200000005</v>
      </c>
    </row>
    <row r="4000" spans="2:5" x14ac:dyDescent="0.2">
      <c r="B4000" s="533">
        <v>4778</v>
      </c>
      <c r="C4000" s="533" t="s">
        <v>7217</v>
      </c>
      <c r="D4000" s="656" t="s">
        <v>404</v>
      </c>
      <c r="E4000" s="534">
        <v>631.30001800000002</v>
      </c>
    </row>
    <row r="4001" spans="2:5" x14ac:dyDescent="0.2">
      <c r="B4001" s="533">
        <v>4779</v>
      </c>
      <c r="C4001" s="533" t="s">
        <v>914</v>
      </c>
      <c r="D4001" s="656" t="s">
        <v>404</v>
      </c>
      <c r="E4001" s="534">
        <v>582.01999499999999</v>
      </c>
    </row>
    <row r="4002" spans="2:5" x14ac:dyDescent="0.2">
      <c r="B4002" s="533">
        <v>4780</v>
      </c>
      <c r="C4002" s="533" t="s">
        <v>989</v>
      </c>
      <c r="D4002" s="656" t="s">
        <v>404</v>
      </c>
      <c r="E4002" s="534">
        <v>589.11998300000005</v>
      </c>
    </row>
    <row r="4003" spans="2:5" x14ac:dyDescent="0.2">
      <c r="B4003" s="533">
        <v>4781</v>
      </c>
      <c r="C4003" s="533" t="s">
        <v>2100</v>
      </c>
      <c r="D4003" s="656" t="s">
        <v>404</v>
      </c>
      <c r="E4003" s="534">
        <v>648.89999399999999</v>
      </c>
    </row>
    <row r="4004" spans="2:5" x14ac:dyDescent="0.2">
      <c r="B4004" s="533">
        <v>4782</v>
      </c>
      <c r="C4004" s="533" t="s">
        <v>1738</v>
      </c>
      <c r="D4004" s="656" t="s">
        <v>404</v>
      </c>
      <c r="E4004" s="534">
        <v>633.97500600000001</v>
      </c>
    </row>
    <row r="4005" spans="2:5" x14ac:dyDescent="0.2">
      <c r="B4005" s="533">
        <v>4783</v>
      </c>
      <c r="C4005" s="533" t="s">
        <v>1190</v>
      </c>
      <c r="D4005" s="656" t="s">
        <v>404</v>
      </c>
      <c r="E4005" s="534">
        <v>603.79583700000001</v>
      </c>
    </row>
    <row r="4006" spans="2:5" x14ac:dyDescent="0.2">
      <c r="B4006" s="533">
        <v>4784</v>
      </c>
      <c r="C4006" s="533" t="s">
        <v>7121</v>
      </c>
      <c r="D4006" s="656" t="s">
        <v>404</v>
      </c>
      <c r="E4006" s="534">
        <v>612.63571200000001</v>
      </c>
    </row>
    <row r="4007" spans="2:5" x14ac:dyDescent="0.2">
      <c r="B4007" s="533">
        <v>4785</v>
      </c>
      <c r="C4007" s="533" t="s">
        <v>1761</v>
      </c>
      <c r="D4007" s="656" t="s">
        <v>404</v>
      </c>
      <c r="E4007" s="534">
        <v>635.04284700000005</v>
      </c>
    </row>
    <row r="4008" spans="2:5" x14ac:dyDescent="0.2">
      <c r="B4008" s="533">
        <v>4786</v>
      </c>
      <c r="C4008" s="533" t="s">
        <v>1892</v>
      </c>
      <c r="D4008" s="656" t="s">
        <v>404</v>
      </c>
      <c r="E4008" s="534">
        <v>640.03750600000001</v>
      </c>
    </row>
    <row r="4009" spans="2:5" x14ac:dyDescent="0.2">
      <c r="B4009" s="533">
        <v>4787</v>
      </c>
      <c r="C4009" s="533" t="s">
        <v>1090</v>
      </c>
      <c r="D4009" s="656" t="s">
        <v>404</v>
      </c>
      <c r="E4009" s="534">
        <v>597.64999399999999</v>
      </c>
    </row>
    <row r="4010" spans="2:5" x14ac:dyDescent="0.2">
      <c r="B4010" s="533">
        <v>4788</v>
      </c>
      <c r="C4010" s="533" t="s">
        <v>1237</v>
      </c>
      <c r="D4010" s="656" t="s">
        <v>404</v>
      </c>
      <c r="E4010" s="534">
        <v>606.40002400000003</v>
      </c>
    </row>
    <row r="4011" spans="2:5" x14ac:dyDescent="0.2">
      <c r="B4011" s="533">
        <v>4789</v>
      </c>
      <c r="C4011" s="533" t="s">
        <v>1222</v>
      </c>
      <c r="D4011" s="656" t="s">
        <v>404</v>
      </c>
      <c r="E4011" s="534">
        <v>605.46665399999995</v>
      </c>
    </row>
    <row r="4012" spans="2:5" x14ac:dyDescent="0.2">
      <c r="B4012" s="533">
        <v>4801</v>
      </c>
      <c r="C4012" s="533" t="s">
        <v>2754</v>
      </c>
      <c r="D4012" s="656" t="s">
        <v>404</v>
      </c>
      <c r="E4012" s="534">
        <v>678.84999600000003</v>
      </c>
    </row>
    <row r="4013" spans="2:5" x14ac:dyDescent="0.2">
      <c r="B4013" s="533">
        <v>4802</v>
      </c>
      <c r="C4013" s="533" t="s">
        <v>3135</v>
      </c>
      <c r="D4013" s="656" t="s">
        <v>404</v>
      </c>
      <c r="E4013" s="534">
        <v>698.59999800000003</v>
      </c>
    </row>
    <row r="4014" spans="2:5" x14ac:dyDescent="0.2">
      <c r="B4014" s="533">
        <v>4803</v>
      </c>
      <c r="C4014" s="533" t="s">
        <v>7263</v>
      </c>
      <c r="D4014" s="656" t="s">
        <v>404</v>
      </c>
      <c r="E4014" s="534">
        <v>628.40909599999998</v>
      </c>
    </row>
    <row r="4015" spans="2:5" x14ac:dyDescent="0.2">
      <c r="B4015" s="533">
        <v>4804</v>
      </c>
      <c r="C4015" s="533" t="s">
        <v>2019</v>
      </c>
      <c r="D4015" s="656" t="s">
        <v>404</v>
      </c>
      <c r="E4015" s="534">
        <v>644.17999299999997</v>
      </c>
    </row>
    <row r="4016" spans="2:5" x14ac:dyDescent="0.2">
      <c r="B4016" s="533">
        <v>4805</v>
      </c>
      <c r="C4016" s="533" t="s">
        <v>3517</v>
      </c>
      <c r="D4016" s="656" t="s">
        <v>404</v>
      </c>
      <c r="E4016" s="534">
        <v>717.66666699999996</v>
      </c>
    </row>
    <row r="4017" spans="2:5" x14ac:dyDescent="0.2">
      <c r="B4017" s="533">
        <v>4806</v>
      </c>
      <c r="C4017" s="533" t="s">
        <v>1617</v>
      </c>
      <c r="D4017" s="656" t="s">
        <v>404</v>
      </c>
      <c r="E4017" s="534">
        <v>627.82501200000002</v>
      </c>
    </row>
    <row r="4018" spans="2:5" x14ac:dyDescent="0.2">
      <c r="B4018" s="533">
        <v>4807</v>
      </c>
      <c r="C4018" s="533" t="s">
        <v>2240</v>
      </c>
      <c r="D4018" s="656" t="s">
        <v>404</v>
      </c>
      <c r="E4018" s="534">
        <v>655.16316300000005</v>
      </c>
    </row>
    <row r="4019" spans="2:5" x14ac:dyDescent="0.2">
      <c r="B4019" s="533">
        <v>4808</v>
      </c>
      <c r="C4019" s="533" t="s">
        <v>2618</v>
      </c>
      <c r="D4019" s="656" t="s">
        <v>404</v>
      </c>
      <c r="E4019" s="534">
        <v>672.66666699999996</v>
      </c>
    </row>
    <row r="4020" spans="2:5" x14ac:dyDescent="0.2">
      <c r="B4020" s="533">
        <v>4809</v>
      </c>
      <c r="C4020" s="533" t="s">
        <v>7465</v>
      </c>
      <c r="D4020" s="656" t="s">
        <v>404</v>
      </c>
      <c r="E4020" s="534">
        <v>694.01110200000005</v>
      </c>
    </row>
    <row r="4021" spans="2:5" x14ac:dyDescent="0.2">
      <c r="B4021" s="533">
        <v>4810</v>
      </c>
      <c r="C4021" s="533" t="s">
        <v>2085</v>
      </c>
      <c r="D4021" s="656" t="s">
        <v>404</v>
      </c>
      <c r="E4021" s="534">
        <v>647.94999700000005</v>
      </c>
    </row>
    <row r="4022" spans="2:5" x14ac:dyDescent="0.2">
      <c r="B4022" s="533">
        <v>4811</v>
      </c>
      <c r="C4022" s="533" t="s">
        <v>2497</v>
      </c>
      <c r="D4022" s="656" t="s">
        <v>404</v>
      </c>
      <c r="E4022" s="534">
        <v>665.82501200000002</v>
      </c>
    </row>
    <row r="4023" spans="2:5" x14ac:dyDescent="0.2">
      <c r="B4023" s="533">
        <v>4812</v>
      </c>
      <c r="C4023" s="533" t="s">
        <v>2305</v>
      </c>
      <c r="D4023" s="656" t="s">
        <v>404</v>
      </c>
      <c r="E4023" s="534">
        <v>657.99999400000002</v>
      </c>
    </row>
    <row r="4024" spans="2:5" x14ac:dyDescent="0.2">
      <c r="B4024" s="533">
        <v>4813</v>
      </c>
      <c r="C4024" s="533" t="s">
        <v>1018</v>
      </c>
      <c r="D4024" s="656" t="s">
        <v>404</v>
      </c>
      <c r="E4024" s="534">
        <v>658.13999000000001</v>
      </c>
    </row>
    <row r="4025" spans="2:5" x14ac:dyDescent="0.2">
      <c r="B4025" s="533">
        <v>4814</v>
      </c>
      <c r="C4025" s="533" t="s">
        <v>3426</v>
      </c>
      <c r="D4025" s="656" t="s">
        <v>404</v>
      </c>
      <c r="E4025" s="534">
        <v>712.56667100000004</v>
      </c>
    </row>
    <row r="4026" spans="2:5" x14ac:dyDescent="0.2">
      <c r="B4026" s="533">
        <v>4815</v>
      </c>
      <c r="C4026" s="533" t="s">
        <v>2425</v>
      </c>
      <c r="D4026" s="656" t="s">
        <v>404</v>
      </c>
      <c r="E4026" s="534">
        <v>663.72499100000005</v>
      </c>
    </row>
    <row r="4027" spans="2:5" x14ac:dyDescent="0.2">
      <c r="B4027" s="533">
        <v>4816</v>
      </c>
      <c r="C4027" s="533" t="s">
        <v>1717</v>
      </c>
      <c r="D4027" s="656" t="s">
        <v>404</v>
      </c>
      <c r="E4027" s="534">
        <v>633.40909599999998</v>
      </c>
    </row>
    <row r="4028" spans="2:5" x14ac:dyDescent="0.2">
      <c r="B4028" s="533">
        <v>4817</v>
      </c>
      <c r="C4028" s="533" t="s">
        <v>3094</v>
      </c>
      <c r="D4028" s="656" t="s">
        <v>404</v>
      </c>
      <c r="E4028" s="534">
        <v>696.135716</v>
      </c>
    </row>
    <row r="4029" spans="2:5" x14ac:dyDescent="0.2">
      <c r="B4029" s="533">
        <v>4818</v>
      </c>
      <c r="C4029" s="533" t="s">
        <v>2761</v>
      </c>
      <c r="D4029" s="656" t="s">
        <v>404</v>
      </c>
      <c r="E4029" s="534">
        <v>679.19999199999995</v>
      </c>
    </row>
    <row r="4030" spans="2:5" x14ac:dyDescent="0.2">
      <c r="B4030" s="533">
        <v>4819</v>
      </c>
      <c r="C4030" s="533" t="s">
        <v>3159</v>
      </c>
      <c r="D4030" s="656" t="s">
        <v>404</v>
      </c>
      <c r="E4030" s="534">
        <v>699.71250199999997</v>
      </c>
    </row>
    <row r="4031" spans="2:5" x14ac:dyDescent="0.2">
      <c r="B4031" s="533">
        <v>4820</v>
      </c>
      <c r="C4031" s="533" t="s">
        <v>4385</v>
      </c>
      <c r="D4031" s="656" t="s">
        <v>404</v>
      </c>
      <c r="E4031" s="534">
        <v>771.89090799999997</v>
      </c>
    </row>
    <row r="4032" spans="2:5" x14ac:dyDescent="0.2">
      <c r="B4032" s="533">
        <v>4821</v>
      </c>
      <c r="C4032" s="533" t="s">
        <v>4146</v>
      </c>
      <c r="D4032" s="656" t="s">
        <v>404</v>
      </c>
      <c r="E4032" s="534">
        <v>754.11250299999995</v>
      </c>
    </row>
    <row r="4033" spans="2:5" x14ac:dyDescent="0.2">
      <c r="B4033" s="533">
        <v>4822</v>
      </c>
      <c r="C4033" s="533" t="s">
        <v>3540</v>
      </c>
      <c r="D4033" s="656" t="s">
        <v>404</v>
      </c>
      <c r="E4033" s="534">
        <v>718.75001499999996</v>
      </c>
    </row>
    <row r="4034" spans="2:5" x14ac:dyDescent="0.2">
      <c r="B4034" s="533">
        <v>4823</v>
      </c>
      <c r="C4034" s="533" t="s">
        <v>2832</v>
      </c>
      <c r="D4034" s="656" t="s">
        <v>404</v>
      </c>
      <c r="E4034" s="534">
        <v>683.67142999999999</v>
      </c>
    </row>
    <row r="4035" spans="2:5" x14ac:dyDescent="0.2">
      <c r="B4035" s="533">
        <v>4824</v>
      </c>
      <c r="C4035" s="533" t="s">
        <v>3307</v>
      </c>
      <c r="D4035" s="656" t="s">
        <v>404</v>
      </c>
      <c r="E4035" s="534">
        <v>706.93077200000005</v>
      </c>
    </row>
    <row r="4036" spans="2:5" x14ac:dyDescent="0.2">
      <c r="B4036" s="533">
        <v>4825</v>
      </c>
      <c r="C4036" s="533" t="s">
        <v>2679</v>
      </c>
      <c r="D4036" s="656" t="s">
        <v>404</v>
      </c>
      <c r="E4036" s="534">
        <v>675.43332899999996</v>
      </c>
    </row>
    <row r="4037" spans="2:5" x14ac:dyDescent="0.2">
      <c r="B4037" s="533">
        <v>4826</v>
      </c>
      <c r="C4037" s="533" t="s">
        <v>3193</v>
      </c>
      <c r="D4037" s="656" t="s">
        <v>404</v>
      </c>
      <c r="E4037" s="534">
        <v>701.20000200000004</v>
      </c>
    </row>
    <row r="4038" spans="2:5" x14ac:dyDescent="0.2">
      <c r="B4038" s="533">
        <v>4827</v>
      </c>
      <c r="C4038" s="533" t="s">
        <v>2779</v>
      </c>
      <c r="D4038" s="656" t="s">
        <v>404</v>
      </c>
      <c r="E4038" s="534">
        <v>680.25</v>
      </c>
    </row>
    <row r="4039" spans="2:5" x14ac:dyDescent="0.2">
      <c r="B4039" s="533">
        <v>4828</v>
      </c>
      <c r="C4039" s="533" t="s">
        <v>3585</v>
      </c>
      <c r="D4039" s="656" t="s">
        <v>404</v>
      </c>
      <c r="E4039" s="534">
        <v>720.90000199999997</v>
      </c>
    </row>
    <row r="4040" spans="2:5" x14ac:dyDescent="0.2">
      <c r="B4040" s="533">
        <v>4829</v>
      </c>
      <c r="C4040" s="533" t="s">
        <v>2536</v>
      </c>
      <c r="D4040" s="656" t="s">
        <v>404</v>
      </c>
      <c r="E4040" s="534">
        <v>750.80000299999995</v>
      </c>
    </row>
    <row r="4041" spans="2:5" x14ac:dyDescent="0.2">
      <c r="B4041" s="533">
        <v>4830</v>
      </c>
      <c r="C4041" s="533" t="s">
        <v>1904</v>
      </c>
      <c r="D4041" s="656" t="s">
        <v>404</v>
      </c>
      <c r="E4041" s="534">
        <v>787.20001200000002</v>
      </c>
    </row>
    <row r="4042" spans="2:5" x14ac:dyDescent="0.2">
      <c r="B4042" s="533">
        <v>4831</v>
      </c>
      <c r="C4042" s="533" t="s">
        <v>3297</v>
      </c>
      <c r="D4042" s="656" t="s">
        <v>404</v>
      </c>
      <c r="E4042" s="534">
        <v>706.29090499999995</v>
      </c>
    </row>
    <row r="4043" spans="2:5" x14ac:dyDescent="0.2">
      <c r="B4043" s="533">
        <v>4832</v>
      </c>
      <c r="C4043" s="533" t="s">
        <v>3870</v>
      </c>
      <c r="D4043" s="656" t="s">
        <v>404</v>
      </c>
      <c r="E4043" s="534">
        <v>737.49090000000001</v>
      </c>
    </row>
    <row r="4044" spans="2:5" x14ac:dyDescent="0.2">
      <c r="B4044" s="533">
        <v>4833</v>
      </c>
      <c r="C4044" s="533" t="s">
        <v>3840</v>
      </c>
      <c r="D4044" s="656" t="s">
        <v>404</v>
      </c>
      <c r="E4044" s="534">
        <v>735.58572000000004</v>
      </c>
    </row>
    <row r="4045" spans="2:5" x14ac:dyDescent="0.2">
      <c r="B4045" s="533">
        <v>4834</v>
      </c>
      <c r="C4045" s="533" t="s">
        <v>1588</v>
      </c>
      <c r="D4045" s="656" t="s">
        <v>404</v>
      </c>
      <c r="E4045" s="534">
        <v>776.22499100000005</v>
      </c>
    </row>
    <row r="4046" spans="2:5" x14ac:dyDescent="0.2">
      <c r="B4046" s="533">
        <v>4835</v>
      </c>
      <c r="C4046" s="533" t="s">
        <v>4565</v>
      </c>
      <c r="D4046" s="656" t="s">
        <v>404</v>
      </c>
      <c r="E4046" s="534">
        <v>786.07272599999999</v>
      </c>
    </row>
    <row r="4047" spans="2:5" x14ac:dyDescent="0.2">
      <c r="B4047" s="533">
        <v>4836</v>
      </c>
      <c r="C4047" s="533" t="s">
        <v>4054</v>
      </c>
      <c r="D4047" s="656" t="s">
        <v>404</v>
      </c>
      <c r="E4047" s="534">
        <v>749.06664999999998</v>
      </c>
    </row>
    <row r="4048" spans="2:5" x14ac:dyDescent="0.2">
      <c r="B4048" s="533">
        <v>4837</v>
      </c>
      <c r="C4048" s="533" t="s">
        <v>4235</v>
      </c>
      <c r="D4048" s="656" t="s">
        <v>404</v>
      </c>
      <c r="E4048" s="534">
        <v>760.59999600000003</v>
      </c>
    </row>
    <row r="4049" spans="2:5" x14ac:dyDescent="0.2">
      <c r="B4049" s="533">
        <v>4838</v>
      </c>
      <c r="C4049" s="533" t="s">
        <v>4155</v>
      </c>
      <c r="D4049" s="656" t="s">
        <v>404</v>
      </c>
      <c r="E4049" s="534">
        <v>755.06000200000005</v>
      </c>
    </row>
    <row r="4050" spans="2:5" x14ac:dyDescent="0.2">
      <c r="B4050" s="533">
        <v>4839</v>
      </c>
      <c r="C4050" s="533" t="s">
        <v>409</v>
      </c>
      <c r="D4050" s="656" t="s">
        <v>404</v>
      </c>
      <c r="E4050" s="534">
        <v>688.67999299999997</v>
      </c>
    </row>
    <row r="4051" spans="2:5" x14ac:dyDescent="0.2">
      <c r="B4051" s="533">
        <v>4840</v>
      </c>
      <c r="C4051" s="533" t="s">
        <v>3014</v>
      </c>
      <c r="D4051" s="656" t="s">
        <v>404</v>
      </c>
      <c r="E4051" s="534">
        <v>692.130765</v>
      </c>
    </row>
    <row r="4052" spans="2:5" x14ac:dyDescent="0.2">
      <c r="B4052" s="533">
        <v>4841</v>
      </c>
      <c r="C4052" s="533" t="s">
        <v>3323</v>
      </c>
      <c r="D4052" s="656" t="s">
        <v>404</v>
      </c>
      <c r="E4052" s="534">
        <v>707.54000199999996</v>
      </c>
    </row>
    <row r="4053" spans="2:5" x14ac:dyDescent="0.2">
      <c r="B4053" s="533">
        <v>4842</v>
      </c>
      <c r="C4053" s="533" t="s">
        <v>3001</v>
      </c>
      <c r="D4053" s="656" t="s">
        <v>404</v>
      </c>
      <c r="E4053" s="534">
        <v>691.26668299999994</v>
      </c>
    </row>
    <row r="4054" spans="2:5" x14ac:dyDescent="0.2">
      <c r="B4054" s="533">
        <v>4843</v>
      </c>
      <c r="C4054" s="533" t="s">
        <v>3434</v>
      </c>
      <c r="D4054" s="656" t="s">
        <v>404</v>
      </c>
      <c r="E4054" s="534">
        <v>712.93335000000002</v>
      </c>
    </row>
    <row r="4055" spans="2:5" x14ac:dyDescent="0.2">
      <c r="B4055" s="533">
        <v>4844</v>
      </c>
      <c r="C4055" s="533" t="s">
        <v>6746</v>
      </c>
      <c r="D4055" s="656" t="s">
        <v>404</v>
      </c>
      <c r="E4055" s="534">
        <v>828.54998799999998</v>
      </c>
    </row>
    <row r="4056" spans="2:5" x14ac:dyDescent="0.2">
      <c r="B4056" s="533">
        <v>4845</v>
      </c>
      <c r="C4056" s="533" t="s">
        <v>1178</v>
      </c>
      <c r="D4056" s="656" t="s">
        <v>404</v>
      </c>
      <c r="E4056" s="534">
        <v>853.20001200000002</v>
      </c>
    </row>
    <row r="4057" spans="2:5" x14ac:dyDescent="0.2">
      <c r="B4057" s="533">
        <v>4846</v>
      </c>
      <c r="C4057" s="533" t="s">
        <v>3299</v>
      </c>
      <c r="D4057" s="656" t="s">
        <v>404</v>
      </c>
      <c r="E4057" s="534">
        <v>845.13750500000003</v>
      </c>
    </row>
    <row r="4058" spans="2:5" x14ac:dyDescent="0.2">
      <c r="B4058" s="533">
        <v>4847</v>
      </c>
      <c r="C4058" s="533" t="s">
        <v>6626</v>
      </c>
      <c r="D4058" s="656" t="s">
        <v>404</v>
      </c>
      <c r="E4058" s="534">
        <v>852.31817899999999</v>
      </c>
    </row>
    <row r="4059" spans="2:5" x14ac:dyDescent="0.2">
      <c r="B4059" s="533">
        <v>4848</v>
      </c>
      <c r="C4059" s="533" t="s">
        <v>4544</v>
      </c>
      <c r="D4059" s="656" t="s">
        <v>404</v>
      </c>
      <c r="E4059" s="534">
        <v>784.09999100000005</v>
      </c>
    </row>
    <row r="4060" spans="2:5" x14ac:dyDescent="0.2">
      <c r="B4060" s="533">
        <v>4849</v>
      </c>
      <c r="C4060" s="533" t="s">
        <v>4381</v>
      </c>
      <c r="D4060" s="656" t="s">
        <v>404</v>
      </c>
      <c r="E4060" s="534">
        <v>824.99545599999999</v>
      </c>
    </row>
    <row r="4061" spans="2:5" x14ac:dyDescent="0.2">
      <c r="B4061" s="533">
        <v>4850</v>
      </c>
      <c r="C4061" s="533" t="s">
        <v>5050</v>
      </c>
      <c r="D4061" s="656" t="s">
        <v>404</v>
      </c>
      <c r="E4061" s="534">
        <v>829.12221999999997</v>
      </c>
    </row>
    <row r="4062" spans="2:5" x14ac:dyDescent="0.2">
      <c r="B4062" s="533">
        <v>4851</v>
      </c>
      <c r="C4062" s="533" t="s">
        <v>790</v>
      </c>
      <c r="D4062" s="656" t="s">
        <v>404</v>
      </c>
      <c r="E4062" s="534">
        <v>658.24614999999994</v>
      </c>
    </row>
    <row r="4063" spans="2:5" x14ac:dyDescent="0.2">
      <c r="B4063" s="533">
        <v>4852</v>
      </c>
      <c r="C4063" s="533" t="s">
        <v>6808</v>
      </c>
      <c r="D4063" s="656" t="s">
        <v>404</v>
      </c>
      <c r="E4063" s="534">
        <v>665.375</v>
      </c>
    </row>
    <row r="4064" spans="2:5" x14ac:dyDescent="0.2">
      <c r="B4064" s="533">
        <v>4853</v>
      </c>
      <c r="C4064" s="533" t="s">
        <v>1993</v>
      </c>
      <c r="D4064" s="656" t="s">
        <v>404</v>
      </c>
      <c r="E4064" s="534">
        <v>643.36999500000002</v>
      </c>
    </row>
    <row r="4065" spans="2:5" x14ac:dyDescent="0.2">
      <c r="B4065" s="533">
        <v>4854</v>
      </c>
      <c r="C4065" s="533" t="s">
        <v>1636</v>
      </c>
      <c r="D4065" s="656" t="s">
        <v>404</v>
      </c>
      <c r="E4065" s="534">
        <v>628.93000500000005</v>
      </c>
    </row>
    <row r="4066" spans="2:5" x14ac:dyDescent="0.2">
      <c r="B4066" s="533">
        <v>4855</v>
      </c>
      <c r="C4066" s="533" t="s">
        <v>6999</v>
      </c>
      <c r="D4066" s="656" t="s">
        <v>404</v>
      </c>
      <c r="E4066" s="534">
        <v>605.64167299999997</v>
      </c>
    </row>
    <row r="4067" spans="2:5" x14ac:dyDescent="0.2">
      <c r="B4067" s="533">
        <v>4856</v>
      </c>
      <c r="C4067" s="533" t="s">
        <v>1724</v>
      </c>
      <c r="D4067" s="656" t="s">
        <v>404</v>
      </c>
      <c r="E4067" s="534">
        <v>633.64999399999999</v>
      </c>
    </row>
    <row r="4068" spans="2:5" x14ac:dyDescent="0.2">
      <c r="B4068" s="533">
        <v>4857</v>
      </c>
      <c r="C4068" s="533" t="s">
        <v>6673</v>
      </c>
      <c r="D4068" s="656" t="s">
        <v>404</v>
      </c>
      <c r="E4068" s="534">
        <v>604.33750199999997</v>
      </c>
    </row>
    <row r="4069" spans="2:5" x14ac:dyDescent="0.2">
      <c r="B4069" s="533">
        <v>4858</v>
      </c>
      <c r="C4069" s="533" t="s">
        <v>1246</v>
      </c>
      <c r="D4069" s="656" t="s">
        <v>404</v>
      </c>
      <c r="E4069" s="534">
        <v>606.75999100000001</v>
      </c>
    </row>
    <row r="4070" spans="2:5" x14ac:dyDescent="0.2">
      <c r="B4070" s="533">
        <v>4859</v>
      </c>
      <c r="C4070" s="533" t="s">
        <v>1637</v>
      </c>
      <c r="D4070" s="656" t="s">
        <v>404</v>
      </c>
      <c r="E4070" s="534">
        <v>628.95001200000002</v>
      </c>
    </row>
    <row r="4071" spans="2:5" x14ac:dyDescent="0.2">
      <c r="B4071" s="533">
        <v>4860</v>
      </c>
      <c r="C4071" s="533" t="s">
        <v>1786</v>
      </c>
      <c r="D4071" s="656" t="s">
        <v>404</v>
      </c>
      <c r="E4071" s="534">
        <v>635.85000600000001</v>
      </c>
    </row>
    <row r="4072" spans="2:5" x14ac:dyDescent="0.2">
      <c r="B4072" s="533">
        <v>4861</v>
      </c>
      <c r="C4072" s="533" t="s">
        <v>3273</v>
      </c>
      <c r="D4072" s="656" t="s">
        <v>404</v>
      </c>
      <c r="E4072" s="534">
        <v>704.72000100000002</v>
      </c>
    </row>
    <row r="4073" spans="2:5" x14ac:dyDescent="0.2">
      <c r="B4073" s="533">
        <v>4862</v>
      </c>
      <c r="C4073" s="533" t="s">
        <v>2607</v>
      </c>
      <c r="D4073" s="656" t="s">
        <v>404</v>
      </c>
      <c r="E4073" s="534">
        <v>671.85714700000005</v>
      </c>
    </row>
    <row r="4074" spans="2:5" x14ac:dyDescent="0.2">
      <c r="B4074" s="533">
        <v>4863</v>
      </c>
      <c r="C4074" s="533" t="s">
        <v>2168</v>
      </c>
      <c r="D4074" s="656" t="s">
        <v>404</v>
      </c>
      <c r="E4074" s="534">
        <v>652.06666099999995</v>
      </c>
    </row>
    <row r="4075" spans="2:5" x14ac:dyDescent="0.2">
      <c r="B4075" s="533">
        <v>4864</v>
      </c>
      <c r="C4075" s="533" t="s">
        <v>2469</v>
      </c>
      <c r="D4075" s="656" t="s">
        <v>404</v>
      </c>
      <c r="E4075" s="534">
        <v>665.02940799999999</v>
      </c>
    </row>
    <row r="4076" spans="2:5" x14ac:dyDescent="0.2">
      <c r="B4076" s="533">
        <v>4865</v>
      </c>
      <c r="C4076" s="533" t="s">
        <v>3259</v>
      </c>
      <c r="D4076" s="656" t="s">
        <v>404</v>
      </c>
      <c r="E4076" s="534">
        <v>703.81666600000005</v>
      </c>
    </row>
    <row r="4077" spans="2:5" x14ac:dyDescent="0.2">
      <c r="B4077" s="533">
        <v>4866</v>
      </c>
      <c r="C4077" s="533" t="s">
        <v>3556</v>
      </c>
      <c r="D4077" s="656" t="s">
        <v>404</v>
      </c>
      <c r="E4077" s="534">
        <v>719.37143400000002</v>
      </c>
    </row>
    <row r="4078" spans="2:5" x14ac:dyDescent="0.2">
      <c r="B4078" s="533">
        <v>4867</v>
      </c>
      <c r="C4078" s="533" t="s">
        <v>3455</v>
      </c>
      <c r="D4078" s="656" t="s">
        <v>404</v>
      </c>
      <c r="E4078" s="534">
        <v>714.04285500000003</v>
      </c>
    </row>
    <row r="4079" spans="2:5" x14ac:dyDescent="0.2">
      <c r="B4079" s="533">
        <v>4868</v>
      </c>
      <c r="C4079" s="533" t="s">
        <v>2955</v>
      </c>
      <c r="D4079" s="656" t="s">
        <v>404</v>
      </c>
      <c r="E4079" s="534">
        <v>688.73749499999997</v>
      </c>
    </row>
    <row r="4080" spans="2:5" x14ac:dyDescent="0.2">
      <c r="B4080" s="533">
        <v>4869</v>
      </c>
      <c r="C4080" s="533" t="s">
        <v>6671</v>
      </c>
      <c r="D4080" s="656" t="s">
        <v>404</v>
      </c>
      <c r="E4080" s="534">
        <v>705.44999700000005</v>
      </c>
    </row>
    <row r="4081" spans="2:5" x14ac:dyDescent="0.2">
      <c r="B4081" s="533">
        <v>4870</v>
      </c>
      <c r="C4081" s="533" t="s">
        <v>1638</v>
      </c>
      <c r="D4081" s="656" t="s">
        <v>404</v>
      </c>
      <c r="E4081" s="534">
        <v>693.01999499999999</v>
      </c>
    </row>
    <row r="4082" spans="2:5" x14ac:dyDescent="0.2">
      <c r="B4082" s="533">
        <v>4871</v>
      </c>
      <c r="C4082" s="533" t="s">
        <v>3385</v>
      </c>
      <c r="D4082" s="656" t="s">
        <v>404</v>
      </c>
      <c r="E4082" s="534">
        <v>710.70001200000002</v>
      </c>
    </row>
    <row r="4083" spans="2:5" x14ac:dyDescent="0.2">
      <c r="B4083" s="533">
        <v>4872</v>
      </c>
      <c r="C4083" s="533" t="s">
        <v>1558</v>
      </c>
      <c r="D4083" s="656" t="s">
        <v>404</v>
      </c>
      <c r="E4083" s="534">
        <v>624.57332399999996</v>
      </c>
    </row>
    <row r="4084" spans="2:5" x14ac:dyDescent="0.2">
      <c r="B4084" s="533">
        <v>4873</v>
      </c>
      <c r="C4084" s="533" t="s">
        <v>1552</v>
      </c>
      <c r="D4084" s="656" t="s">
        <v>404</v>
      </c>
      <c r="E4084" s="534">
        <v>624.36251100000004</v>
      </c>
    </row>
    <row r="4085" spans="2:5" x14ac:dyDescent="0.2">
      <c r="B4085" s="533">
        <v>4874</v>
      </c>
      <c r="C4085" s="533" t="s">
        <v>1662</v>
      </c>
      <c r="D4085" s="656" t="s">
        <v>404</v>
      </c>
      <c r="E4085" s="534">
        <v>630.71666500000003</v>
      </c>
    </row>
    <row r="4086" spans="2:5" x14ac:dyDescent="0.2">
      <c r="B4086" s="533">
        <v>4875</v>
      </c>
      <c r="C4086" s="533" t="s">
        <v>2328</v>
      </c>
      <c r="D4086" s="656" t="s">
        <v>404</v>
      </c>
      <c r="E4086" s="534">
        <v>659.08888100000001</v>
      </c>
    </row>
    <row r="4087" spans="2:5" x14ac:dyDescent="0.2">
      <c r="B4087" s="533">
        <v>4876</v>
      </c>
      <c r="C4087" s="533" t="s">
        <v>2297</v>
      </c>
      <c r="D4087" s="656" t="s">
        <v>404</v>
      </c>
      <c r="E4087" s="534">
        <v>657.70000300000004</v>
      </c>
    </row>
    <row r="4088" spans="2:5" x14ac:dyDescent="0.2">
      <c r="B4088" s="533">
        <v>4877</v>
      </c>
      <c r="C4088" s="533" t="s">
        <v>2789</v>
      </c>
      <c r="D4088" s="656" t="s">
        <v>404</v>
      </c>
      <c r="E4088" s="534">
        <v>680.97999300000004</v>
      </c>
    </row>
    <row r="4089" spans="2:5" x14ac:dyDescent="0.2">
      <c r="B4089" s="533">
        <v>4878</v>
      </c>
      <c r="C4089" s="533" t="s">
        <v>3310</v>
      </c>
      <c r="D4089" s="656" t="s">
        <v>404</v>
      </c>
      <c r="E4089" s="534">
        <v>707.06667100000004</v>
      </c>
    </row>
    <row r="4090" spans="2:5" x14ac:dyDescent="0.2">
      <c r="B4090" s="533">
        <v>4879</v>
      </c>
      <c r="C4090" s="533" t="s">
        <v>2063</v>
      </c>
      <c r="D4090" s="656" t="s">
        <v>404</v>
      </c>
      <c r="E4090" s="534">
        <v>646.66666699999996</v>
      </c>
    </row>
    <row r="4091" spans="2:5" x14ac:dyDescent="0.2">
      <c r="B4091" s="533">
        <v>4901</v>
      </c>
      <c r="C4091" s="533" t="s">
        <v>3432</v>
      </c>
      <c r="D4091" s="656" t="s">
        <v>404</v>
      </c>
      <c r="E4091" s="534">
        <v>712.90000399999997</v>
      </c>
    </row>
    <row r="4092" spans="2:5" x14ac:dyDescent="0.2">
      <c r="B4092" s="533">
        <v>4902</v>
      </c>
      <c r="C4092" s="533" t="s">
        <v>4222</v>
      </c>
      <c r="D4092" s="656" t="s">
        <v>404</v>
      </c>
      <c r="E4092" s="534">
        <v>759.85714299999995</v>
      </c>
    </row>
    <row r="4093" spans="2:5" x14ac:dyDescent="0.2">
      <c r="B4093" s="533">
        <v>4903</v>
      </c>
      <c r="C4093" s="533" t="s">
        <v>3950</v>
      </c>
      <c r="D4093" s="656" t="s">
        <v>404</v>
      </c>
      <c r="E4093" s="534">
        <v>742.36250299999995</v>
      </c>
    </row>
    <row r="4094" spans="2:5" x14ac:dyDescent="0.2">
      <c r="B4094" s="533">
        <v>4904</v>
      </c>
      <c r="C4094" s="533" t="s">
        <v>3563</v>
      </c>
      <c r="D4094" s="656" t="s">
        <v>404</v>
      </c>
      <c r="E4094" s="534">
        <v>719.69999700000005</v>
      </c>
    </row>
    <row r="4095" spans="2:5" x14ac:dyDescent="0.2">
      <c r="B4095" s="533">
        <v>4905</v>
      </c>
      <c r="C4095" s="533" t="s">
        <v>3242</v>
      </c>
      <c r="D4095" s="656" t="s">
        <v>404</v>
      </c>
      <c r="E4095" s="534">
        <v>703.31110999999999</v>
      </c>
    </row>
    <row r="4096" spans="2:5" x14ac:dyDescent="0.2">
      <c r="B4096" s="533">
        <v>4906</v>
      </c>
      <c r="C4096" s="533" t="s">
        <v>2828</v>
      </c>
      <c r="D4096" s="656" t="s">
        <v>404</v>
      </c>
      <c r="E4096" s="534">
        <v>683.2</v>
      </c>
    </row>
    <row r="4097" spans="2:5" x14ac:dyDescent="0.2">
      <c r="B4097" s="533">
        <v>4907</v>
      </c>
      <c r="C4097" s="533" t="s">
        <v>3596</v>
      </c>
      <c r="D4097" s="656" t="s">
        <v>404</v>
      </c>
      <c r="E4097" s="534">
        <v>721.72222199999999</v>
      </c>
    </row>
    <row r="4098" spans="2:5" x14ac:dyDescent="0.2">
      <c r="B4098" s="533">
        <v>4908</v>
      </c>
      <c r="C4098" s="533" t="s">
        <v>4203</v>
      </c>
      <c r="D4098" s="656" t="s">
        <v>404</v>
      </c>
      <c r="E4098" s="534">
        <v>758.35454800000002</v>
      </c>
    </row>
    <row r="4099" spans="2:5" x14ac:dyDescent="0.2">
      <c r="B4099" s="533">
        <v>4909</v>
      </c>
      <c r="C4099" s="533" t="s">
        <v>3969</v>
      </c>
      <c r="D4099" s="656" t="s">
        <v>404</v>
      </c>
      <c r="E4099" s="534">
        <v>743.80000800000005</v>
      </c>
    </row>
    <row r="4100" spans="2:5" x14ac:dyDescent="0.2">
      <c r="B4100" s="533">
        <v>4910</v>
      </c>
      <c r="C4100" s="533" t="s">
        <v>4025</v>
      </c>
      <c r="D4100" s="656" t="s">
        <v>404</v>
      </c>
      <c r="E4100" s="534">
        <v>747.02499399999999</v>
      </c>
    </row>
    <row r="4101" spans="2:5" x14ac:dyDescent="0.2">
      <c r="B4101" s="533">
        <v>4911</v>
      </c>
      <c r="C4101" s="533" t="s">
        <v>4503</v>
      </c>
      <c r="D4101" s="656" t="s">
        <v>404</v>
      </c>
      <c r="E4101" s="534">
        <v>780.58571099999995</v>
      </c>
    </row>
    <row r="4102" spans="2:5" x14ac:dyDescent="0.2">
      <c r="B4102" s="533">
        <v>4912</v>
      </c>
      <c r="C4102" s="533" t="s">
        <v>2696</v>
      </c>
      <c r="D4102" s="656" t="s">
        <v>404</v>
      </c>
      <c r="E4102" s="534">
        <v>733.10000600000001</v>
      </c>
    </row>
    <row r="4103" spans="2:5" x14ac:dyDescent="0.2">
      <c r="B4103" s="533">
        <v>4913</v>
      </c>
      <c r="C4103" s="533" t="s">
        <v>4405</v>
      </c>
      <c r="D4103" s="656" t="s">
        <v>404</v>
      </c>
      <c r="E4103" s="534">
        <v>773.84285199999999</v>
      </c>
    </row>
    <row r="4104" spans="2:5" x14ac:dyDescent="0.2">
      <c r="B4104" s="533">
        <v>4914</v>
      </c>
      <c r="C4104" s="533" t="s">
        <v>3828</v>
      </c>
      <c r="D4104" s="656" t="s">
        <v>404</v>
      </c>
      <c r="E4104" s="534">
        <v>734.98889199999996</v>
      </c>
    </row>
    <row r="4105" spans="2:5" x14ac:dyDescent="0.2">
      <c r="B4105" s="533">
        <v>4915</v>
      </c>
      <c r="C4105" s="533" t="s">
        <v>3748</v>
      </c>
      <c r="D4105" s="656" t="s">
        <v>404</v>
      </c>
      <c r="E4105" s="534">
        <v>730.37500499999999</v>
      </c>
    </row>
    <row r="4106" spans="2:5" x14ac:dyDescent="0.2">
      <c r="B4106" s="533">
        <v>4916</v>
      </c>
      <c r="C4106" s="533" t="s">
        <v>3928</v>
      </c>
      <c r="D4106" s="656" t="s">
        <v>404</v>
      </c>
      <c r="E4106" s="534">
        <v>741.01667299999997</v>
      </c>
    </row>
    <row r="4107" spans="2:5" x14ac:dyDescent="0.2">
      <c r="B4107" s="533">
        <v>4917</v>
      </c>
      <c r="C4107" s="533" t="s">
        <v>3611</v>
      </c>
      <c r="D4107" s="656" t="s">
        <v>404</v>
      </c>
      <c r="E4107" s="534">
        <v>722.92666799999995</v>
      </c>
    </row>
    <row r="4108" spans="2:5" x14ac:dyDescent="0.2">
      <c r="B4108" s="533">
        <v>4918</v>
      </c>
      <c r="C4108" s="533" t="s">
        <v>3649</v>
      </c>
      <c r="D4108" s="656" t="s">
        <v>404</v>
      </c>
      <c r="E4108" s="534">
        <v>724.59997599999997</v>
      </c>
    </row>
    <row r="4109" spans="2:5" x14ac:dyDescent="0.2">
      <c r="B4109" s="533">
        <v>4919</v>
      </c>
      <c r="C4109" s="533" t="s">
        <v>3437</v>
      </c>
      <c r="D4109" s="656" t="s">
        <v>404</v>
      </c>
      <c r="E4109" s="534">
        <v>713.11666500000001</v>
      </c>
    </row>
    <row r="4110" spans="2:5" x14ac:dyDescent="0.2">
      <c r="B4110" s="533">
        <v>4920</v>
      </c>
      <c r="C4110" s="533" t="s">
        <v>7096</v>
      </c>
      <c r="D4110" s="656" t="s">
        <v>404</v>
      </c>
      <c r="E4110" s="534">
        <v>743.64999399999999</v>
      </c>
    </row>
    <row r="4111" spans="2:5" x14ac:dyDescent="0.2">
      <c r="B4111" s="533">
        <v>4921</v>
      </c>
      <c r="C4111" s="533" t="s">
        <v>786</v>
      </c>
      <c r="D4111" s="656" t="s">
        <v>404</v>
      </c>
      <c r="E4111" s="534">
        <v>761.10000600000001</v>
      </c>
    </row>
    <row r="4112" spans="2:5" x14ac:dyDescent="0.2">
      <c r="B4112" s="533">
        <v>4922</v>
      </c>
      <c r="C4112" s="533" t="s">
        <v>7155</v>
      </c>
      <c r="D4112" s="656" t="s">
        <v>404</v>
      </c>
      <c r="E4112" s="534">
        <v>716</v>
      </c>
    </row>
    <row r="4113" spans="2:5" x14ac:dyDescent="0.2">
      <c r="B4113" s="533">
        <v>4923</v>
      </c>
      <c r="C4113" s="533" t="s">
        <v>3827</v>
      </c>
      <c r="D4113" s="656" t="s">
        <v>404</v>
      </c>
      <c r="E4113" s="534">
        <v>734.9375</v>
      </c>
    </row>
    <row r="4114" spans="2:5" x14ac:dyDescent="0.2">
      <c r="B4114" s="533">
        <v>4924</v>
      </c>
      <c r="C4114" s="533" t="s">
        <v>2587</v>
      </c>
      <c r="D4114" s="656" t="s">
        <v>404</v>
      </c>
      <c r="E4114" s="534">
        <v>757.860004</v>
      </c>
    </row>
    <row r="4115" spans="2:5" x14ac:dyDescent="0.2">
      <c r="B4115" s="533">
        <v>4925</v>
      </c>
      <c r="C4115" s="533" t="s">
        <v>3876</v>
      </c>
      <c r="D4115" s="656" t="s">
        <v>404</v>
      </c>
      <c r="E4115" s="534">
        <v>737.866669</v>
      </c>
    </row>
    <row r="4116" spans="2:5" x14ac:dyDescent="0.2">
      <c r="B4116" s="533">
        <v>4926</v>
      </c>
      <c r="C4116" s="533" t="s">
        <v>1328</v>
      </c>
      <c r="D4116" s="656" t="s">
        <v>404</v>
      </c>
      <c r="E4116" s="534">
        <v>751.26666299999999</v>
      </c>
    </row>
    <row r="4117" spans="2:5" x14ac:dyDescent="0.2">
      <c r="B4117" s="533">
        <v>4927</v>
      </c>
      <c r="C4117" s="533" t="s">
        <v>3552</v>
      </c>
      <c r="D4117" s="656" t="s">
        <v>404</v>
      </c>
      <c r="E4117" s="534">
        <v>719.19999199999995</v>
      </c>
    </row>
    <row r="4118" spans="2:5" x14ac:dyDescent="0.2">
      <c r="B4118" s="533">
        <v>4928</v>
      </c>
      <c r="C4118" s="533" t="s">
        <v>6482</v>
      </c>
      <c r="D4118" s="656" t="s">
        <v>404</v>
      </c>
      <c r="E4118" s="534">
        <v>664.64286200000004</v>
      </c>
    </row>
    <row r="4119" spans="2:5" x14ac:dyDescent="0.2">
      <c r="B4119" s="533">
        <v>4929</v>
      </c>
      <c r="C4119" s="533" t="s">
        <v>6562</v>
      </c>
      <c r="D4119" s="656" t="s">
        <v>404</v>
      </c>
      <c r="E4119" s="534">
        <v>664.51666299999999</v>
      </c>
    </row>
    <row r="4120" spans="2:5" x14ac:dyDescent="0.2">
      <c r="B4120" s="533">
        <v>4930</v>
      </c>
      <c r="C4120" s="533" t="s">
        <v>6707</v>
      </c>
      <c r="D4120" s="656" t="s">
        <v>404</v>
      </c>
      <c r="E4120" s="534">
        <v>725.42000700000006</v>
      </c>
    </row>
    <row r="4121" spans="2:5" x14ac:dyDescent="0.2">
      <c r="B4121" s="533">
        <v>4931</v>
      </c>
      <c r="C4121" s="533" t="s">
        <v>7501</v>
      </c>
      <c r="D4121" s="656" t="s">
        <v>404</v>
      </c>
      <c r="E4121" s="534">
        <v>696.44999199999995</v>
      </c>
    </row>
    <row r="4122" spans="2:5" x14ac:dyDescent="0.2">
      <c r="B4122" s="533">
        <v>4932</v>
      </c>
      <c r="C4122" s="533" t="s">
        <v>2795</v>
      </c>
      <c r="D4122" s="656" t="s">
        <v>404</v>
      </c>
      <c r="E4122" s="534">
        <v>681.26315499999998</v>
      </c>
    </row>
    <row r="4123" spans="2:5" x14ac:dyDescent="0.2">
      <c r="B4123" s="533">
        <v>4933</v>
      </c>
      <c r="C4123" s="533" t="s">
        <v>3353</v>
      </c>
      <c r="D4123" s="656" t="s">
        <v>404</v>
      </c>
      <c r="E4123" s="534">
        <v>709</v>
      </c>
    </row>
    <row r="4124" spans="2:5" x14ac:dyDescent="0.2">
      <c r="B4124" s="533">
        <v>4934</v>
      </c>
      <c r="C4124" s="533" t="s">
        <v>3018</v>
      </c>
      <c r="D4124" s="656" t="s">
        <v>404</v>
      </c>
      <c r="E4124" s="534">
        <v>711.51111500000002</v>
      </c>
    </row>
    <row r="4125" spans="2:5" x14ac:dyDescent="0.2">
      <c r="B4125" s="533">
        <v>4935</v>
      </c>
      <c r="C4125" s="533" t="s">
        <v>3149</v>
      </c>
      <c r="D4125" s="656" t="s">
        <v>404</v>
      </c>
      <c r="E4125" s="534">
        <v>699.36000100000001</v>
      </c>
    </row>
    <row r="4126" spans="2:5" x14ac:dyDescent="0.2">
      <c r="B4126" s="533">
        <v>4936</v>
      </c>
      <c r="C4126" s="533" t="s">
        <v>2018</v>
      </c>
      <c r="D4126" s="656" t="s">
        <v>404</v>
      </c>
      <c r="E4126" s="534">
        <v>644.17498799999998</v>
      </c>
    </row>
    <row r="4127" spans="2:5" x14ac:dyDescent="0.2">
      <c r="B4127" s="533">
        <v>4937</v>
      </c>
      <c r="C4127" s="533" t="s">
        <v>3492</v>
      </c>
      <c r="D4127" s="656" t="s">
        <v>404</v>
      </c>
      <c r="E4127" s="534">
        <v>715.95001200000002</v>
      </c>
    </row>
    <row r="4128" spans="2:5" x14ac:dyDescent="0.2">
      <c r="B4128" s="533">
        <v>4938</v>
      </c>
      <c r="C4128" s="533" t="s">
        <v>2410</v>
      </c>
      <c r="D4128" s="656" t="s">
        <v>404</v>
      </c>
      <c r="E4128" s="534">
        <v>663.15714800000001</v>
      </c>
    </row>
    <row r="4129" spans="2:5" x14ac:dyDescent="0.2">
      <c r="B4129" s="533">
        <v>4939</v>
      </c>
      <c r="C4129" s="533" t="s">
        <v>2925</v>
      </c>
      <c r="D4129" s="656" t="s">
        <v>404</v>
      </c>
      <c r="E4129" s="534">
        <v>687.28181600000005</v>
      </c>
    </row>
    <row r="4130" spans="2:5" x14ac:dyDescent="0.2">
      <c r="B4130" s="533">
        <v>4940</v>
      </c>
      <c r="C4130" s="533" t="s">
        <v>7164</v>
      </c>
      <c r="D4130" s="656" t="s">
        <v>404</v>
      </c>
      <c r="E4130" s="534">
        <v>659.36667899999998</v>
      </c>
    </row>
    <row r="4131" spans="2:5" x14ac:dyDescent="0.2">
      <c r="B4131" s="533">
        <v>4941</v>
      </c>
      <c r="C4131" s="533" t="s">
        <v>7440</v>
      </c>
      <c r="D4131" s="656" t="s">
        <v>404</v>
      </c>
      <c r="E4131" s="534">
        <v>666.04614700000002</v>
      </c>
    </row>
    <row r="4132" spans="2:5" x14ac:dyDescent="0.2">
      <c r="B4132" s="533">
        <v>4942</v>
      </c>
      <c r="C4132" s="533" t="s">
        <v>7559</v>
      </c>
      <c r="D4132" s="656" t="s">
        <v>404</v>
      </c>
      <c r="E4132" s="534">
        <v>650.70000000000005</v>
      </c>
    </row>
    <row r="4133" spans="2:5" x14ac:dyDescent="0.2">
      <c r="B4133" s="533">
        <v>4943</v>
      </c>
      <c r="C4133" s="533" t="s">
        <v>2863</v>
      </c>
      <c r="D4133" s="656" t="s">
        <v>404</v>
      </c>
      <c r="E4133" s="534">
        <v>684.82000100000005</v>
      </c>
    </row>
    <row r="4134" spans="2:5" x14ac:dyDescent="0.2">
      <c r="B4134" s="533">
        <v>4944</v>
      </c>
      <c r="C4134" s="533" t="s">
        <v>2302</v>
      </c>
      <c r="D4134" s="656" t="s">
        <v>404</v>
      </c>
      <c r="E4134" s="534">
        <v>657.77778499999999</v>
      </c>
    </row>
    <row r="4135" spans="2:5" x14ac:dyDescent="0.2">
      <c r="B4135" s="533">
        <v>4945</v>
      </c>
      <c r="C4135" s="533" t="s">
        <v>1898</v>
      </c>
      <c r="D4135" s="656" t="s">
        <v>404</v>
      </c>
      <c r="E4135" s="534">
        <v>640.14666299999999</v>
      </c>
    </row>
    <row r="4136" spans="2:5" x14ac:dyDescent="0.2">
      <c r="B4136" s="533">
        <v>4946</v>
      </c>
      <c r="C4136" s="533" t="s">
        <v>1274</v>
      </c>
      <c r="D4136" s="656" t="s">
        <v>404</v>
      </c>
      <c r="E4136" s="534">
        <v>608.63334099999997</v>
      </c>
    </row>
    <row r="4137" spans="2:5" x14ac:dyDescent="0.2">
      <c r="B4137" s="533">
        <v>4947</v>
      </c>
      <c r="C4137" s="533" t="s">
        <v>1673</v>
      </c>
      <c r="D4137" s="656" t="s">
        <v>404</v>
      </c>
      <c r="E4137" s="534">
        <v>631.42500299999995</v>
      </c>
    </row>
    <row r="4138" spans="2:5" x14ac:dyDescent="0.2">
      <c r="B4138" s="533">
        <v>4948</v>
      </c>
      <c r="C4138" s="533" t="s">
        <v>2615</v>
      </c>
      <c r="D4138" s="656" t="s">
        <v>404</v>
      </c>
      <c r="E4138" s="534">
        <v>672.51430800000003</v>
      </c>
    </row>
    <row r="4139" spans="2:5" x14ac:dyDescent="0.2">
      <c r="B4139" s="533">
        <v>4949</v>
      </c>
      <c r="C4139" s="533" t="s">
        <v>1219</v>
      </c>
      <c r="D4139" s="656" t="s">
        <v>404</v>
      </c>
      <c r="E4139" s="534">
        <v>668.31363499999998</v>
      </c>
    </row>
    <row r="4140" spans="2:5" x14ac:dyDescent="0.2">
      <c r="B4140" s="533">
        <v>4950</v>
      </c>
      <c r="C4140" s="533" t="s">
        <v>2676</v>
      </c>
      <c r="D4140" s="656" t="s">
        <v>404</v>
      </c>
      <c r="E4140" s="534">
        <v>675.29998799999998</v>
      </c>
    </row>
    <row r="4141" spans="2:5" x14ac:dyDescent="0.2">
      <c r="B4141" s="533">
        <v>4951</v>
      </c>
      <c r="C4141" s="533" t="s">
        <v>1005</v>
      </c>
      <c r="D4141" s="656" t="s">
        <v>404</v>
      </c>
      <c r="E4141" s="534">
        <v>590.59997599999997</v>
      </c>
    </row>
    <row r="4142" spans="2:5" x14ac:dyDescent="0.2">
      <c r="B4142" s="533">
        <v>4952</v>
      </c>
      <c r="C4142" s="533" t="s">
        <v>2708</v>
      </c>
      <c r="D4142" s="656" t="s">
        <v>404</v>
      </c>
      <c r="E4142" s="534">
        <v>676.66249800000003</v>
      </c>
    </row>
    <row r="4143" spans="2:5" x14ac:dyDescent="0.2">
      <c r="B4143" s="533">
        <v>4953</v>
      </c>
      <c r="C4143" s="533" t="s">
        <v>2212</v>
      </c>
      <c r="D4143" s="656" t="s">
        <v>404</v>
      </c>
      <c r="E4143" s="534">
        <v>653.89999699999998</v>
      </c>
    </row>
    <row r="4144" spans="2:5" x14ac:dyDescent="0.2">
      <c r="B4144" s="533">
        <v>4954</v>
      </c>
      <c r="C4144" s="533" t="s">
        <v>1809</v>
      </c>
      <c r="D4144" s="656" t="s">
        <v>404</v>
      </c>
      <c r="E4144" s="534">
        <v>636.733341</v>
      </c>
    </row>
    <row r="4145" spans="2:5" x14ac:dyDescent="0.2">
      <c r="B4145" s="533">
        <v>4955</v>
      </c>
      <c r="C4145" s="533" t="s">
        <v>6545</v>
      </c>
      <c r="D4145" s="656" t="s">
        <v>401</v>
      </c>
      <c r="E4145" s="534">
        <v>727.25714100000005</v>
      </c>
    </row>
    <row r="4146" spans="2:5" x14ac:dyDescent="0.2">
      <c r="B4146" s="533">
        <v>4956</v>
      </c>
      <c r="C4146" s="533" t="s">
        <v>3407</v>
      </c>
      <c r="D4146" s="656" t="s">
        <v>401</v>
      </c>
      <c r="E4146" s="534">
        <v>712.10000600000001</v>
      </c>
    </row>
    <row r="4147" spans="2:5" x14ac:dyDescent="0.2">
      <c r="B4147" s="533">
        <v>4957</v>
      </c>
      <c r="C4147" s="533" t="s">
        <v>4243</v>
      </c>
      <c r="D4147" s="656" t="s">
        <v>401</v>
      </c>
      <c r="E4147" s="534">
        <v>761.09999800000003</v>
      </c>
    </row>
    <row r="4148" spans="2:5" x14ac:dyDescent="0.2">
      <c r="B4148" s="533">
        <v>4958</v>
      </c>
      <c r="C4148" s="533" t="s">
        <v>4156</v>
      </c>
      <c r="D4148" s="656" t="s">
        <v>401</v>
      </c>
      <c r="E4148" s="534">
        <v>755.25</v>
      </c>
    </row>
    <row r="4149" spans="2:5" x14ac:dyDescent="0.2">
      <c r="B4149" s="533">
        <v>4959</v>
      </c>
      <c r="C4149" s="533" t="s">
        <v>3425</v>
      </c>
      <c r="D4149" s="656" t="s">
        <v>401</v>
      </c>
      <c r="E4149" s="534">
        <v>712.55000299999995</v>
      </c>
    </row>
    <row r="4150" spans="2:5" x14ac:dyDescent="0.2">
      <c r="B4150" s="533">
        <v>4960</v>
      </c>
      <c r="C4150" s="533" t="s">
        <v>6792</v>
      </c>
      <c r="D4150" s="656" t="s">
        <v>401</v>
      </c>
      <c r="E4150" s="534">
        <v>721.39998400000002</v>
      </c>
    </row>
    <row r="4151" spans="2:5" x14ac:dyDescent="0.2">
      <c r="B4151" s="533">
        <v>4961</v>
      </c>
      <c r="C4151" s="533" t="s">
        <v>3412</v>
      </c>
      <c r="D4151" s="656" t="s">
        <v>401</v>
      </c>
      <c r="E4151" s="534">
        <v>712.27499399999999</v>
      </c>
    </row>
    <row r="4152" spans="2:5" x14ac:dyDescent="0.2">
      <c r="B4152" s="533">
        <v>4962</v>
      </c>
      <c r="C4152" s="533" t="s">
        <v>3642</v>
      </c>
      <c r="D4152" s="656" t="s">
        <v>401</v>
      </c>
      <c r="E4152" s="534">
        <v>724.43332899999996</v>
      </c>
    </row>
    <row r="4153" spans="2:5" x14ac:dyDescent="0.2">
      <c r="B4153" s="533">
        <v>4963</v>
      </c>
      <c r="C4153" s="533" t="s">
        <v>3965</v>
      </c>
      <c r="D4153" s="656" t="s">
        <v>401</v>
      </c>
      <c r="E4153" s="534">
        <v>743.56667100000004</v>
      </c>
    </row>
    <row r="4154" spans="2:5" x14ac:dyDescent="0.2">
      <c r="B4154" s="533">
        <v>4964</v>
      </c>
      <c r="C4154" s="533" t="s">
        <v>4050</v>
      </c>
      <c r="D4154" s="656" t="s">
        <v>401</v>
      </c>
      <c r="E4154" s="534">
        <v>748.77499399999999</v>
      </c>
    </row>
    <row r="4155" spans="2:5" x14ac:dyDescent="0.2">
      <c r="B4155" s="533">
        <v>4965</v>
      </c>
      <c r="C4155" s="533" t="s">
        <v>3470</v>
      </c>
      <c r="D4155" s="656" t="s">
        <v>401</v>
      </c>
      <c r="E4155" s="534">
        <v>714.85999800000002</v>
      </c>
    </row>
    <row r="4156" spans="2:5" x14ac:dyDescent="0.2">
      <c r="B4156" s="533">
        <v>4966</v>
      </c>
      <c r="C4156" s="533" t="s">
        <v>3541</v>
      </c>
      <c r="D4156" s="656" t="s">
        <v>401</v>
      </c>
      <c r="E4156" s="534">
        <v>718.77499399999999</v>
      </c>
    </row>
    <row r="4157" spans="2:5" x14ac:dyDescent="0.2">
      <c r="B4157" s="533">
        <v>4967</v>
      </c>
      <c r="C4157" s="533" t="s">
        <v>4321</v>
      </c>
      <c r="D4157" s="656" t="s">
        <v>401</v>
      </c>
      <c r="E4157" s="534">
        <v>767.13334099999997</v>
      </c>
    </row>
    <row r="4158" spans="2:5" x14ac:dyDescent="0.2">
      <c r="B4158" s="533">
        <v>4968</v>
      </c>
      <c r="C4158" s="533" t="s">
        <v>4239</v>
      </c>
      <c r="D4158" s="656" t="s">
        <v>401</v>
      </c>
      <c r="E4158" s="534">
        <v>760.79999799999996</v>
      </c>
    </row>
    <row r="4159" spans="2:5" x14ac:dyDescent="0.2">
      <c r="B4159" s="533">
        <v>4969</v>
      </c>
      <c r="C4159" s="533" t="s">
        <v>3376</v>
      </c>
      <c r="D4159" s="656" t="s">
        <v>401</v>
      </c>
      <c r="E4159" s="534">
        <v>709.96667500000001</v>
      </c>
    </row>
    <row r="4160" spans="2:5" x14ac:dyDescent="0.2">
      <c r="B4160" s="533">
        <v>4970</v>
      </c>
      <c r="C4160" s="533" t="s">
        <v>6633</v>
      </c>
      <c r="D4160" s="656" t="s">
        <v>401</v>
      </c>
      <c r="E4160" s="534">
        <v>710.514274</v>
      </c>
    </row>
    <row r="4161" spans="2:5" x14ac:dyDescent="0.2">
      <c r="B4161" s="533">
        <v>4971</v>
      </c>
      <c r="C4161" s="533" t="s">
        <v>6632</v>
      </c>
      <c r="D4161" s="656" t="s">
        <v>401</v>
      </c>
      <c r="E4161" s="534">
        <v>744.63332600000001</v>
      </c>
    </row>
    <row r="4162" spans="2:5" x14ac:dyDescent="0.2">
      <c r="B4162" s="533">
        <v>4972</v>
      </c>
      <c r="C4162" s="533" t="s">
        <v>3225</v>
      </c>
      <c r="D4162" s="656" t="s">
        <v>401</v>
      </c>
      <c r="E4162" s="534">
        <v>702.69999199999995</v>
      </c>
    </row>
    <row r="4163" spans="2:5" x14ac:dyDescent="0.2">
      <c r="B4163" s="533">
        <v>4973</v>
      </c>
      <c r="C4163" s="533" t="s">
        <v>3158</v>
      </c>
      <c r="D4163" s="656" t="s">
        <v>401</v>
      </c>
      <c r="E4163" s="534">
        <v>699.65713900000003</v>
      </c>
    </row>
    <row r="4164" spans="2:5" x14ac:dyDescent="0.2">
      <c r="B4164" s="533">
        <v>4974</v>
      </c>
      <c r="C4164" s="533" t="s">
        <v>3301</v>
      </c>
      <c r="D4164" s="656" t="s">
        <v>401</v>
      </c>
      <c r="E4164" s="534">
        <v>706.59999600000003</v>
      </c>
    </row>
    <row r="4165" spans="2:5" x14ac:dyDescent="0.2">
      <c r="B4165" s="533">
        <v>4975</v>
      </c>
      <c r="C4165" s="533" t="s">
        <v>7293</v>
      </c>
      <c r="D4165" s="656" t="s">
        <v>401</v>
      </c>
      <c r="E4165" s="534">
        <v>786.64000199999998</v>
      </c>
    </row>
    <row r="4166" spans="2:5" x14ac:dyDescent="0.2">
      <c r="B4166" s="533">
        <v>4976</v>
      </c>
      <c r="C4166" s="533" t="s">
        <v>3342</v>
      </c>
      <c r="D4166" s="656" t="s">
        <v>401</v>
      </c>
      <c r="E4166" s="534">
        <v>708.60000600000001</v>
      </c>
    </row>
    <row r="4167" spans="2:5" x14ac:dyDescent="0.2">
      <c r="B4167" s="533">
        <v>5001</v>
      </c>
      <c r="C4167" s="533" t="s">
        <v>7428</v>
      </c>
      <c r="D4167" s="656" t="s">
        <v>401</v>
      </c>
      <c r="E4167" s="534">
        <v>769.98001099999999</v>
      </c>
    </row>
    <row r="4168" spans="2:5" x14ac:dyDescent="0.2">
      <c r="B4168" s="533">
        <v>5002</v>
      </c>
      <c r="C4168" s="533" t="s">
        <v>4733</v>
      </c>
      <c r="D4168" s="656" t="s">
        <v>401</v>
      </c>
      <c r="E4168" s="534">
        <v>799.39999399999999</v>
      </c>
    </row>
    <row r="4169" spans="2:5" x14ac:dyDescent="0.2">
      <c r="B4169" s="533">
        <v>5003</v>
      </c>
      <c r="C4169" s="533" t="s">
        <v>4716</v>
      </c>
      <c r="D4169" s="656" t="s">
        <v>401</v>
      </c>
      <c r="E4169" s="534">
        <v>798.2</v>
      </c>
    </row>
    <row r="4170" spans="2:5" x14ac:dyDescent="0.2">
      <c r="B4170" s="533">
        <v>5004</v>
      </c>
      <c r="C4170" s="533" t="s">
        <v>4626</v>
      </c>
      <c r="D4170" s="656" t="s">
        <v>401</v>
      </c>
      <c r="E4170" s="534">
        <v>791.28333499999997</v>
      </c>
    </row>
    <row r="4171" spans="2:5" x14ac:dyDescent="0.2">
      <c r="B4171" s="533">
        <v>5005</v>
      </c>
      <c r="C4171" s="533" t="s">
        <v>5216</v>
      </c>
      <c r="D4171" s="656" t="s">
        <v>401</v>
      </c>
      <c r="E4171" s="534">
        <v>849.80001800000002</v>
      </c>
    </row>
    <row r="4172" spans="2:5" x14ac:dyDescent="0.2">
      <c r="B4172" s="533">
        <v>5006</v>
      </c>
      <c r="C4172" s="533" t="s">
        <v>2319</v>
      </c>
      <c r="D4172" s="656" t="s">
        <v>401</v>
      </c>
      <c r="E4172" s="534">
        <v>816.70769800000005</v>
      </c>
    </row>
    <row r="4173" spans="2:5" x14ac:dyDescent="0.2">
      <c r="B4173" s="533">
        <v>5007</v>
      </c>
      <c r="C4173" s="533" t="s">
        <v>4634</v>
      </c>
      <c r="D4173" s="656" t="s">
        <v>401</v>
      </c>
      <c r="E4173" s="534">
        <v>791.875</v>
      </c>
    </row>
    <row r="4174" spans="2:5" x14ac:dyDescent="0.2">
      <c r="B4174" s="533">
        <v>5008</v>
      </c>
      <c r="C4174" s="533" t="s">
        <v>3520</v>
      </c>
      <c r="D4174" s="656" t="s">
        <v>401</v>
      </c>
      <c r="E4174" s="534">
        <v>717.89999399999999</v>
      </c>
    </row>
    <row r="4175" spans="2:5" x14ac:dyDescent="0.2">
      <c r="B4175" s="533">
        <v>5009</v>
      </c>
      <c r="C4175" s="533" t="s">
        <v>4221</v>
      </c>
      <c r="D4175" s="656" t="s">
        <v>401</v>
      </c>
      <c r="E4175" s="534">
        <v>759.8125</v>
      </c>
    </row>
    <row r="4176" spans="2:5" x14ac:dyDescent="0.2">
      <c r="B4176" s="533">
        <v>5010</v>
      </c>
      <c r="C4176" s="533" t="s">
        <v>2963</v>
      </c>
      <c r="D4176" s="656" t="s">
        <v>401</v>
      </c>
      <c r="E4176" s="534">
        <v>717.07777199999998</v>
      </c>
    </row>
    <row r="4177" spans="2:5" x14ac:dyDescent="0.2">
      <c r="B4177" s="533">
        <v>5011</v>
      </c>
      <c r="C4177" s="533" t="s">
        <v>4566</v>
      </c>
      <c r="D4177" s="656" t="s">
        <v>401</v>
      </c>
      <c r="E4177" s="534">
        <v>786.07499700000005</v>
      </c>
    </row>
    <row r="4178" spans="2:5" x14ac:dyDescent="0.2">
      <c r="B4178" s="533">
        <v>5012</v>
      </c>
      <c r="C4178" s="533" t="s">
        <v>3737</v>
      </c>
      <c r="D4178" s="656" t="s">
        <v>401</v>
      </c>
      <c r="E4178" s="534">
        <v>743.87142500000004</v>
      </c>
    </row>
    <row r="4179" spans="2:5" x14ac:dyDescent="0.2">
      <c r="B4179" s="533">
        <v>5013</v>
      </c>
      <c r="C4179" s="533" t="s">
        <v>7011</v>
      </c>
      <c r="D4179" s="656" t="s">
        <v>401</v>
      </c>
      <c r="E4179" s="534">
        <v>749.39999399999999</v>
      </c>
    </row>
    <row r="4180" spans="2:5" x14ac:dyDescent="0.2">
      <c r="B4180" s="533">
        <v>5014</v>
      </c>
      <c r="C4180" s="533" t="s">
        <v>1452</v>
      </c>
      <c r="D4180" s="656" t="s">
        <v>401</v>
      </c>
      <c r="E4180" s="534">
        <v>852.866669</v>
      </c>
    </row>
    <row r="4181" spans="2:5" x14ac:dyDescent="0.2">
      <c r="B4181" s="533">
        <v>5015</v>
      </c>
      <c r="C4181" s="533" t="s">
        <v>7412</v>
      </c>
      <c r="D4181" s="656" t="s">
        <v>401</v>
      </c>
      <c r="E4181" s="534">
        <v>738.44999700000005</v>
      </c>
    </row>
    <row r="4182" spans="2:5" x14ac:dyDescent="0.2">
      <c r="B4182" s="533">
        <v>5016</v>
      </c>
      <c r="C4182" s="533" t="s">
        <v>3436</v>
      </c>
      <c r="D4182" s="656" t="s">
        <v>401</v>
      </c>
      <c r="E4182" s="534">
        <v>713.04998799999998</v>
      </c>
    </row>
    <row r="4183" spans="2:5" x14ac:dyDescent="0.2">
      <c r="B4183" s="533">
        <v>5017</v>
      </c>
      <c r="C4183" s="533" t="s">
        <v>3809</v>
      </c>
      <c r="D4183" s="656" t="s">
        <v>401</v>
      </c>
      <c r="E4183" s="534">
        <v>733.85000600000001</v>
      </c>
    </row>
    <row r="4184" spans="2:5" x14ac:dyDescent="0.2">
      <c r="B4184" s="533">
        <v>5018</v>
      </c>
      <c r="C4184" s="533" t="s">
        <v>6473</v>
      </c>
      <c r="D4184" s="656" t="s">
        <v>401</v>
      </c>
      <c r="E4184" s="534">
        <v>795.53636600000004</v>
      </c>
    </row>
    <row r="4185" spans="2:5" x14ac:dyDescent="0.2">
      <c r="B4185" s="533">
        <v>5019</v>
      </c>
      <c r="C4185" s="533" t="s">
        <v>7537</v>
      </c>
      <c r="D4185" s="656" t="s">
        <v>401</v>
      </c>
      <c r="E4185" s="534">
        <v>789.40001199999995</v>
      </c>
    </row>
    <row r="4186" spans="2:5" x14ac:dyDescent="0.2">
      <c r="B4186" s="533">
        <v>5020</v>
      </c>
      <c r="C4186" s="533" t="s">
        <v>4560</v>
      </c>
      <c r="D4186" s="656" t="s">
        <v>401</v>
      </c>
      <c r="E4186" s="534">
        <v>785.64999399999999</v>
      </c>
    </row>
    <row r="4187" spans="2:5" x14ac:dyDescent="0.2">
      <c r="B4187" s="533">
        <v>5021</v>
      </c>
      <c r="C4187" s="533" t="s">
        <v>3300</v>
      </c>
      <c r="D4187" s="656" t="s">
        <v>401</v>
      </c>
      <c r="E4187" s="534">
        <v>706.36665900000003</v>
      </c>
    </row>
    <row r="4188" spans="2:5" x14ac:dyDescent="0.2">
      <c r="B4188" s="533">
        <v>5022</v>
      </c>
      <c r="C4188" s="533" t="s">
        <v>4701</v>
      </c>
      <c r="D4188" s="656" t="s">
        <v>401</v>
      </c>
      <c r="E4188" s="534">
        <v>797.10999100000004</v>
      </c>
    </row>
    <row r="4189" spans="2:5" x14ac:dyDescent="0.2">
      <c r="B4189" s="533">
        <v>5023</v>
      </c>
      <c r="C4189" s="533" t="s">
        <v>4098</v>
      </c>
      <c r="D4189" s="656" t="s">
        <v>401</v>
      </c>
      <c r="E4189" s="534">
        <v>751.1</v>
      </c>
    </row>
    <row r="4190" spans="2:5" x14ac:dyDescent="0.2">
      <c r="B4190" s="533">
        <v>5024</v>
      </c>
      <c r="C4190" s="533" t="s">
        <v>5128</v>
      </c>
      <c r="D4190" s="656" t="s">
        <v>401</v>
      </c>
      <c r="E4190" s="534">
        <v>837.74545000000001</v>
      </c>
    </row>
    <row r="4191" spans="2:5" x14ac:dyDescent="0.2">
      <c r="B4191" s="533">
        <v>5025</v>
      </c>
      <c r="C4191" s="533" t="s">
        <v>4555</v>
      </c>
      <c r="D4191" s="656" t="s">
        <v>401</v>
      </c>
      <c r="E4191" s="534">
        <v>785.07501200000002</v>
      </c>
    </row>
    <row r="4192" spans="2:5" x14ac:dyDescent="0.2">
      <c r="B4192" s="533">
        <v>5026</v>
      </c>
      <c r="C4192" s="533" t="s">
        <v>5013</v>
      </c>
      <c r="D4192" s="656" t="s">
        <v>401</v>
      </c>
      <c r="E4192" s="534">
        <v>825.00001499999996</v>
      </c>
    </row>
    <row r="4193" spans="2:5" x14ac:dyDescent="0.2">
      <c r="B4193" s="533">
        <v>5027</v>
      </c>
      <c r="C4193" s="533" t="s">
        <v>5147</v>
      </c>
      <c r="D4193" s="656" t="s">
        <v>401</v>
      </c>
      <c r="E4193" s="534">
        <v>839.28750600000001</v>
      </c>
    </row>
    <row r="4194" spans="2:5" x14ac:dyDescent="0.2">
      <c r="B4194" s="533">
        <v>5028</v>
      </c>
      <c r="C4194" s="533" t="s">
        <v>6975</v>
      </c>
      <c r="D4194" s="656" t="s">
        <v>401</v>
      </c>
      <c r="E4194" s="534">
        <v>886.09997599999997</v>
      </c>
    </row>
    <row r="4195" spans="2:5" x14ac:dyDescent="0.2">
      <c r="B4195" s="533">
        <v>5029</v>
      </c>
      <c r="C4195" s="533" t="s">
        <v>6871</v>
      </c>
      <c r="D4195" s="656" t="s">
        <v>401</v>
      </c>
      <c r="E4195" s="534">
        <v>695.86667199999999</v>
      </c>
    </row>
    <row r="4196" spans="2:5" x14ac:dyDescent="0.2">
      <c r="B4196" s="533">
        <v>5030</v>
      </c>
      <c r="C4196" s="533" t="s">
        <v>4019</v>
      </c>
      <c r="D4196" s="656" t="s">
        <v>401</v>
      </c>
      <c r="E4196" s="534">
        <v>746.86667899999998</v>
      </c>
    </row>
    <row r="4197" spans="2:5" x14ac:dyDescent="0.2">
      <c r="B4197" s="533">
        <v>5031</v>
      </c>
      <c r="C4197" s="533" t="s">
        <v>2600</v>
      </c>
      <c r="D4197" s="656" t="s">
        <v>401</v>
      </c>
      <c r="E4197" s="534">
        <v>671.35001399999999</v>
      </c>
    </row>
    <row r="4198" spans="2:5" x14ac:dyDescent="0.2">
      <c r="B4198" s="533">
        <v>5032</v>
      </c>
      <c r="C4198" s="533" t="s">
        <v>3473</v>
      </c>
      <c r="D4198" s="656" t="s">
        <v>401</v>
      </c>
      <c r="E4198" s="534">
        <v>715.03637100000003</v>
      </c>
    </row>
    <row r="4199" spans="2:5" x14ac:dyDescent="0.2">
      <c r="B4199" s="533">
        <v>5033</v>
      </c>
      <c r="C4199" s="533" t="s">
        <v>2646</v>
      </c>
      <c r="D4199" s="656" t="s">
        <v>401</v>
      </c>
      <c r="E4199" s="534">
        <v>674.03998999999999</v>
      </c>
    </row>
    <row r="4200" spans="2:5" x14ac:dyDescent="0.2">
      <c r="B4200" s="533">
        <v>5034</v>
      </c>
      <c r="C4200" s="533" t="s">
        <v>2818</v>
      </c>
      <c r="D4200" s="656" t="s">
        <v>401</v>
      </c>
      <c r="E4200" s="534">
        <v>682.40000399999997</v>
      </c>
    </row>
    <row r="4201" spans="2:5" x14ac:dyDescent="0.2">
      <c r="B4201" s="533">
        <v>5035</v>
      </c>
      <c r="C4201" s="533" t="s">
        <v>2798</v>
      </c>
      <c r="D4201" s="656" t="s">
        <v>401</v>
      </c>
      <c r="E4201" s="534">
        <v>681.51999499999999</v>
      </c>
    </row>
    <row r="4202" spans="2:5" x14ac:dyDescent="0.2">
      <c r="B4202" s="533">
        <v>5036</v>
      </c>
      <c r="C4202" s="533" t="s">
        <v>7315</v>
      </c>
      <c r="D4202" s="656" t="s">
        <v>401</v>
      </c>
      <c r="E4202" s="534">
        <v>656.70908999999995</v>
      </c>
    </row>
    <row r="4203" spans="2:5" x14ac:dyDescent="0.2">
      <c r="B4203" s="533">
        <v>5037</v>
      </c>
      <c r="C4203" s="533" t="s">
        <v>5161</v>
      </c>
      <c r="D4203" s="656" t="s">
        <v>401</v>
      </c>
      <c r="E4203" s="534">
        <v>840.74999500000001</v>
      </c>
    </row>
    <row r="4204" spans="2:5" x14ac:dyDescent="0.2">
      <c r="B4204" s="533">
        <v>5038</v>
      </c>
      <c r="C4204" s="533" t="s">
        <v>3854</v>
      </c>
      <c r="D4204" s="656" t="s">
        <v>401</v>
      </c>
      <c r="E4204" s="534">
        <v>736.47143600000004</v>
      </c>
    </row>
    <row r="4205" spans="2:5" x14ac:dyDescent="0.2">
      <c r="B4205" s="533">
        <v>5039</v>
      </c>
      <c r="C4205" s="533" t="s">
        <v>3373</v>
      </c>
      <c r="D4205" s="656" t="s">
        <v>401</v>
      </c>
      <c r="E4205" s="534">
        <v>709.90002400000003</v>
      </c>
    </row>
    <row r="4206" spans="2:5" x14ac:dyDescent="0.2">
      <c r="B4206" s="533">
        <v>5040</v>
      </c>
      <c r="C4206" s="533" t="s">
        <v>4444</v>
      </c>
      <c r="D4206" s="656" t="s">
        <v>401</v>
      </c>
      <c r="E4206" s="534">
        <v>777.10999800000002</v>
      </c>
    </row>
    <row r="4207" spans="2:5" x14ac:dyDescent="0.2">
      <c r="B4207" s="533">
        <v>5041</v>
      </c>
      <c r="C4207" s="533" t="s">
        <v>2940</v>
      </c>
      <c r="D4207" s="656" t="s">
        <v>401</v>
      </c>
      <c r="E4207" s="534">
        <v>687.73846000000003</v>
      </c>
    </row>
    <row r="4208" spans="2:5" x14ac:dyDescent="0.2">
      <c r="B4208" s="533">
        <v>5042</v>
      </c>
      <c r="C4208" s="533" t="s">
        <v>5393</v>
      </c>
      <c r="D4208" s="656" t="s">
        <v>401</v>
      </c>
      <c r="E4208" s="534">
        <v>879.55715499999997</v>
      </c>
    </row>
    <row r="4209" spans="2:5" x14ac:dyDescent="0.2">
      <c r="B4209" s="533">
        <v>5043</v>
      </c>
      <c r="C4209" s="533" t="s">
        <v>5046</v>
      </c>
      <c r="D4209" s="656" t="s">
        <v>401</v>
      </c>
      <c r="E4209" s="534">
        <v>828.84999100000005</v>
      </c>
    </row>
    <row r="4210" spans="2:5" x14ac:dyDescent="0.2">
      <c r="B4210" s="533">
        <v>5044</v>
      </c>
      <c r="C4210" s="533" t="s">
        <v>4620</v>
      </c>
      <c r="D4210" s="656" t="s">
        <v>401</v>
      </c>
      <c r="E4210" s="534">
        <v>790.84999600000003</v>
      </c>
    </row>
    <row r="4211" spans="2:5" x14ac:dyDescent="0.2">
      <c r="B4211" s="533">
        <v>5045</v>
      </c>
      <c r="C4211" s="533" t="s">
        <v>3716</v>
      </c>
      <c r="D4211" s="656" t="s">
        <v>401</v>
      </c>
      <c r="E4211" s="534">
        <v>728.49998800000003</v>
      </c>
    </row>
    <row r="4212" spans="2:5" x14ac:dyDescent="0.2">
      <c r="B4212" s="533">
        <v>5046</v>
      </c>
      <c r="C4212" s="533" t="s">
        <v>4352</v>
      </c>
      <c r="D4212" s="656" t="s">
        <v>401</v>
      </c>
      <c r="E4212" s="534">
        <v>768.90000599999996</v>
      </c>
    </row>
    <row r="4213" spans="2:5" x14ac:dyDescent="0.2">
      <c r="B4213" s="533">
        <v>5047</v>
      </c>
      <c r="C4213" s="533" t="s">
        <v>6787</v>
      </c>
      <c r="D4213" s="656" t="s">
        <v>401</v>
      </c>
      <c r="E4213" s="534">
        <v>806.27333599999997</v>
      </c>
    </row>
    <row r="4214" spans="2:5" x14ac:dyDescent="0.2">
      <c r="B4214" s="533">
        <v>5048</v>
      </c>
      <c r="C4214" s="533" t="s">
        <v>5075</v>
      </c>
      <c r="D4214" s="656" t="s">
        <v>401</v>
      </c>
      <c r="E4214" s="534">
        <v>831.42222100000004</v>
      </c>
    </row>
    <row r="4215" spans="2:5" x14ac:dyDescent="0.2">
      <c r="B4215" s="533">
        <v>5049</v>
      </c>
      <c r="C4215" s="533" t="s">
        <v>4695</v>
      </c>
      <c r="D4215" s="656" t="s">
        <v>401</v>
      </c>
      <c r="E4215" s="534">
        <v>796.23846400000002</v>
      </c>
    </row>
    <row r="4216" spans="2:5" x14ac:dyDescent="0.2">
      <c r="B4216" s="533">
        <v>5050</v>
      </c>
      <c r="C4216" s="533" t="s">
        <v>4381</v>
      </c>
      <c r="D4216" s="656" t="s">
        <v>401</v>
      </c>
      <c r="E4216" s="534">
        <v>771.366669</v>
      </c>
    </row>
    <row r="4217" spans="2:5" x14ac:dyDescent="0.2">
      <c r="B4217" s="533">
        <v>5051</v>
      </c>
      <c r="C4217" s="533" t="s">
        <v>1242</v>
      </c>
      <c r="D4217" s="656" t="s">
        <v>401</v>
      </c>
      <c r="E4217" s="534">
        <v>782.05998499999998</v>
      </c>
    </row>
    <row r="4218" spans="2:5" x14ac:dyDescent="0.2">
      <c r="B4218" s="533">
        <v>5052</v>
      </c>
      <c r="C4218" s="533" t="s">
        <v>4525</v>
      </c>
      <c r="D4218" s="656" t="s">
        <v>401</v>
      </c>
      <c r="E4218" s="534">
        <v>782.485726</v>
      </c>
    </row>
    <row r="4219" spans="2:5" x14ac:dyDescent="0.2">
      <c r="B4219" s="533">
        <v>5053</v>
      </c>
      <c r="C4219" s="533" t="s">
        <v>7246</v>
      </c>
      <c r="D4219" s="656" t="s">
        <v>401</v>
      </c>
      <c r="E4219" s="534">
        <v>783.64000899999996</v>
      </c>
    </row>
    <row r="4220" spans="2:5" x14ac:dyDescent="0.2">
      <c r="B4220" s="533">
        <v>5054</v>
      </c>
      <c r="C4220" s="533" t="s">
        <v>4760</v>
      </c>
      <c r="D4220" s="656" t="s">
        <v>401</v>
      </c>
      <c r="E4220" s="534">
        <v>801.66999499999997</v>
      </c>
    </row>
    <row r="4221" spans="2:5" x14ac:dyDescent="0.2">
      <c r="B4221" s="533">
        <v>5055</v>
      </c>
      <c r="C4221" s="533" t="s">
        <v>3982</v>
      </c>
      <c r="D4221" s="656" t="s">
        <v>401</v>
      </c>
      <c r="E4221" s="534">
        <v>744.41999499999997</v>
      </c>
    </row>
    <row r="4222" spans="2:5" x14ac:dyDescent="0.2">
      <c r="B4222" s="533">
        <v>5056</v>
      </c>
      <c r="C4222" s="533" t="s">
        <v>4784</v>
      </c>
      <c r="D4222" s="656" t="s">
        <v>401</v>
      </c>
      <c r="E4222" s="534">
        <v>802.90000399999997</v>
      </c>
    </row>
    <row r="4223" spans="2:5" x14ac:dyDescent="0.2">
      <c r="B4223" s="533">
        <v>5057</v>
      </c>
      <c r="C4223" s="533" t="s">
        <v>4613</v>
      </c>
      <c r="D4223" s="656" t="s">
        <v>401</v>
      </c>
      <c r="E4223" s="534">
        <v>789.87037299999997</v>
      </c>
    </row>
    <row r="4224" spans="2:5" x14ac:dyDescent="0.2">
      <c r="B4224" s="533">
        <v>5058</v>
      </c>
      <c r="C4224" s="533" t="s">
        <v>7333</v>
      </c>
      <c r="D4224" s="656" t="s">
        <v>401</v>
      </c>
      <c r="E4224" s="534">
        <v>772.827271</v>
      </c>
    </row>
    <row r="4225" spans="2:5" x14ac:dyDescent="0.2">
      <c r="B4225" s="533">
        <v>5059</v>
      </c>
      <c r="C4225" s="533" t="s">
        <v>7458</v>
      </c>
      <c r="D4225" s="656" t="s">
        <v>401</v>
      </c>
      <c r="E4225" s="534">
        <v>773.53571399999998</v>
      </c>
    </row>
    <row r="4226" spans="2:5" x14ac:dyDescent="0.2">
      <c r="B4226" s="533">
        <v>5060</v>
      </c>
      <c r="C4226" s="533" t="s">
        <v>6843</v>
      </c>
      <c r="D4226" s="656" t="s">
        <v>401</v>
      </c>
      <c r="E4226" s="534">
        <v>742.53635499999996</v>
      </c>
    </row>
    <row r="4227" spans="2:5" x14ac:dyDescent="0.2">
      <c r="B4227" s="533">
        <v>5061</v>
      </c>
      <c r="C4227" s="533" t="s">
        <v>4115</v>
      </c>
      <c r="D4227" s="656" t="s">
        <v>401</v>
      </c>
      <c r="E4227" s="534">
        <v>752.19999700000005</v>
      </c>
    </row>
    <row r="4228" spans="2:5" x14ac:dyDescent="0.2">
      <c r="B4228" s="533">
        <v>5062</v>
      </c>
      <c r="C4228" s="533" t="s">
        <v>3880</v>
      </c>
      <c r="D4228" s="656" t="s">
        <v>401</v>
      </c>
      <c r="E4228" s="534">
        <v>738.06667100000004</v>
      </c>
    </row>
    <row r="4229" spans="2:5" x14ac:dyDescent="0.2">
      <c r="B4229" s="533">
        <v>5063</v>
      </c>
      <c r="C4229" s="533" t="s">
        <v>4210</v>
      </c>
      <c r="D4229" s="656" t="s">
        <v>401</v>
      </c>
      <c r="E4229" s="534">
        <v>759.04999499999997</v>
      </c>
    </row>
    <row r="4230" spans="2:5" x14ac:dyDescent="0.2">
      <c r="B4230" s="533">
        <v>5064</v>
      </c>
      <c r="C4230" s="533" t="s">
        <v>4817</v>
      </c>
      <c r="D4230" s="656" t="s">
        <v>401</v>
      </c>
      <c r="E4230" s="534">
        <v>805.70832800000005</v>
      </c>
    </row>
    <row r="4231" spans="2:5" x14ac:dyDescent="0.2">
      <c r="B4231" s="533">
        <v>5065</v>
      </c>
      <c r="C4231" s="533" t="s">
        <v>2713</v>
      </c>
      <c r="D4231" s="656" t="s">
        <v>401</v>
      </c>
      <c r="E4231" s="534">
        <v>697.91249500000004</v>
      </c>
    </row>
    <row r="4232" spans="2:5" x14ac:dyDescent="0.2">
      <c r="B4232" s="533">
        <v>5066</v>
      </c>
      <c r="C4232" s="533" t="s">
        <v>5360</v>
      </c>
      <c r="D4232" s="656" t="s">
        <v>401</v>
      </c>
      <c r="E4232" s="534">
        <v>873.76666299999999</v>
      </c>
    </row>
    <row r="4233" spans="2:5" x14ac:dyDescent="0.2">
      <c r="B4233" s="533">
        <v>5067</v>
      </c>
      <c r="C4233" s="533" t="s">
        <v>4896</v>
      </c>
      <c r="D4233" s="656" t="s">
        <v>401</v>
      </c>
      <c r="E4233" s="534">
        <v>812.73999800000001</v>
      </c>
    </row>
    <row r="4234" spans="2:5" x14ac:dyDescent="0.2">
      <c r="B4234" s="533">
        <v>5068</v>
      </c>
      <c r="C4234" s="533" t="s">
        <v>5664</v>
      </c>
      <c r="D4234" s="656" t="s">
        <v>401</v>
      </c>
      <c r="E4234" s="534">
        <v>931.86428799999999</v>
      </c>
    </row>
    <row r="4235" spans="2:5" x14ac:dyDescent="0.2">
      <c r="B4235" s="533">
        <v>5069</v>
      </c>
      <c r="C4235" s="533" t="s">
        <v>6077</v>
      </c>
      <c r="D4235" s="656" t="s">
        <v>401</v>
      </c>
      <c r="E4235" s="534">
        <v>1102.1555510000001</v>
      </c>
    </row>
    <row r="4236" spans="2:5" x14ac:dyDescent="0.2">
      <c r="B4236" s="533">
        <v>5070</v>
      </c>
      <c r="C4236" s="533" t="s">
        <v>5666</v>
      </c>
      <c r="D4236" s="656" t="s">
        <v>401</v>
      </c>
      <c r="E4236" s="534">
        <v>932.39999399999999</v>
      </c>
    </row>
    <row r="4237" spans="2:5" x14ac:dyDescent="0.2">
      <c r="B4237" s="533">
        <v>5071</v>
      </c>
      <c r="C4237" s="533" t="s">
        <v>2917</v>
      </c>
      <c r="D4237" s="656" t="s">
        <v>401</v>
      </c>
      <c r="E4237" s="534">
        <v>687</v>
      </c>
    </row>
    <row r="4238" spans="2:5" x14ac:dyDescent="0.2">
      <c r="B4238" s="533">
        <v>5072</v>
      </c>
      <c r="C4238" s="533" t="s">
        <v>2806</v>
      </c>
      <c r="D4238" s="656" t="s">
        <v>401</v>
      </c>
      <c r="E4238" s="534">
        <v>681.875</v>
      </c>
    </row>
    <row r="4239" spans="2:5" x14ac:dyDescent="0.2">
      <c r="B4239" s="533">
        <v>5073</v>
      </c>
      <c r="C4239" s="533" t="s">
        <v>7227</v>
      </c>
      <c r="D4239" s="656" t="s">
        <v>401</v>
      </c>
      <c r="E4239" s="534">
        <v>680.63636599999995</v>
      </c>
    </row>
    <row r="4240" spans="2:5" x14ac:dyDescent="0.2">
      <c r="B4240" s="533">
        <v>5074</v>
      </c>
      <c r="C4240" s="533" t="s">
        <v>2691</v>
      </c>
      <c r="D4240" s="656" t="s">
        <v>401</v>
      </c>
      <c r="E4240" s="534">
        <v>675.73750299999995</v>
      </c>
    </row>
    <row r="4241" spans="2:5" x14ac:dyDescent="0.2">
      <c r="B4241" s="533">
        <v>5075</v>
      </c>
      <c r="C4241" s="533" t="s">
        <v>2777</v>
      </c>
      <c r="D4241" s="656" t="s">
        <v>401</v>
      </c>
      <c r="E4241" s="534">
        <v>680.2</v>
      </c>
    </row>
    <row r="4242" spans="2:5" x14ac:dyDescent="0.2">
      <c r="B4242" s="533">
        <v>5076</v>
      </c>
      <c r="C4242" s="533" t="s">
        <v>2447</v>
      </c>
      <c r="D4242" s="656" t="s">
        <v>401</v>
      </c>
      <c r="E4242" s="534">
        <v>664.35</v>
      </c>
    </row>
    <row r="4243" spans="2:5" x14ac:dyDescent="0.2">
      <c r="B4243" s="533">
        <v>5077</v>
      </c>
      <c r="C4243" s="533" t="s">
        <v>2140</v>
      </c>
      <c r="D4243" s="656" t="s">
        <v>401</v>
      </c>
      <c r="E4243" s="534">
        <v>650.80000800000005</v>
      </c>
    </row>
    <row r="4244" spans="2:5" x14ac:dyDescent="0.2">
      <c r="B4244" s="533">
        <v>5078</v>
      </c>
      <c r="C4244" s="533" t="s">
        <v>2675</v>
      </c>
      <c r="D4244" s="656" t="s">
        <v>401</v>
      </c>
      <c r="E4244" s="534">
        <v>675.28000499999996</v>
      </c>
    </row>
    <row r="4245" spans="2:5" x14ac:dyDescent="0.2">
      <c r="B4245" s="533">
        <v>5079</v>
      </c>
      <c r="C4245" s="533" t="s">
        <v>3032</v>
      </c>
      <c r="D4245" s="656" t="s">
        <v>401</v>
      </c>
      <c r="E4245" s="534">
        <v>692.90000899999995</v>
      </c>
    </row>
    <row r="4246" spans="2:5" x14ac:dyDescent="0.2">
      <c r="B4246" s="533">
        <v>5080</v>
      </c>
      <c r="C4246" s="533" t="s">
        <v>2515</v>
      </c>
      <c r="D4246" s="656" t="s">
        <v>401</v>
      </c>
      <c r="E4246" s="534">
        <v>667.20001200000002</v>
      </c>
    </row>
    <row r="4247" spans="2:5" x14ac:dyDescent="0.2">
      <c r="B4247" s="533">
        <v>5081</v>
      </c>
      <c r="C4247" s="533" t="s">
        <v>3129</v>
      </c>
      <c r="D4247" s="656" t="s">
        <v>401</v>
      </c>
      <c r="E4247" s="534">
        <v>698.20001200000002</v>
      </c>
    </row>
    <row r="4248" spans="2:5" x14ac:dyDescent="0.2">
      <c r="B4248" s="533">
        <v>5082</v>
      </c>
      <c r="C4248" s="533" t="s">
        <v>3564</v>
      </c>
      <c r="D4248" s="656" t="s">
        <v>401</v>
      </c>
      <c r="E4248" s="534">
        <v>719.72499100000005</v>
      </c>
    </row>
    <row r="4249" spans="2:5" x14ac:dyDescent="0.2">
      <c r="B4249" s="533">
        <v>5083</v>
      </c>
      <c r="C4249" s="533" t="s">
        <v>3696</v>
      </c>
      <c r="D4249" s="656" t="s">
        <v>401</v>
      </c>
      <c r="E4249" s="534">
        <v>727.42857100000003</v>
      </c>
    </row>
    <row r="4250" spans="2:5" x14ac:dyDescent="0.2">
      <c r="B4250" s="533">
        <v>5084</v>
      </c>
      <c r="C4250" s="533" t="s">
        <v>7285</v>
      </c>
      <c r="D4250" s="656" t="s">
        <v>401</v>
      </c>
      <c r="E4250" s="534">
        <v>716.63999000000001</v>
      </c>
    </row>
    <row r="4251" spans="2:5" x14ac:dyDescent="0.2">
      <c r="B4251" s="533">
        <v>5085</v>
      </c>
      <c r="C4251" s="533" t="s">
        <v>4320</v>
      </c>
      <c r="D4251" s="656" t="s">
        <v>401</v>
      </c>
      <c r="E4251" s="534">
        <v>767.09000200000003</v>
      </c>
    </row>
    <row r="4252" spans="2:5" x14ac:dyDescent="0.2">
      <c r="B4252" s="533">
        <v>5086</v>
      </c>
      <c r="C4252" s="533" t="s">
        <v>3036</v>
      </c>
      <c r="D4252" s="656" t="s">
        <v>401</v>
      </c>
      <c r="E4252" s="534">
        <v>693.17501800000002</v>
      </c>
    </row>
    <row r="4253" spans="2:5" x14ac:dyDescent="0.2">
      <c r="B4253" s="533">
        <v>5087</v>
      </c>
      <c r="C4253" s="533" t="s">
        <v>3580</v>
      </c>
      <c r="D4253" s="656" t="s">
        <v>401</v>
      </c>
      <c r="E4253" s="534">
        <v>720.79998799999998</v>
      </c>
    </row>
    <row r="4254" spans="2:5" x14ac:dyDescent="0.2">
      <c r="B4254" s="533">
        <v>5088</v>
      </c>
      <c r="C4254" s="533" t="s">
        <v>4138</v>
      </c>
      <c r="D4254" s="656" t="s">
        <v>401</v>
      </c>
      <c r="E4254" s="534">
        <v>753.80000299999995</v>
      </c>
    </row>
    <row r="4255" spans="2:5" x14ac:dyDescent="0.2">
      <c r="B4255" s="533">
        <v>5089</v>
      </c>
      <c r="C4255" s="533" t="s">
        <v>401</v>
      </c>
      <c r="D4255" s="656" t="s">
        <v>401</v>
      </c>
      <c r="E4255" s="534">
        <v>699.97500100000002</v>
      </c>
    </row>
    <row r="4256" spans="2:5" x14ac:dyDescent="0.2">
      <c r="B4256" s="533">
        <v>5090</v>
      </c>
      <c r="C4256" s="533" t="s">
        <v>2546</v>
      </c>
      <c r="D4256" s="656" t="s">
        <v>401</v>
      </c>
      <c r="E4256" s="534">
        <v>668.629999</v>
      </c>
    </row>
    <row r="4257" spans="2:5" x14ac:dyDescent="0.2">
      <c r="B4257" s="533">
        <v>5091</v>
      </c>
      <c r="C4257" s="533" t="s">
        <v>2630</v>
      </c>
      <c r="D4257" s="656" t="s">
        <v>401</v>
      </c>
      <c r="E4257" s="534">
        <v>673.42666799999995</v>
      </c>
    </row>
    <row r="4258" spans="2:5" x14ac:dyDescent="0.2">
      <c r="B4258" s="533">
        <v>5092</v>
      </c>
      <c r="C4258" s="533" t="s">
        <v>3249</v>
      </c>
      <c r="D4258" s="656" t="s">
        <v>401</v>
      </c>
      <c r="E4258" s="534">
        <v>703.5</v>
      </c>
    </row>
    <row r="4259" spans="2:5" x14ac:dyDescent="0.2">
      <c r="B4259" s="533">
        <v>5093</v>
      </c>
      <c r="C4259" s="533" t="s">
        <v>6611</v>
      </c>
      <c r="D4259" s="656" t="s">
        <v>401</v>
      </c>
      <c r="E4259" s="534">
        <v>690.30000299999995</v>
      </c>
    </row>
    <row r="4260" spans="2:5" x14ac:dyDescent="0.2">
      <c r="B4260" s="533">
        <v>5094</v>
      </c>
      <c r="C4260" s="533" t="s">
        <v>409</v>
      </c>
      <c r="D4260" s="656" t="s">
        <v>401</v>
      </c>
      <c r="E4260" s="534">
        <v>723.29998799999998</v>
      </c>
    </row>
    <row r="4261" spans="2:5" x14ac:dyDescent="0.2">
      <c r="B4261" s="533">
        <v>5095</v>
      </c>
      <c r="C4261" s="533" t="s">
        <v>2987</v>
      </c>
      <c r="D4261" s="656" t="s">
        <v>401</v>
      </c>
      <c r="E4261" s="534">
        <v>690.40002400000003</v>
      </c>
    </row>
    <row r="4262" spans="2:5" x14ac:dyDescent="0.2">
      <c r="B4262" s="533">
        <v>5096</v>
      </c>
      <c r="C4262" s="533" t="s">
        <v>3991</v>
      </c>
      <c r="D4262" s="656" t="s">
        <v>401</v>
      </c>
      <c r="E4262" s="534">
        <v>744.8125</v>
      </c>
    </row>
    <row r="4263" spans="2:5" x14ac:dyDescent="0.2">
      <c r="B4263" s="533">
        <v>5097</v>
      </c>
      <c r="C4263" s="533" t="s">
        <v>3267</v>
      </c>
      <c r="D4263" s="656" t="s">
        <v>401</v>
      </c>
      <c r="E4263" s="534">
        <v>704.41249100000005</v>
      </c>
    </row>
    <row r="4264" spans="2:5" x14ac:dyDescent="0.2">
      <c r="B4264" s="533">
        <v>5098</v>
      </c>
      <c r="C4264" s="533" t="s">
        <v>3405</v>
      </c>
      <c r="D4264" s="656" t="s">
        <v>401</v>
      </c>
      <c r="E4264" s="534">
        <v>711.94999700000005</v>
      </c>
    </row>
    <row r="4265" spans="2:5" x14ac:dyDescent="0.2">
      <c r="B4265" s="533">
        <v>5099</v>
      </c>
      <c r="C4265" s="533" t="s">
        <v>4252</v>
      </c>
      <c r="D4265" s="656" t="s">
        <v>401</v>
      </c>
      <c r="E4265" s="534">
        <v>761.98332700000003</v>
      </c>
    </row>
    <row r="4266" spans="2:5" x14ac:dyDescent="0.2">
      <c r="B4266" s="533">
        <v>5100</v>
      </c>
      <c r="C4266" s="533" t="s">
        <v>3521</v>
      </c>
      <c r="D4266" s="656" t="s">
        <v>401</v>
      </c>
      <c r="E4266" s="534">
        <v>717.90000399999997</v>
      </c>
    </row>
    <row r="4267" spans="2:5" x14ac:dyDescent="0.2">
      <c r="B4267" s="533">
        <v>5101</v>
      </c>
      <c r="C4267" s="533" t="s">
        <v>4742</v>
      </c>
      <c r="D4267" s="656" t="s">
        <v>401</v>
      </c>
      <c r="E4267" s="534">
        <v>799.84000200000003</v>
      </c>
    </row>
    <row r="4268" spans="2:5" x14ac:dyDescent="0.2">
      <c r="B4268" s="533">
        <v>5102</v>
      </c>
      <c r="C4268" s="533" t="s">
        <v>3935</v>
      </c>
      <c r="D4268" s="656" t="s">
        <v>401</v>
      </c>
      <c r="E4268" s="534">
        <v>741.385716</v>
      </c>
    </row>
    <row r="4269" spans="2:5" x14ac:dyDescent="0.2">
      <c r="B4269" s="533">
        <v>5103</v>
      </c>
      <c r="C4269" s="533" t="s">
        <v>6532</v>
      </c>
      <c r="D4269" s="656" t="s">
        <v>401</v>
      </c>
      <c r="E4269" s="534">
        <v>818.59999600000003</v>
      </c>
    </row>
    <row r="4270" spans="2:5" x14ac:dyDescent="0.2">
      <c r="B4270" s="533">
        <v>5104</v>
      </c>
      <c r="C4270" s="533" t="s">
        <v>5043</v>
      </c>
      <c r="D4270" s="656" t="s">
        <v>401</v>
      </c>
      <c r="E4270" s="534">
        <v>828.54999499999997</v>
      </c>
    </row>
    <row r="4271" spans="2:5" x14ac:dyDescent="0.2">
      <c r="B4271" s="533">
        <v>5105</v>
      </c>
      <c r="C4271" s="533" t="s">
        <v>5328</v>
      </c>
      <c r="D4271" s="656" t="s">
        <v>401</v>
      </c>
      <c r="E4271" s="534">
        <v>868.79999799999996</v>
      </c>
    </row>
    <row r="4272" spans="2:5" x14ac:dyDescent="0.2">
      <c r="B4272" s="533">
        <v>5106</v>
      </c>
      <c r="C4272" s="533" t="s">
        <v>775</v>
      </c>
      <c r="D4272" s="656" t="s">
        <v>401</v>
      </c>
      <c r="E4272" s="534">
        <v>731.32857000000001</v>
      </c>
    </row>
    <row r="4273" spans="2:5" x14ac:dyDescent="0.2">
      <c r="B4273" s="533">
        <v>5107</v>
      </c>
      <c r="C4273" s="533" t="s">
        <v>4968</v>
      </c>
      <c r="D4273" s="656" t="s">
        <v>401</v>
      </c>
      <c r="E4273" s="534">
        <v>819.94999700000005</v>
      </c>
    </row>
    <row r="4274" spans="2:5" x14ac:dyDescent="0.2">
      <c r="B4274" s="533">
        <v>5108</v>
      </c>
      <c r="C4274" s="533" t="s">
        <v>4919</v>
      </c>
      <c r="D4274" s="656" t="s">
        <v>401</v>
      </c>
      <c r="E4274" s="534">
        <v>814.82501200000002</v>
      </c>
    </row>
    <row r="4275" spans="2:5" x14ac:dyDescent="0.2">
      <c r="B4275" s="533">
        <v>5109</v>
      </c>
      <c r="C4275" s="533" t="s">
        <v>5809</v>
      </c>
      <c r="D4275" s="656" t="s">
        <v>401</v>
      </c>
      <c r="E4275" s="534">
        <v>970.99999300000002</v>
      </c>
    </row>
    <row r="4276" spans="2:5" x14ac:dyDescent="0.2">
      <c r="B4276" s="533">
        <v>5110</v>
      </c>
      <c r="C4276" s="533" t="s">
        <v>5254</v>
      </c>
      <c r="D4276" s="656" t="s">
        <v>401</v>
      </c>
      <c r="E4276" s="534">
        <v>855.70001200000002</v>
      </c>
    </row>
    <row r="4277" spans="2:5" x14ac:dyDescent="0.2">
      <c r="B4277" s="533">
        <v>5111</v>
      </c>
      <c r="C4277" s="533" t="s">
        <v>4700</v>
      </c>
      <c r="D4277" s="656" t="s">
        <v>401</v>
      </c>
      <c r="E4277" s="534">
        <v>796.71538399999997</v>
      </c>
    </row>
    <row r="4278" spans="2:5" x14ac:dyDescent="0.2">
      <c r="B4278" s="533">
        <v>5112</v>
      </c>
      <c r="C4278" s="533" t="s">
        <v>5373</v>
      </c>
      <c r="D4278" s="656" t="s">
        <v>401</v>
      </c>
      <c r="E4278" s="534">
        <v>875.6875</v>
      </c>
    </row>
    <row r="4279" spans="2:5" x14ac:dyDescent="0.2">
      <c r="B4279" s="533">
        <v>5113</v>
      </c>
      <c r="C4279" s="533" t="s">
        <v>6956</v>
      </c>
      <c r="D4279" s="656" t="s">
        <v>401</v>
      </c>
      <c r="E4279" s="534">
        <v>944.34999600000003</v>
      </c>
    </row>
    <row r="4280" spans="2:5" x14ac:dyDescent="0.2">
      <c r="B4280" s="533">
        <v>5114</v>
      </c>
      <c r="C4280" s="533" t="s">
        <v>5343</v>
      </c>
      <c r="D4280" s="656" t="s">
        <v>401</v>
      </c>
      <c r="E4280" s="534">
        <v>994.54737299999999</v>
      </c>
    </row>
    <row r="4281" spans="2:5" x14ac:dyDescent="0.2">
      <c r="B4281" s="533">
        <v>5115</v>
      </c>
      <c r="C4281" s="533" t="s">
        <v>6702</v>
      </c>
      <c r="D4281" s="656" t="s">
        <v>401</v>
      </c>
      <c r="E4281" s="534">
        <v>999.01667299999997</v>
      </c>
    </row>
    <row r="4282" spans="2:5" x14ac:dyDescent="0.2">
      <c r="B4282" s="533">
        <v>5116</v>
      </c>
      <c r="C4282" s="533" t="s">
        <v>6060</v>
      </c>
      <c r="D4282" s="656" t="s">
        <v>401</v>
      </c>
      <c r="E4282" s="534">
        <v>1092.125006</v>
      </c>
    </row>
    <row r="4283" spans="2:5" x14ac:dyDescent="0.2">
      <c r="B4283" s="533">
        <v>5117</v>
      </c>
      <c r="C4283" s="533" t="s">
        <v>6142</v>
      </c>
      <c r="D4283" s="656" t="s">
        <v>401</v>
      </c>
      <c r="E4283" s="534">
        <v>1153.3929740000001</v>
      </c>
    </row>
    <row r="4284" spans="2:5" x14ac:dyDescent="0.2">
      <c r="B4284" s="533">
        <v>5118</v>
      </c>
      <c r="C4284" s="533" t="s">
        <v>3335</v>
      </c>
      <c r="D4284" s="656" t="s">
        <v>401</v>
      </c>
      <c r="E4284" s="534">
        <v>707.94546200000002</v>
      </c>
    </row>
    <row r="4285" spans="2:5" x14ac:dyDescent="0.2">
      <c r="B4285" s="533">
        <v>5119</v>
      </c>
      <c r="C4285" s="533" t="s">
        <v>2815</v>
      </c>
      <c r="D4285" s="656" t="s">
        <v>401</v>
      </c>
      <c r="E4285" s="534">
        <v>682.27999299999999</v>
      </c>
    </row>
    <row r="4286" spans="2:5" x14ac:dyDescent="0.2">
      <c r="B4286" s="533">
        <v>5120</v>
      </c>
      <c r="C4286" s="533" t="s">
        <v>2561</v>
      </c>
      <c r="D4286" s="656" t="s">
        <v>401</v>
      </c>
      <c r="E4286" s="534">
        <v>669.125</v>
      </c>
    </row>
    <row r="4287" spans="2:5" x14ac:dyDescent="0.2">
      <c r="B4287" s="533">
        <v>5121</v>
      </c>
      <c r="C4287" s="533" t="s">
        <v>2875</v>
      </c>
      <c r="D4287" s="656" t="s">
        <v>401</v>
      </c>
      <c r="E4287" s="534">
        <v>685.40909099999999</v>
      </c>
    </row>
    <row r="4288" spans="2:5" x14ac:dyDescent="0.2">
      <c r="B4288" s="533">
        <v>5122</v>
      </c>
      <c r="C4288" s="533" t="s">
        <v>2220</v>
      </c>
      <c r="D4288" s="656" t="s">
        <v>401</v>
      </c>
      <c r="E4288" s="534">
        <v>654.27999299999999</v>
      </c>
    </row>
    <row r="4289" spans="2:5" x14ac:dyDescent="0.2">
      <c r="B4289" s="533">
        <v>5123</v>
      </c>
      <c r="C4289" s="533" t="s">
        <v>2319</v>
      </c>
      <c r="D4289" s="656" t="s">
        <v>401</v>
      </c>
      <c r="E4289" s="534">
        <v>668.04999799999996</v>
      </c>
    </row>
    <row r="4290" spans="2:5" x14ac:dyDescent="0.2">
      <c r="B4290" s="533">
        <v>5124</v>
      </c>
      <c r="C4290" s="533" t="s">
        <v>2231</v>
      </c>
      <c r="D4290" s="656" t="s">
        <v>401</v>
      </c>
      <c r="E4290" s="534">
        <v>663.26666299999999</v>
      </c>
    </row>
    <row r="4291" spans="2:5" x14ac:dyDescent="0.2">
      <c r="B4291" s="533">
        <v>5125</v>
      </c>
      <c r="C4291" s="533" t="s">
        <v>1454</v>
      </c>
      <c r="D4291" s="656" t="s">
        <v>401</v>
      </c>
      <c r="E4291" s="534">
        <v>765.36429299999998</v>
      </c>
    </row>
    <row r="4292" spans="2:5" x14ac:dyDescent="0.2">
      <c r="B4292" s="533">
        <v>5126</v>
      </c>
      <c r="C4292" s="533" t="s">
        <v>4204</v>
      </c>
      <c r="D4292" s="656" t="s">
        <v>401</v>
      </c>
      <c r="E4292" s="534">
        <v>758.47500600000001</v>
      </c>
    </row>
    <row r="4293" spans="2:5" x14ac:dyDescent="0.2">
      <c r="B4293" s="533">
        <v>5127</v>
      </c>
      <c r="C4293" s="533" t="s">
        <v>4452</v>
      </c>
      <c r="D4293" s="656" t="s">
        <v>401</v>
      </c>
      <c r="E4293" s="534">
        <v>777.48181199999999</v>
      </c>
    </row>
    <row r="4294" spans="2:5" x14ac:dyDescent="0.2">
      <c r="B4294" s="533">
        <v>5128</v>
      </c>
      <c r="C4294" s="533" t="s">
        <v>7499</v>
      </c>
      <c r="D4294" s="656" t="s">
        <v>401</v>
      </c>
      <c r="E4294" s="534">
        <v>767.16666699999996</v>
      </c>
    </row>
    <row r="4295" spans="2:5" x14ac:dyDescent="0.2">
      <c r="B4295" s="533">
        <v>5129</v>
      </c>
      <c r="C4295" s="533" t="s">
        <v>4319</v>
      </c>
      <c r="D4295" s="656" t="s">
        <v>401</v>
      </c>
      <c r="E4295" s="534">
        <v>767.01667299999997</v>
      </c>
    </row>
    <row r="4296" spans="2:5" x14ac:dyDescent="0.2">
      <c r="B4296" s="533">
        <v>5130</v>
      </c>
      <c r="C4296" s="533" t="s">
        <v>3510</v>
      </c>
      <c r="D4296" s="656" t="s">
        <v>401</v>
      </c>
      <c r="E4296" s="534">
        <v>717.24615900000003</v>
      </c>
    </row>
    <row r="4297" spans="2:5" x14ac:dyDescent="0.2">
      <c r="B4297" s="533">
        <v>5131</v>
      </c>
      <c r="C4297" s="533" t="s">
        <v>1195</v>
      </c>
      <c r="D4297" s="656" t="s">
        <v>401</v>
      </c>
      <c r="E4297" s="534">
        <v>761.01428699999997</v>
      </c>
    </row>
    <row r="4298" spans="2:5" x14ac:dyDescent="0.2">
      <c r="B4298" s="533">
        <v>5133</v>
      </c>
      <c r="C4298" s="533" t="s">
        <v>5035</v>
      </c>
      <c r="D4298" s="656" t="s">
        <v>401</v>
      </c>
      <c r="E4298" s="534">
        <v>827.57501200000002</v>
      </c>
    </row>
    <row r="4299" spans="2:5" x14ac:dyDescent="0.2">
      <c r="B4299" s="533">
        <v>5134</v>
      </c>
      <c r="C4299" s="533" t="s">
        <v>1732</v>
      </c>
      <c r="D4299" s="656" t="s">
        <v>401</v>
      </c>
      <c r="E4299" s="534">
        <v>765.74999700000001</v>
      </c>
    </row>
    <row r="4300" spans="2:5" x14ac:dyDescent="0.2">
      <c r="B4300" s="533">
        <v>5135</v>
      </c>
      <c r="C4300" s="533" t="s">
        <v>2172</v>
      </c>
      <c r="D4300" s="656" t="s">
        <v>401</v>
      </c>
      <c r="E4300" s="534">
        <v>822.00768600000004</v>
      </c>
    </row>
    <row r="4301" spans="2:5" x14ac:dyDescent="0.2">
      <c r="B4301" s="533">
        <v>5136</v>
      </c>
      <c r="C4301" s="533" t="s">
        <v>5343</v>
      </c>
      <c r="D4301" s="656" t="s">
        <v>401</v>
      </c>
      <c r="E4301" s="534">
        <v>870.70588199999997</v>
      </c>
    </row>
    <row r="4302" spans="2:5" x14ac:dyDescent="0.2">
      <c r="B4302" s="533">
        <v>5137</v>
      </c>
      <c r="C4302" s="533" t="s">
        <v>1488</v>
      </c>
      <c r="D4302" s="656" t="s">
        <v>401</v>
      </c>
      <c r="E4302" s="534">
        <v>842.76363300000003</v>
      </c>
    </row>
    <row r="4303" spans="2:5" x14ac:dyDescent="0.2">
      <c r="B4303" s="533">
        <v>5138</v>
      </c>
      <c r="C4303" s="533" t="s">
        <v>5258</v>
      </c>
      <c r="D4303" s="656" t="s">
        <v>401</v>
      </c>
      <c r="E4303" s="534">
        <v>856.32499700000005</v>
      </c>
    </row>
    <row r="4304" spans="2:5" x14ac:dyDescent="0.2">
      <c r="B4304" s="533">
        <v>5139</v>
      </c>
      <c r="C4304" s="533" t="s">
        <v>1588</v>
      </c>
      <c r="D4304" s="656" t="s">
        <v>401</v>
      </c>
      <c r="E4304" s="534">
        <v>838.53635499999996</v>
      </c>
    </row>
    <row r="4305" spans="2:5" x14ac:dyDescent="0.2">
      <c r="B4305" s="533">
        <v>5140</v>
      </c>
      <c r="C4305" s="533" t="s">
        <v>4938</v>
      </c>
      <c r="D4305" s="656" t="s">
        <v>401</v>
      </c>
      <c r="E4305" s="534">
        <v>816.32812699999999</v>
      </c>
    </row>
    <row r="4306" spans="2:5" x14ac:dyDescent="0.2">
      <c r="B4306" s="533">
        <v>5141</v>
      </c>
      <c r="C4306" s="533" t="s">
        <v>2843</v>
      </c>
      <c r="D4306" s="656" t="s">
        <v>401</v>
      </c>
      <c r="E4306" s="534">
        <v>684.02999899999998</v>
      </c>
    </row>
    <row r="4307" spans="2:5" x14ac:dyDescent="0.2">
      <c r="B4307" s="533">
        <v>5142</v>
      </c>
      <c r="C4307" s="533" t="s">
        <v>2587</v>
      </c>
      <c r="D4307" s="656" t="s">
        <v>401</v>
      </c>
      <c r="E4307" s="534">
        <v>670.56666399999995</v>
      </c>
    </row>
    <row r="4308" spans="2:5" x14ac:dyDescent="0.2">
      <c r="B4308" s="533">
        <v>5143</v>
      </c>
      <c r="C4308" s="533" t="s">
        <v>7026</v>
      </c>
      <c r="D4308" s="656" t="s">
        <v>401</v>
      </c>
      <c r="E4308" s="534">
        <v>663.79998799999998</v>
      </c>
    </row>
    <row r="4309" spans="2:5" x14ac:dyDescent="0.2">
      <c r="B4309" s="533">
        <v>5144</v>
      </c>
      <c r="C4309" s="533" t="s">
        <v>3494</v>
      </c>
      <c r="D4309" s="656" t="s">
        <v>401</v>
      </c>
      <c r="E4309" s="534">
        <v>716.16665999999998</v>
      </c>
    </row>
    <row r="4310" spans="2:5" x14ac:dyDescent="0.2">
      <c r="B4310" s="533">
        <v>5145</v>
      </c>
      <c r="C4310" s="533" t="s">
        <v>3244</v>
      </c>
      <c r="D4310" s="656" t="s">
        <v>401</v>
      </c>
      <c r="E4310" s="534">
        <v>703.35714299999995</v>
      </c>
    </row>
    <row r="4311" spans="2:5" x14ac:dyDescent="0.2">
      <c r="B4311" s="533">
        <v>5146</v>
      </c>
      <c r="C4311" s="533" t="s">
        <v>1005</v>
      </c>
      <c r="D4311" s="656" t="s">
        <v>401</v>
      </c>
      <c r="E4311" s="534">
        <v>739.23332700000003</v>
      </c>
    </row>
    <row r="4312" spans="2:5" x14ac:dyDescent="0.2">
      <c r="B4312" s="533">
        <v>5147</v>
      </c>
      <c r="C4312" s="533" t="s">
        <v>3072</v>
      </c>
      <c r="D4312" s="656" t="s">
        <v>401</v>
      </c>
      <c r="E4312" s="534">
        <v>695.16668700000002</v>
      </c>
    </row>
    <row r="4313" spans="2:5" x14ac:dyDescent="0.2">
      <c r="B4313" s="533">
        <v>5148</v>
      </c>
      <c r="C4313" s="533" t="s">
        <v>3131</v>
      </c>
      <c r="D4313" s="656" t="s">
        <v>401</v>
      </c>
      <c r="E4313" s="534">
        <v>698.29090499999995</v>
      </c>
    </row>
    <row r="4314" spans="2:5" x14ac:dyDescent="0.2">
      <c r="B4314" s="533">
        <v>5149</v>
      </c>
      <c r="C4314" s="533" t="s">
        <v>4539</v>
      </c>
      <c r="D4314" s="656" t="s">
        <v>401</v>
      </c>
      <c r="E4314" s="534">
        <v>783.81764799999996</v>
      </c>
    </row>
    <row r="4315" spans="2:5" x14ac:dyDescent="0.2">
      <c r="B4315" s="533">
        <v>5150</v>
      </c>
      <c r="C4315" s="533" t="s">
        <v>7260</v>
      </c>
      <c r="D4315" s="656" t="s">
        <v>401</v>
      </c>
      <c r="E4315" s="534">
        <v>761.35000600000001</v>
      </c>
    </row>
    <row r="4316" spans="2:5" x14ac:dyDescent="0.2">
      <c r="B4316" s="533">
        <v>5151</v>
      </c>
      <c r="C4316" s="533" t="s">
        <v>4531</v>
      </c>
      <c r="D4316" s="656" t="s">
        <v>401</v>
      </c>
      <c r="E4316" s="534">
        <v>782.95001200000002</v>
      </c>
    </row>
    <row r="4317" spans="2:5" x14ac:dyDescent="0.2">
      <c r="B4317" s="533">
        <v>5152</v>
      </c>
      <c r="C4317" s="533" t="s">
        <v>4924</v>
      </c>
      <c r="D4317" s="656" t="s">
        <v>401</v>
      </c>
      <c r="E4317" s="534">
        <v>815.13332100000002</v>
      </c>
    </row>
    <row r="4318" spans="2:5" x14ac:dyDescent="0.2">
      <c r="B4318" s="533">
        <v>5153</v>
      </c>
      <c r="C4318" s="533" t="s">
        <v>4812</v>
      </c>
      <c r="D4318" s="656" t="s">
        <v>401</v>
      </c>
      <c r="E4318" s="534">
        <v>805.30001800000002</v>
      </c>
    </row>
    <row r="4319" spans="2:5" x14ac:dyDescent="0.2">
      <c r="B4319" s="533">
        <v>5154</v>
      </c>
      <c r="C4319" s="533" t="s">
        <v>1353</v>
      </c>
      <c r="D4319" s="656" t="s">
        <v>401</v>
      </c>
      <c r="E4319" s="534">
        <v>746.04166199999997</v>
      </c>
    </row>
    <row r="4320" spans="2:5" x14ac:dyDescent="0.2">
      <c r="B4320" s="533">
        <v>5155</v>
      </c>
      <c r="C4320" s="533" t="s">
        <v>4367</v>
      </c>
      <c r="D4320" s="656" t="s">
        <v>401</v>
      </c>
      <c r="E4320" s="534">
        <v>770.240002</v>
      </c>
    </row>
    <row r="4321" spans="2:5" x14ac:dyDescent="0.2">
      <c r="B4321" s="533">
        <v>5156</v>
      </c>
      <c r="C4321" s="533" t="s">
        <v>3124</v>
      </c>
      <c r="D4321" s="656" t="s">
        <v>401</v>
      </c>
      <c r="E4321" s="534">
        <v>732.76666299999999</v>
      </c>
    </row>
    <row r="4322" spans="2:5" x14ac:dyDescent="0.2">
      <c r="B4322" s="533">
        <v>5157</v>
      </c>
      <c r="C4322" s="533" t="s">
        <v>2504</v>
      </c>
      <c r="D4322" s="656" t="s">
        <v>401</v>
      </c>
      <c r="E4322" s="534">
        <v>778.92500299999995</v>
      </c>
    </row>
    <row r="4323" spans="2:5" x14ac:dyDescent="0.2">
      <c r="B4323" s="533">
        <v>5158</v>
      </c>
      <c r="C4323" s="533" t="s">
        <v>4118</v>
      </c>
      <c r="D4323" s="656" t="s">
        <v>401</v>
      </c>
      <c r="E4323" s="534">
        <v>752.37142500000004</v>
      </c>
    </row>
    <row r="4324" spans="2:5" x14ac:dyDescent="0.2">
      <c r="B4324" s="533">
        <v>5159</v>
      </c>
      <c r="C4324" s="533" t="s">
        <v>691</v>
      </c>
      <c r="D4324" s="656" t="s">
        <v>401</v>
      </c>
      <c r="E4324" s="534">
        <v>699</v>
      </c>
    </row>
    <row r="4325" spans="2:5" x14ac:dyDescent="0.2">
      <c r="B4325" s="533">
        <v>5160</v>
      </c>
      <c r="C4325" s="533" t="s">
        <v>4323</v>
      </c>
      <c r="D4325" s="656" t="s">
        <v>401</v>
      </c>
      <c r="E4325" s="534">
        <v>767.16666699999996</v>
      </c>
    </row>
    <row r="4326" spans="2:5" x14ac:dyDescent="0.2">
      <c r="B4326" s="533">
        <v>5161</v>
      </c>
      <c r="C4326" s="533" t="s">
        <v>3885</v>
      </c>
      <c r="D4326" s="656" t="s">
        <v>401</v>
      </c>
      <c r="E4326" s="534">
        <v>738.25</v>
      </c>
    </row>
    <row r="4327" spans="2:5" x14ac:dyDescent="0.2">
      <c r="B4327" s="533">
        <v>5162</v>
      </c>
      <c r="C4327" s="533" t="s">
        <v>4357</v>
      </c>
      <c r="D4327" s="656" t="s">
        <v>401</v>
      </c>
      <c r="E4327" s="534">
        <v>769.51818300000002</v>
      </c>
    </row>
    <row r="4328" spans="2:5" x14ac:dyDescent="0.2">
      <c r="B4328" s="533">
        <v>5163</v>
      </c>
      <c r="C4328" s="533" t="s">
        <v>4104</v>
      </c>
      <c r="D4328" s="656" t="s">
        <v>401</v>
      </c>
      <c r="E4328" s="534">
        <v>751.58572000000004</v>
      </c>
    </row>
    <row r="4329" spans="2:5" x14ac:dyDescent="0.2">
      <c r="B4329" s="533">
        <v>5164</v>
      </c>
      <c r="C4329" s="533" t="s">
        <v>2116</v>
      </c>
      <c r="D4329" s="656" t="s">
        <v>401</v>
      </c>
      <c r="E4329" s="534">
        <v>795.07499700000005</v>
      </c>
    </row>
    <row r="4330" spans="2:5" x14ac:dyDescent="0.2">
      <c r="B4330" s="533">
        <v>5165</v>
      </c>
      <c r="C4330" s="533" t="s">
        <v>3095</v>
      </c>
      <c r="D4330" s="656" t="s">
        <v>401</v>
      </c>
      <c r="E4330" s="534">
        <v>844.37778000000003</v>
      </c>
    </row>
    <row r="4331" spans="2:5" x14ac:dyDescent="0.2">
      <c r="B4331" s="533">
        <v>5166</v>
      </c>
      <c r="C4331" s="533" t="s">
        <v>3335</v>
      </c>
      <c r="D4331" s="656" t="s">
        <v>401</v>
      </c>
      <c r="E4331" s="534">
        <v>826.79998799999998</v>
      </c>
    </row>
    <row r="4332" spans="2:5" x14ac:dyDescent="0.2">
      <c r="B4332" s="533">
        <v>5167</v>
      </c>
      <c r="C4332" s="533" t="s">
        <v>5054</v>
      </c>
      <c r="D4332" s="656" t="s">
        <v>401</v>
      </c>
      <c r="E4332" s="534">
        <v>829.59998599999994</v>
      </c>
    </row>
    <row r="4333" spans="2:5" x14ac:dyDescent="0.2">
      <c r="B4333" s="533">
        <v>5168</v>
      </c>
      <c r="C4333" s="533" t="s">
        <v>6498</v>
      </c>
      <c r="D4333" s="656" t="s">
        <v>401</v>
      </c>
      <c r="E4333" s="534">
        <v>810.05000299999995</v>
      </c>
    </row>
    <row r="4334" spans="2:5" x14ac:dyDescent="0.2">
      <c r="B4334" s="533">
        <v>5169</v>
      </c>
      <c r="C4334" s="533" t="s">
        <v>5249</v>
      </c>
      <c r="D4334" s="656" t="s">
        <v>401</v>
      </c>
      <c r="E4334" s="534">
        <v>854.64999399999999</v>
      </c>
    </row>
    <row r="4335" spans="2:5" x14ac:dyDescent="0.2">
      <c r="B4335" s="533">
        <v>5170</v>
      </c>
      <c r="C4335" s="533" t="s">
        <v>7580</v>
      </c>
      <c r="D4335" s="656" t="s">
        <v>401</v>
      </c>
      <c r="E4335" s="534">
        <v>799.133331</v>
      </c>
    </row>
    <row r="4336" spans="2:5" x14ac:dyDescent="0.2">
      <c r="B4336" s="533">
        <v>5171</v>
      </c>
      <c r="C4336" s="533" t="s">
        <v>5685</v>
      </c>
      <c r="D4336" s="656" t="s">
        <v>401</v>
      </c>
      <c r="E4336" s="534">
        <v>937.21332199999995</v>
      </c>
    </row>
    <row r="4337" spans="2:5" x14ac:dyDescent="0.2">
      <c r="B4337" s="533">
        <v>5172</v>
      </c>
      <c r="C4337" s="533" t="s">
        <v>4944</v>
      </c>
      <c r="D4337" s="656" t="s">
        <v>401</v>
      </c>
      <c r="E4337" s="534">
        <v>816.77500899999995</v>
      </c>
    </row>
    <row r="4338" spans="2:5" x14ac:dyDescent="0.2">
      <c r="B4338" s="533">
        <v>5173</v>
      </c>
      <c r="C4338" s="533" t="s">
        <v>5474</v>
      </c>
      <c r="D4338" s="656" t="s">
        <v>401</v>
      </c>
      <c r="E4338" s="534">
        <v>893.45555999999999</v>
      </c>
    </row>
    <row r="4339" spans="2:5" x14ac:dyDescent="0.2">
      <c r="B4339" s="533">
        <v>5201</v>
      </c>
      <c r="C4339" s="533" t="s">
        <v>3391</v>
      </c>
      <c r="D4339" s="656" t="s">
        <v>398</v>
      </c>
      <c r="E4339" s="534">
        <v>710.93335000000002</v>
      </c>
    </row>
    <row r="4340" spans="2:5" x14ac:dyDescent="0.2">
      <c r="B4340" s="533">
        <v>5202</v>
      </c>
      <c r="C4340" s="533" t="s">
        <v>3484</v>
      </c>
      <c r="D4340" s="656" t="s">
        <v>398</v>
      </c>
      <c r="E4340" s="534">
        <v>715.72222199999999</v>
      </c>
    </row>
    <row r="4341" spans="2:5" x14ac:dyDescent="0.2">
      <c r="B4341" s="533">
        <v>5203</v>
      </c>
      <c r="C4341" s="533" t="s">
        <v>2258</v>
      </c>
      <c r="D4341" s="656" t="s">
        <v>398</v>
      </c>
      <c r="E4341" s="534">
        <v>656.01537599999995</v>
      </c>
    </row>
    <row r="4342" spans="2:5" x14ac:dyDescent="0.2">
      <c r="B4342" s="533">
        <v>5204</v>
      </c>
      <c r="C4342" s="533" t="s">
        <v>3293</v>
      </c>
      <c r="D4342" s="656" t="s">
        <v>398</v>
      </c>
      <c r="E4342" s="534">
        <v>706.14000899999996</v>
      </c>
    </row>
    <row r="4343" spans="2:5" x14ac:dyDescent="0.2">
      <c r="B4343" s="533">
        <v>5205</v>
      </c>
      <c r="C4343" s="533" t="s">
        <v>1961</v>
      </c>
      <c r="D4343" s="656" t="s">
        <v>398</v>
      </c>
      <c r="E4343" s="534">
        <v>642.36665900000003</v>
      </c>
    </row>
    <row r="4344" spans="2:5" x14ac:dyDescent="0.2">
      <c r="B4344" s="533">
        <v>5206</v>
      </c>
      <c r="C4344" s="533" t="s">
        <v>2438</v>
      </c>
      <c r="D4344" s="656" t="s">
        <v>398</v>
      </c>
      <c r="E4344" s="534">
        <v>664.08749399999999</v>
      </c>
    </row>
    <row r="4345" spans="2:5" x14ac:dyDescent="0.2">
      <c r="B4345" s="533">
        <v>5207</v>
      </c>
      <c r="C4345" s="533" t="s">
        <v>2029</v>
      </c>
      <c r="D4345" s="656" t="s">
        <v>398</v>
      </c>
      <c r="E4345" s="534">
        <v>644.69999700000005</v>
      </c>
    </row>
    <row r="4346" spans="2:5" x14ac:dyDescent="0.2">
      <c r="B4346" s="533">
        <v>5208</v>
      </c>
      <c r="C4346" s="533" t="s">
        <v>1482</v>
      </c>
      <c r="D4346" s="656" t="s">
        <v>398</v>
      </c>
      <c r="E4346" s="534">
        <v>619.67498799999998</v>
      </c>
    </row>
    <row r="4347" spans="2:5" x14ac:dyDescent="0.2">
      <c r="B4347" s="533">
        <v>5209</v>
      </c>
      <c r="C4347" s="533" t="s">
        <v>4045</v>
      </c>
      <c r="D4347" s="656" t="s">
        <v>398</v>
      </c>
      <c r="E4347" s="534">
        <v>748.59997599999997</v>
      </c>
    </row>
    <row r="4348" spans="2:5" x14ac:dyDescent="0.2">
      <c r="B4348" s="533">
        <v>5210</v>
      </c>
      <c r="C4348" s="533" t="s">
        <v>2444</v>
      </c>
      <c r="D4348" s="656" t="s">
        <v>398</v>
      </c>
      <c r="E4348" s="534">
        <v>664.15000899999995</v>
      </c>
    </row>
    <row r="4349" spans="2:5" x14ac:dyDescent="0.2">
      <c r="B4349" s="533">
        <v>5211</v>
      </c>
      <c r="C4349" s="533" t="s">
        <v>3542</v>
      </c>
      <c r="D4349" s="656" t="s">
        <v>398</v>
      </c>
      <c r="E4349" s="534">
        <v>718.83333300000004</v>
      </c>
    </row>
    <row r="4350" spans="2:5" x14ac:dyDescent="0.2">
      <c r="B4350" s="533">
        <v>5212</v>
      </c>
      <c r="C4350" s="533" t="s">
        <v>4562</v>
      </c>
      <c r="D4350" s="656" t="s">
        <v>398</v>
      </c>
      <c r="E4350" s="534">
        <v>785.94375200000002</v>
      </c>
    </row>
    <row r="4351" spans="2:5" x14ac:dyDescent="0.2">
      <c r="B4351" s="533">
        <v>5213</v>
      </c>
      <c r="C4351" s="533" t="s">
        <v>4768</v>
      </c>
      <c r="D4351" s="656" t="s">
        <v>398</v>
      </c>
      <c r="E4351" s="534">
        <v>802.07777899999996</v>
      </c>
    </row>
    <row r="4352" spans="2:5" x14ac:dyDescent="0.2">
      <c r="B4352" s="533">
        <v>5215</v>
      </c>
      <c r="C4352" s="533" t="s">
        <v>1923</v>
      </c>
      <c r="D4352" s="656" t="s">
        <v>398</v>
      </c>
      <c r="E4352" s="534">
        <v>641.29998799999998</v>
      </c>
    </row>
    <row r="4353" spans="2:5" x14ac:dyDescent="0.2">
      <c r="B4353" s="533">
        <v>5216</v>
      </c>
      <c r="C4353" s="533" t="s">
        <v>3103</v>
      </c>
      <c r="D4353" s="656" t="s">
        <v>398</v>
      </c>
      <c r="E4353" s="534">
        <v>696.77222400000005</v>
      </c>
    </row>
    <row r="4354" spans="2:5" x14ac:dyDescent="0.2">
      <c r="B4354" s="533">
        <v>5217</v>
      </c>
      <c r="C4354" s="533" t="s">
        <v>1762</v>
      </c>
      <c r="D4354" s="656" t="s">
        <v>398</v>
      </c>
      <c r="E4354" s="534">
        <v>635.088888</v>
      </c>
    </row>
    <row r="4355" spans="2:5" x14ac:dyDescent="0.2">
      <c r="B4355" s="533">
        <v>5218</v>
      </c>
      <c r="C4355" s="533" t="s">
        <v>2797</v>
      </c>
      <c r="D4355" s="656" t="s">
        <v>398</v>
      </c>
      <c r="E4355" s="534">
        <v>681.5</v>
      </c>
    </row>
    <row r="4356" spans="2:5" x14ac:dyDescent="0.2">
      <c r="B4356" s="533">
        <v>5219</v>
      </c>
      <c r="C4356" s="533" t="s">
        <v>1774</v>
      </c>
      <c r="D4356" s="656" t="s">
        <v>398</v>
      </c>
      <c r="E4356" s="534">
        <v>688.133331</v>
      </c>
    </row>
    <row r="4357" spans="2:5" x14ac:dyDescent="0.2">
      <c r="B4357" s="533">
        <v>5220</v>
      </c>
      <c r="C4357" s="533" t="s">
        <v>2049</v>
      </c>
      <c r="D4357" s="656" t="s">
        <v>398</v>
      </c>
      <c r="E4357" s="534">
        <v>645.84286899999995</v>
      </c>
    </row>
    <row r="4358" spans="2:5" x14ac:dyDescent="0.2">
      <c r="B4358" s="533">
        <v>5221</v>
      </c>
      <c r="C4358" s="533" t="s">
        <v>1334</v>
      </c>
      <c r="D4358" s="656" t="s">
        <v>398</v>
      </c>
      <c r="E4358" s="534">
        <v>612.08333800000003</v>
      </c>
    </row>
    <row r="4359" spans="2:5" x14ac:dyDescent="0.2">
      <c r="B4359" s="533">
        <v>5222</v>
      </c>
      <c r="C4359" s="533" t="s">
        <v>3331</v>
      </c>
      <c r="D4359" s="656" t="s">
        <v>398</v>
      </c>
      <c r="E4359" s="534">
        <v>707.72500100000002</v>
      </c>
    </row>
    <row r="4360" spans="2:5" x14ac:dyDescent="0.2">
      <c r="B4360" s="533">
        <v>5223</v>
      </c>
      <c r="C4360" s="533" t="s">
        <v>1974</v>
      </c>
      <c r="D4360" s="656" t="s">
        <v>398</v>
      </c>
      <c r="E4360" s="534">
        <v>642.81666099999995</v>
      </c>
    </row>
    <row r="4361" spans="2:5" x14ac:dyDescent="0.2">
      <c r="B4361" s="533">
        <v>5224</v>
      </c>
      <c r="C4361" s="533" t="s">
        <v>2298</v>
      </c>
      <c r="D4361" s="656" t="s">
        <v>398</v>
      </c>
      <c r="E4361" s="534">
        <v>657.71428600000002</v>
      </c>
    </row>
    <row r="4362" spans="2:5" x14ac:dyDescent="0.2">
      <c r="B4362" s="533">
        <v>5225</v>
      </c>
      <c r="C4362" s="533" t="s">
        <v>1475</v>
      </c>
      <c r="D4362" s="656" t="s">
        <v>398</v>
      </c>
      <c r="E4362" s="534">
        <v>619.44443799999999</v>
      </c>
    </row>
    <row r="4363" spans="2:5" x14ac:dyDescent="0.2">
      <c r="B4363" s="533">
        <v>5226</v>
      </c>
      <c r="C4363" s="533" t="s">
        <v>3568</v>
      </c>
      <c r="D4363" s="656" t="s">
        <v>398</v>
      </c>
      <c r="E4363" s="534">
        <v>720.05998499999998</v>
      </c>
    </row>
    <row r="4364" spans="2:5" x14ac:dyDescent="0.2">
      <c r="B4364" s="533">
        <v>5227</v>
      </c>
      <c r="C4364" s="533" t="s">
        <v>1560</v>
      </c>
      <c r="D4364" s="656" t="s">
        <v>398</v>
      </c>
      <c r="E4364" s="534">
        <v>624.66666699999996</v>
      </c>
    </row>
    <row r="4365" spans="2:5" x14ac:dyDescent="0.2">
      <c r="B4365" s="533">
        <v>5228</v>
      </c>
      <c r="C4365" s="533" t="s">
        <v>1836</v>
      </c>
      <c r="D4365" s="656" t="s">
        <v>398</v>
      </c>
      <c r="E4365" s="534">
        <v>637.65000399999997</v>
      </c>
    </row>
    <row r="4366" spans="2:5" x14ac:dyDescent="0.2">
      <c r="B4366" s="533">
        <v>5229</v>
      </c>
      <c r="C4366" s="533" t="s">
        <v>1426</v>
      </c>
      <c r="D4366" s="656" t="s">
        <v>398</v>
      </c>
      <c r="E4366" s="534">
        <v>658.25</v>
      </c>
    </row>
    <row r="4367" spans="2:5" x14ac:dyDescent="0.2">
      <c r="B4367" s="533">
        <v>5230</v>
      </c>
      <c r="C4367" s="533" t="s">
        <v>1958</v>
      </c>
      <c r="D4367" s="656" t="s">
        <v>398</v>
      </c>
      <c r="E4367" s="534">
        <v>642.29999999999995</v>
      </c>
    </row>
    <row r="4368" spans="2:5" x14ac:dyDescent="0.2">
      <c r="B4368" s="533">
        <v>5231</v>
      </c>
      <c r="C4368" s="533" t="s">
        <v>6740</v>
      </c>
      <c r="D4368" s="656" t="s">
        <v>398</v>
      </c>
      <c r="E4368" s="534">
        <v>771.88648899999998</v>
      </c>
    </row>
    <row r="4369" spans="2:5" x14ac:dyDescent="0.2">
      <c r="B4369" s="533">
        <v>5232</v>
      </c>
      <c r="C4369" s="533" t="s">
        <v>4871</v>
      </c>
      <c r="D4369" s="656" t="s">
        <v>398</v>
      </c>
      <c r="E4369" s="534">
        <v>809.55000299999995</v>
      </c>
    </row>
    <row r="4370" spans="2:5" x14ac:dyDescent="0.2">
      <c r="B4370" s="533">
        <v>5233</v>
      </c>
      <c r="C4370" s="533" t="s">
        <v>4917</v>
      </c>
      <c r="D4370" s="656" t="s">
        <v>398</v>
      </c>
      <c r="E4370" s="534">
        <v>814.79998799999998</v>
      </c>
    </row>
    <row r="4371" spans="2:5" x14ac:dyDescent="0.2">
      <c r="B4371" s="533">
        <v>5234</v>
      </c>
      <c r="C4371" s="533" t="s">
        <v>1718</v>
      </c>
      <c r="D4371" s="656" t="s">
        <v>398</v>
      </c>
      <c r="E4371" s="534">
        <v>633.5</v>
      </c>
    </row>
    <row r="4372" spans="2:5" x14ac:dyDescent="0.2">
      <c r="B4372" s="533">
        <v>5235</v>
      </c>
      <c r="C4372" s="533" t="s">
        <v>1612</v>
      </c>
      <c r="D4372" s="656" t="s">
        <v>398</v>
      </c>
      <c r="E4372" s="534">
        <v>627.57501200000002</v>
      </c>
    </row>
    <row r="4373" spans="2:5" x14ac:dyDescent="0.2">
      <c r="B4373" s="533">
        <v>5236</v>
      </c>
      <c r="C4373" s="533" t="s">
        <v>2495</v>
      </c>
      <c r="D4373" s="656" t="s">
        <v>398</v>
      </c>
      <c r="E4373" s="534">
        <v>665.79998799999998</v>
      </c>
    </row>
    <row r="4374" spans="2:5" x14ac:dyDescent="0.2">
      <c r="B4374" s="533">
        <v>5237</v>
      </c>
      <c r="C4374" s="533" t="s">
        <v>2249</v>
      </c>
      <c r="D4374" s="656" t="s">
        <v>398</v>
      </c>
      <c r="E4374" s="534">
        <v>655.60000600000001</v>
      </c>
    </row>
    <row r="4375" spans="2:5" x14ac:dyDescent="0.2">
      <c r="B4375" s="533">
        <v>5238</v>
      </c>
      <c r="C4375" s="533" t="s">
        <v>1921</v>
      </c>
      <c r="D4375" s="656" t="s">
        <v>398</v>
      </c>
      <c r="E4375" s="534">
        <v>641.25454400000001</v>
      </c>
    </row>
    <row r="4376" spans="2:5" x14ac:dyDescent="0.2">
      <c r="B4376" s="533">
        <v>5239</v>
      </c>
      <c r="C4376" s="533" t="s">
        <v>3128</v>
      </c>
      <c r="D4376" s="656" t="s">
        <v>398</v>
      </c>
      <c r="E4376" s="534">
        <v>698.19999199999995</v>
      </c>
    </row>
    <row r="4377" spans="2:5" x14ac:dyDescent="0.2">
      <c r="B4377" s="533">
        <v>5240</v>
      </c>
      <c r="C4377" s="533" t="s">
        <v>6792</v>
      </c>
      <c r="D4377" s="656" t="s">
        <v>398</v>
      </c>
      <c r="E4377" s="534">
        <v>657.21109999999999</v>
      </c>
    </row>
    <row r="4378" spans="2:5" x14ac:dyDescent="0.2">
      <c r="B4378" s="533">
        <v>5241</v>
      </c>
      <c r="C4378" s="533" t="s">
        <v>6802</v>
      </c>
      <c r="D4378" s="656" t="s">
        <v>398</v>
      </c>
      <c r="E4378" s="534">
        <v>699.98332700000003</v>
      </c>
    </row>
    <row r="4379" spans="2:5" x14ac:dyDescent="0.2">
      <c r="B4379" s="533">
        <v>5242</v>
      </c>
      <c r="C4379" s="533" t="s">
        <v>3291</v>
      </c>
      <c r="D4379" s="656" t="s">
        <v>398</v>
      </c>
      <c r="E4379" s="534">
        <v>706.12222599999996</v>
      </c>
    </row>
    <row r="4380" spans="2:5" x14ac:dyDescent="0.2">
      <c r="B4380" s="533">
        <v>5243</v>
      </c>
      <c r="C4380" s="533" t="s">
        <v>6830</v>
      </c>
      <c r="D4380" s="656" t="s">
        <v>398</v>
      </c>
      <c r="E4380" s="534">
        <v>704.09999600000003</v>
      </c>
    </row>
    <row r="4381" spans="2:5" x14ac:dyDescent="0.2">
      <c r="B4381" s="533">
        <v>5244</v>
      </c>
      <c r="C4381" s="533" t="s">
        <v>6831</v>
      </c>
      <c r="D4381" s="656" t="s">
        <v>398</v>
      </c>
      <c r="E4381" s="534">
        <v>673.25</v>
      </c>
    </row>
    <row r="4382" spans="2:5" x14ac:dyDescent="0.2">
      <c r="B4382" s="533">
        <v>5245</v>
      </c>
      <c r="C4382" s="533" t="s">
        <v>2225</v>
      </c>
      <c r="D4382" s="656" t="s">
        <v>398</v>
      </c>
      <c r="E4382" s="534">
        <v>654.57499700000005</v>
      </c>
    </row>
    <row r="4383" spans="2:5" x14ac:dyDescent="0.2">
      <c r="B4383" s="533">
        <v>5246</v>
      </c>
      <c r="C4383" s="533" t="s">
        <v>6852</v>
      </c>
      <c r="D4383" s="656" t="s">
        <v>398</v>
      </c>
      <c r="E4383" s="534">
        <v>664.59997599999997</v>
      </c>
    </row>
    <row r="4384" spans="2:5" x14ac:dyDescent="0.2">
      <c r="B4384" s="533">
        <v>5247</v>
      </c>
      <c r="C4384" s="533" t="s">
        <v>6903</v>
      </c>
      <c r="D4384" s="656" t="s">
        <v>398</v>
      </c>
      <c r="E4384" s="534">
        <v>636.36665900000003</v>
      </c>
    </row>
    <row r="4385" spans="2:5" x14ac:dyDescent="0.2">
      <c r="B4385" s="533">
        <v>5248</v>
      </c>
      <c r="C4385" s="533" t="s">
        <v>6931</v>
      </c>
      <c r="D4385" s="656" t="s">
        <v>398</v>
      </c>
      <c r="E4385" s="534">
        <v>695.70001200000002</v>
      </c>
    </row>
    <row r="4386" spans="2:5" x14ac:dyDescent="0.2">
      <c r="B4386" s="533">
        <v>5249</v>
      </c>
      <c r="C4386" s="533" t="s">
        <v>6932</v>
      </c>
      <c r="D4386" s="656" t="s">
        <v>398</v>
      </c>
      <c r="E4386" s="534">
        <v>657.48750299999995</v>
      </c>
    </row>
    <row r="4387" spans="2:5" x14ac:dyDescent="0.2">
      <c r="B4387" s="533">
        <v>5250</v>
      </c>
      <c r="C4387" s="533" t="s">
        <v>3930</v>
      </c>
      <c r="D4387" s="656" t="s">
        <v>398</v>
      </c>
      <c r="E4387" s="534">
        <v>741.10000600000001</v>
      </c>
    </row>
    <row r="4388" spans="2:5" x14ac:dyDescent="0.2">
      <c r="B4388" s="533">
        <v>5251</v>
      </c>
      <c r="C4388" s="533" t="s">
        <v>2559</v>
      </c>
      <c r="D4388" s="656" t="s">
        <v>398</v>
      </c>
      <c r="E4388" s="534">
        <v>669.03332499999999</v>
      </c>
    </row>
    <row r="4389" spans="2:5" x14ac:dyDescent="0.2">
      <c r="B4389" s="533">
        <v>5252</v>
      </c>
      <c r="C4389" s="533" t="s">
        <v>970</v>
      </c>
      <c r="D4389" s="656" t="s">
        <v>398</v>
      </c>
      <c r="E4389" s="534">
        <v>586.77500899999995</v>
      </c>
    </row>
    <row r="4390" spans="2:5" x14ac:dyDescent="0.2">
      <c r="B4390" s="533">
        <v>5253</v>
      </c>
      <c r="C4390" s="533" t="s">
        <v>2489</v>
      </c>
      <c r="D4390" s="656" t="s">
        <v>398</v>
      </c>
      <c r="E4390" s="534">
        <v>665.6</v>
      </c>
    </row>
    <row r="4391" spans="2:5" x14ac:dyDescent="0.2">
      <c r="B4391" s="533">
        <v>5254</v>
      </c>
      <c r="C4391" s="533" t="s">
        <v>2155</v>
      </c>
      <c r="D4391" s="656" t="s">
        <v>398</v>
      </c>
      <c r="E4391" s="534">
        <v>651.40832499999999</v>
      </c>
    </row>
    <row r="4392" spans="2:5" x14ac:dyDescent="0.2">
      <c r="B4392" s="533">
        <v>5255</v>
      </c>
      <c r="C4392" s="533" t="s">
        <v>2423</v>
      </c>
      <c r="D4392" s="656" t="s">
        <v>398</v>
      </c>
      <c r="E4392" s="534">
        <v>663.63809600000002</v>
      </c>
    </row>
    <row r="4393" spans="2:5" x14ac:dyDescent="0.2">
      <c r="B4393" s="533">
        <v>5256</v>
      </c>
      <c r="C4393" s="533" t="s">
        <v>1529</v>
      </c>
      <c r="D4393" s="656" t="s">
        <v>398</v>
      </c>
      <c r="E4393" s="534">
        <v>622.740002</v>
      </c>
    </row>
    <row r="4394" spans="2:5" x14ac:dyDescent="0.2">
      <c r="B4394" s="533">
        <v>5257</v>
      </c>
      <c r="C4394" s="533" t="s">
        <v>2082</v>
      </c>
      <c r="D4394" s="656" t="s">
        <v>398</v>
      </c>
      <c r="E4394" s="534">
        <v>647.85000600000001</v>
      </c>
    </row>
    <row r="4395" spans="2:5" x14ac:dyDescent="0.2">
      <c r="B4395" s="533">
        <v>5258</v>
      </c>
      <c r="C4395" s="533" t="s">
        <v>2739</v>
      </c>
      <c r="D4395" s="656" t="s">
        <v>398</v>
      </c>
      <c r="E4395" s="534">
        <v>678.14999399999999</v>
      </c>
    </row>
    <row r="4396" spans="2:5" x14ac:dyDescent="0.2">
      <c r="B4396" s="533">
        <v>5259</v>
      </c>
      <c r="C4396" s="533" t="s">
        <v>2493</v>
      </c>
      <c r="D4396" s="656" t="s">
        <v>398</v>
      </c>
      <c r="E4396" s="534">
        <v>665.77500899999995</v>
      </c>
    </row>
    <row r="4397" spans="2:5" x14ac:dyDescent="0.2">
      <c r="B4397" s="533">
        <v>5260</v>
      </c>
      <c r="C4397" s="533" t="s">
        <v>1545</v>
      </c>
      <c r="D4397" s="656" t="s">
        <v>398</v>
      </c>
      <c r="E4397" s="534">
        <v>623.97142699999995</v>
      </c>
    </row>
    <row r="4398" spans="2:5" x14ac:dyDescent="0.2">
      <c r="B4398" s="533">
        <v>5261</v>
      </c>
      <c r="C4398" s="533" t="s">
        <v>2306</v>
      </c>
      <c r="D4398" s="656" t="s">
        <v>398</v>
      </c>
      <c r="E4398" s="534">
        <v>658.03334600000005</v>
      </c>
    </row>
    <row r="4399" spans="2:5" x14ac:dyDescent="0.2">
      <c r="B4399" s="533">
        <v>5262</v>
      </c>
      <c r="C4399" s="533" t="s">
        <v>2520</v>
      </c>
      <c r="D4399" s="656" t="s">
        <v>398</v>
      </c>
      <c r="E4399" s="534">
        <v>680.89999399999999</v>
      </c>
    </row>
    <row r="4400" spans="2:5" x14ac:dyDescent="0.2">
      <c r="B4400" s="533">
        <v>5263</v>
      </c>
      <c r="C4400" s="533" t="s">
        <v>2293</v>
      </c>
      <c r="D4400" s="656" t="s">
        <v>398</v>
      </c>
      <c r="E4400" s="534">
        <v>657.43332899999996</v>
      </c>
    </row>
    <row r="4401" spans="2:5" x14ac:dyDescent="0.2">
      <c r="B4401" s="533">
        <v>5264</v>
      </c>
      <c r="C4401" s="533" t="s">
        <v>3222</v>
      </c>
      <c r="D4401" s="656" t="s">
        <v>398</v>
      </c>
      <c r="E4401" s="534">
        <v>702.62221999999997</v>
      </c>
    </row>
    <row r="4402" spans="2:5" x14ac:dyDescent="0.2">
      <c r="B4402" s="533">
        <v>5265</v>
      </c>
      <c r="C4402" s="533" t="s">
        <v>4162</v>
      </c>
      <c r="D4402" s="656" t="s">
        <v>398</v>
      </c>
      <c r="E4402" s="534">
        <v>755.494732</v>
      </c>
    </row>
    <row r="4403" spans="2:5" x14ac:dyDescent="0.2">
      <c r="B4403" s="533">
        <v>5266</v>
      </c>
      <c r="C4403" s="533" t="s">
        <v>1620</v>
      </c>
      <c r="D4403" s="656" t="s">
        <v>398</v>
      </c>
      <c r="E4403" s="534">
        <v>627.90002400000003</v>
      </c>
    </row>
    <row r="4404" spans="2:5" x14ac:dyDescent="0.2">
      <c r="B4404" s="533">
        <v>5267</v>
      </c>
      <c r="C4404" s="533" t="s">
        <v>2391</v>
      </c>
      <c r="D4404" s="656" t="s">
        <v>398</v>
      </c>
      <c r="E4404" s="534">
        <v>662.22499100000005</v>
      </c>
    </row>
    <row r="4405" spans="2:5" x14ac:dyDescent="0.2">
      <c r="B4405" s="533">
        <v>5268</v>
      </c>
      <c r="C4405" s="533" t="s">
        <v>2927</v>
      </c>
      <c r="D4405" s="656" t="s">
        <v>398</v>
      </c>
      <c r="E4405" s="534">
        <v>687.30000299999995</v>
      </c>
    </row>
    <row r="4406" spans="2:5" x14ac:dyDescent="0.2">
      <c r="B4406" s="533">
        <v>5269</v>
      </c>
      <c r="C4406" s="533" t="s">
        <v>2451</v>
      </c>
      <c r="D4406" s="656" t="s">
        <v>398</v>
      </c>
      <c r="E4406" s="534">
        <v>664.50834699999996</v>
      </c>
    </row>
    <row r="4407" spans="2:5" x14ac:dyDescent="0.2">
      <c r="B4407" s="533">
        <v>5270</v>
      </c>
      <c r="C4407" s="533" t="s">
        <v>2078</v>
      </c>
      <c r="D4407" s="656" t="s">
        <v>398</v>
      </c>
      <c r="E4407" s="534">
        <v>647.600009</v>
      </c>
    </row>
    <row r="4408" spans="2:5" x14ac:dyDescent="0.2">
      <c r="B4408" s="533">
        <v>5271</v>
      </c>
      <c r="C4408" s="533" t="s">
        <v>7066</v>
      </c>
      <c r="D4408" s="656" t="s">
        <v>398</v>
      </c>
      <c r="E4408" s="534">
        <v>653.04999799999996</v>
      </c>
    </row>
    <row r="4409" spans="2:5" x14ac:dyDescent="0.2">
      <c r="B4409" s="533">
        <v>5272</v>
      </c>
      <c r="C4409" s="533" t="s">
        <v>2336</v>
      </c>
      <c r="D4409" s="656" t="s">
        <v>398</v>
      </c>
      <c r="E4409" s="534">
        <v>659.383331</v>
      </c>
    </row>
    <row r="4410" spans="2:5" x14ac:dyDescent="0.2">
      <c r="B4410" s="533">
        <v>5273</v>
      </c>
      <c r="C4410" s="533" t="s">
        <v>7069</v>
      </c>
      <c r="D4410" s="656" t="s">
        <v>398</v>
      </c>
      <c r="E4410" s="534">
        <v>630.66667700000005</v>
      </c>
    </row>
    <row r="4411" spans="2:5" x14ac:dyDescent="0.2">
      <c r="B4411" s="533">
        <v>5274</v>
      </c>
      <c r="C4411" s="533" t="s">
        <v>3503</v>
      </c>
      <c r="D4411" s="656" t="s">
        <v>398</v>
      </c>
      <c r="E4411" s="534">
        <v>717.019049</v>
      </c>
    </row>
    <row r="4412" spans="2:5" x14ac:dyDescent="0.2">
      <c r="B4412" s="533">
        <v>5275</v>
      </c>
      <c r="C4412" s="533" t="s">
        <v>3026</v>
      </c>
      <c r="D4412" s="656" t="s">
        <v>398</v>
      </c>
      <c r="E4412" s="534">
        <v>692.62000699999999</v>
      </c>
    </row>
    <row r="4413" spans="2:5" x14ac:dyDescent="0.2">
      <c r="B4413" s="533">
        <v>5276</v>
      </c>
      <c r="C4413" s="533" t="s">
        <v>7108</v>
      </c>
      <c r="D4413" s="656" t="s">
        <v>398</v>
      </c>
      <c r="E4413" s="534">
        <v>682.76249700000005</v>
      </c>
    </row>
    <row r="4414" spans="2:5" x14ac:dyDescent="0.2">
      <c r="B4414" s="533">
        <v>5277</v>
      </c>
      <c r="C4414" s="533" t="s">
        <v>3110</v>
      </c>
      <c r="D4414" s="656" t="s">
        <v>398</v>
      </c>
      <c r="E4414" s="534">
        <v>697.09997599999997</v>
      </c>
    </row>
    <row r="4415" spans="2:5" x14ac:dyDescent="0.2">
      <c r="B4415" s="533">
        <v>5278</v>
      </c>
      <c r="C4415" s="533" t="s">
        <v>2198</v>
      </c>
      <c r="D4415" s="656" t="s">
        <v>398</v>
      </c>
      <c r="E4415" s="534">
        <v>653.22999900000002</v>
      </c>
    </row>
    <row r="4416" spans="2:5" x14ac:dyDescent="0.2">
      <c r="B4416" s="533">
        <v>5279</v>
      </c>
      <c r="C4416" s="533" t="s">
        <v>2254</v>
      </c>
      <c r="D4416" s="656" t="s">
        <v>398</v>
      </c>
      <c r="E4416" s="534">
        <v>655.885716</v>
      </c>
    </row>
    <row r="4417" spans="2:5" x14ac:dyDescent="0.2">
      <c r="B4417" s="533">
        <v>5280</v>
      </c>
      <c r="C4417" s="533" t="s">
        <v>2025</v>
      </c>
      <c r="D4417" s="656" t="s">
        <v>398</v>
      </c>
      <c r="E4417" s="534">
        <v>644.54998799999998</v>
      </c>
    </row>
    <row r="4418" spans="2:5" x14ac:dyDescent="0.2">
      <c r="B4418" s="533">
        <v>5281</v>
      </c>
      <c r="C4418" s="533" t="s">
        <v>1808</v>
      </c>
      <c r="D4418" s="656" t="s">
        <v>398</v>
      </c>
      <c r="E4418" s="534">
        <v>636.72000700000001</v>
      </c>
    </row>
    <row r="4419" spans="2:5" x14ac:dyDescent="0.2">
      <c r="B4419" s="533">
        <v>5282</v>
      </c>
      <c r="C4419" s="533" t="s">
        <v>2888</v>
      </c>
      <c r="D4419" s="656" t="s">
        <v>398</v>
      </c>
      <c r="E4419" s="534">
        <v>685.77500899999995</v>
      </c>
    </row>
    <row r="4420" spans="2:5" x14ac:dyDescent="0.2">
      <c r="B4420" s="533">
        <v>5283</v>
      </c>
      <c r="C4420" s="533" t="s">
        <v>1528</v>
      </c>
      <c r="D4420" s="656" t="s">
        <v>398</v>
      </c>
      <c r="E4420" s="534">
        <v>622.69999700000005</v>
      </c>
    </row>
    <row r="4421" spans="2:5" x14ac:dyDescent="0.2">
      <c r="B4421" s="533">
        <v>5284</v>
      </c>
      <c r="C4421" s="533" t="s">
        <v>3569</v>
      </c>
      <c r="D4421" s="656" t="s">
        <v>398</v>
      </c>
      <c r="E4421" s="534">
        <v>720.08000500000003</v>
      </c>
    </row>
    <row r="4422" spans="2:5" x14ac:dyDescent="0.2">
      <c r="B4422" s="533">
        <v>5285</v>
      </c>
      <c r="C4422" s="533" t="s">
        <v>1610</v>
      </c>
      <c r="D4422" s="656" t="s">
        <v>398</v>
      </c>
      <c r="E4422" s="534">
        <v>627.51764600000001</v>
      </c>
    </row>
    <row r="4423" spans="2:5" x14ac:dyDescent="0.2">
      <c r="B4423" s="533">
        <v>5286</v>
      </c>
      <c r="C4423" s="533" t="s">
        <v>6621</v>
      </c>
      <c r="D4423" s="656" t="s">
        <v>398</v>
      </c>
      <c r="E4423" s="534">
        <v>657.24999200000002</v>
      </c>
    </row>
    <row r="4424" spans="2:5" x14ac:dyDescent="0.2">
      <c r="B4424" s="533">
        <v>5287</v>
      </c>
      <c r="C4424" s="533" t="s">
        <v>1925</v>
      </c>
      <c r="D4424" s="656" t="s">
        <v>398</v>
      </c>
      <c r="E4424" s="534">
        <v>641.30999799999995</v>
      </c>
    </row>
    <row r="4425" spans="2:5" x14ac:dyDescent="0.2">
      <c r="B4425" s="533">
        <v>5288</v>
      </c>
      <c r="C4425" s="533" t="s">
        <v>839</v>
      </c>
      <c r="D4425" s="656" t="s">
        <v>398</v>
      </c>
      <c r="E4425" s="534">
        <v>688.92500299999995</v>
      </c>
    </row>
    <row r="4426" spans="2:5" x14ac:dyDescent="0.2">
      <c r="B4426" s="533">
        <v>5289</v>
      </c>
      <c r="C4426" s="533" t="s">
        <v>1474</v>
      </c>
      <c r="D4426" s="656" t="s">
        <v>398</v>
      </c>
      <c r="E4426" s="534">
        <v>619.32857799999999</v>
      </c>
    </row>
    <row r="4427" spans="2:5" x14ac:dyDescent="0.2">
      <c r="B4427" s="533">
        <v>5290</v>
      </c>
      <c r="C4427" s="533" t="s">
        <v>2702</v>
      </c>
      <c r="D4427" s="656" t="s">
        <v>398</v>
      </c>
      <c r="E4427" s="534">
        <v>676.28332499999999</v>
      </c>
    </row>
    <row r="4428" spans="2:5" x14ac:dyDescent="0.2">
      <c r="B4428" s="533">
        <v>5291</v>
      </c>
      <c r="C4428" s="533" t="s">
        <v>1465</v>
      </c>
      <c r="D4428" s="656" t="s">
        <v>398</v>
      </c>
      <c r="E4428" s="534">
        <v>618.92498799999998</v>
      </c>
    </row>
    <row r="4429" spans="2:5" x14ac:dyDescent="0.2">
      <c r="B4429" s="533">
        <v>5292</v>
      </c>
      <c r="C4429" s="533" t="s">
        <v>1987</v>
      </c>
      <c r="D4429" s="656" t="s">
        <v>398</v>
      </c>
      <c r="E4429" s="534">
        <v>643.19999299999995</v>
      </c>
    </row>
    <row r="4430" spans="2:5" x14ac:dyDescent="0.2">
      <c r="B4430" s="533">
        <v>5293</v>
      </c>
      <c r="C4430" s="533" t="s">
        <v>2031</v>
      </c>
      <c r="D4430" s="656" t="s">
        <v>398</v>
      </c>
      <c r="E4430" s="534">
        <v>644.89999399999999</v>
      </c>
    </row>
    <row r="4431" spans="2:5" x14ac:dyDescent="0.2">
      <c r="B4431" s="533">
        <v>5294</v>
      </c>
      <c r="C4431" s="533" t="s">
        <v>2575</v>
      </c>
      <c r="D4431" s="656" t="s">
        <v>398</v>
      </c>
      <c r="E4431" s="534">
        <v>669.83333300000004</v>
      </c>
    </row>
    <row r="4432" spans="2:5" x14ac:dyDescent="0.2">
      <c r="B4432" s="533">
        <v>5295</v>
      </c>
      <c r="C4432" s="533" t="s">
        <v>2452</v>
      </c>
      <c r="D4432" s="656" t="s">
        <v>398</v>
      </c>
      <c r="E4432" s="534">
        <v>664.57142899999997</v>
      </c>
    </row>
    <row r="4433" spans="2:5" x14ac:dyDescent="0.2">
      <c r="B4433" s="533">
        <v>5296</v>
      </c>
      <c r="C4433" s="533" t="s">
        <v>1935</v>
      </c>
      <c r="D4433" s="656" t="s">
        <v>398</v>
      </c>
      <c r="E4433" s="534">
        <v>641.59998900000005</v>
      </c>
    </row>
    <row r="4434" spans="2:5" x14ac:dyDescent="0.2">
      <c r="B4434" s="533">
        <v>5297</v>
      </c>
      <c r="C4434" s="533" t="s">
        <v>3034</v>
      </c>
      <c r="D4434" s="656" t="s">
        <v>398</v>
      </c>
      <c r="E4434" s="534">
        <v>693.01666299999999</v>
      </c>
    </row>
    <row r="4435" spans="2:5" x14ac:dyDescent="0.2">
      <c r="B4435" s="533">
        <v>5298</v>
      </c>
      <c r="C4435" s="533" t="s">
        <v>2871</v>
      </c>
      <c r="D4435" s="656" t="s">
        <v>398</v>
      </c>
      <c r="E4435" s="534">
        <v>685.02777400000002</v>
      </c>
    </row>
    <row r="4436" spans="2:5" x14ac:dyDescent="0.2">
      <c r="B4436" s="533">
        <v>5299</v>
      </c>
      <c r="C4436" s="533" t="s">
        <v>2922</v>
      </c>
      <c r="D4436" s="656" t="s">
        <v>398</v>
      </c>
      <c r="E4436" s="534">
        <v>687.13749700000005</v>
      </c>
    </row>
    <row r="4437" spans="2:5" x14ac:dyDescent="0.2">
      <c r="B4437" s="533">
        <v>5300</v>
      </c>
      <c r="C4437" s="533" t="s">
        <v>2404</v>
      </c>
      <c r="D4437" s="656" t="s">
        <v>398</v>
      </c>
      <c r="E4437" s="534">
        <v>662.96666500000003</v>
      </c>
    </row>
    <row r="4438" spans="2:5" x14ac:dyDescent="0.2">
      <c r="B4438" s="533">
        <v>5301</v>
      </c>
      <c r="C4438" s="533" t="s">
        <v>4207</v>
      </c>
      <c r="D4438" s="656" t="s">
        <v>398</v>
      </c>
      <c r="E4438" s="534">
        <v>758.69999700000005</v>
      </c>
    </row>
    <row r="4439" spans="2:5" x14ac:dyDescent="0.2">
      <c r="B4439" s="533">
        <v>5302</v>
      </c>
      <c r="C4439" s="533" t="s">
        <v>2413</v>
      </c>
      <c r="D4439" s="656" t="s">
        <v>398</v>
      </c>
      <c r="E4439" s="534">
        <v>663.25</v>
      </c>
    </row>
    <row r="4440" spans="2:5" x14ac:dyDescent="0.2">
      <c r="B4440" s="533">
        <v>5303</v>
      </c>
      <c r="C4440" s="533" t="s">
        <v>2000</v>
      </c>
      <c r="D4440" s="656" t="s">
        <v>398</v>
      </c>
      <c r="E4440" s="534">
        <v>643.67825700000003</v>
      </c>
    </row>
    <row r="4441" spans="2:5" x14ac:dyDescent="0.2">
      <c r="B4441" s="533">
        <v>5304</v>
      </c>
      <c r="C4441" s="533" t="s">
        <v>2496</v>
      </c>
      <c r="D4441" s="656" t="s">
        <v>398</v>
      </c>
      <c r="E4441" s="534">
        <v>665.79999499999997</v>
      </c>
    </row>
    <row r="4442" spans="2:5" x14ac:dyDescent="0.2">
      <c r="B4442" s="533">
        <v>5305</v>
      </c>
      <c r="C4442" s="533" t="s">
        <v>2518</v>
      </c>
      <c r="D4442" s="656" t="s">
        <v>398</v>
      </c>
      <c r="E4442" s="534">
        <v>667.55999799999995</v>
      </c>
    </row>
    <row r="4443" spans="2:5" x14ac:dyDescent="0.2">
      <c r="B4443" s="533">
        <v>5306</v>
      </c>
      <c r="C4443" s="533" t="s">
        <v>3296</v>
      </c>
      <c r="D4443" s="656" t="s">
        <v>398</v>
      </c>
      <c r="E4443" s="534">
        <v>706.17500299999995</v>
      </c>
    </row>
    <row r="4444" spans="2:5" x14ac:dyDescent="0.2">
      <c r="B4444" s="533">
        <v>5307</v>
      </c>
      <c r="C4444" s="533" t="s">
        <v>3306</v>
      </c>
      <c r="D4444" s="656" t="s">
        <v>398</v>
      </c>
      <c r="E4444" s="534">
        <v>706.89998400000002</v>
      </c>
    </row>
    <row r="4445" spans="2:5" x14ac:dyDescent="0.2">
      <c r="B4445" s="533">
        <v>5308</v>
      </c>
      <c r="C4445" s="533" t="s">
        <v>2663</v>
      </c>
      <c r="D4445" s="656" t="s">
        <v>398</v>
      </c>
      <c r="E4445" s="534">
        <v>674.69999499999994</v>
      </c>
    </row>
    <row r="4446" spans="2:5" x14ac:dyDescent="0.2">
      <c r="B4446" s="533">
        <v>5310</v>
      </c>
      <c r="C4446" s="533" t="s">
        <v>7324</v>
      </c>
      <c r="D4446" s="656" t="s">
        <v>398</v>
      </c>
      <c r="E4446" s="534">
        <v>692.14999399999999</v>
      </c>
    </row>
    <row r="4447" spans="2:5" x14ac:dyDescent="0.2">
      <c r="B4447" s="533">
        <v>5311</v>
      </c>
      <c r="C4447" s="533" t="s">
        <v>1672</v>
      </c>
      <c r="D4447" s="656" t="s">
        <v>398</v>
      </c>
      <c r="E4447" s="534">
        <v>631.31110999999999</v>
      </c>
    </row>
    <row r="4448" spans="2:5" x14ac:dyDescent="0.2">
      <c r="B4448" s="533">
        <v>5312</v>
      </c>
      <c r="C4448" s="533" t="s">
        <v>1512</v>
      </c>
      <c r="D4448" s="656" t="s">
        <v>398</v>
      </c>
      <c r="E4448" s="534">
        <v>621.64999399999999</v>
      </c>
    </row>
    <row r="4449" spans="2:5" x14ac:dyDescent="0.2">
      <c r="B4449" s="533">
        <v>5313</v>
      </c>
      <c r="C4449" s="533" t="s">
        <v>398</v>
      </c>
      <c r="D4449" s="656" t="s">
        <v>398</v>
      </c>
      <c r="E4449" s="534">
        <v>630.39473699999996</v>
      </c>
    </row>
    <row r="4450" spans="2:5" x14ac:dyDescent="0.2">
      <c r="B4450" s="533">
        <v>5314</v>
      </c>
      <c r="C4450" s="533" t="s">
        <v>1823</v>
      </c>
      <c r="D4450" s="656" t="s">
        <v>398</v>
      </c>
      <c r="E4450" s="534">
        <v>637.10000400000001</v>
      </c>
    </row>
    <row r="4451" spans="2:5" x14ac:dyDescent="0.2">
      <c r="B4451" s="533">
        <v>5315</v>
      </c>
      <c r="C4451" s="533" t="s">
        <v>3523</v>
      </c>
      <c r="D4451" s="656" t="s">
        <v>398</v>
      </c>
      <c r="E4451" s="534">
        <v>718.07142899999997</v>
      </c>
    </row>
    <row r="4452" spans="2:5" x14ac:dyDescent="0.2">
      <c r="B4452" s="533">
        <v>5316</v>
      </c>
      <c r="C4452" s="533" t="s">
        <v>1381</v>
      </c>
      <c r="D4452" s="656" t="s">
        <v>398</v>
      </c>
      <c r="E4452" s="534">
        <v>614.70000000000005</v>
      </c>
    </row>
    <row r="4453" spans="2:5" x14ac:dyDescent="0.2">
      <c r="B4453" s="533">
        <v>5317</v>
      </c>
      <c r="C4453" s="533" t="s">
        <v>1989</v>
      </c>
      <c r="D4453" s="656" t="s">
        <v>398</v>
      </c>
      <c r="E4453" s="534">
        <v>643.22999900000002</v>
      </c>
    </row>
    <row r="4454" spans="2:5" x14ac:dyDescent="0.2">
      <c r="B4454" s="533">
        <v>5318</v>
      </c>
      <c r="C4454" s="533" t="s">
        <v>2379</v>
      </c>
      <c r="D4454" s="656" t="s">
        <v>398</v>
      </c>
      <c r="E4454" s="534">
        <v>661.56001000000003</v>
      </c>
    </row>
    <row r="4455" spans="2:5" x14ac:dyDescent="0.2">
      <c r="B4455" s="533">
        <v>5319</v>
      </c>
      <c r="C4455" s="533" t="s">
        <v>1584</v>
      </c>
      <c r="D4455" s="656" t="s">
        <v>398</v>
      </c>
      <c r="E4455" s="534">
        <v>626.05000600000005</v>
      </c>
    </row>
    <row r="4456" spans="2:5" x14ac:dyDescent="0.2">
      <c r="B4456" s="533">
        <v>5320</v>
      </c>
      <c r="C4456" s="533" t="s">
        <v>2064</v>
      </c>
      <c r="D4456" s="656" t="s">
        <v>398</v>
      </c>
      <c r="E4456" s="534">
        <v>646.71249399999999</v>
      </c>
    </row>
    <row r="4457" spans="2:5" x14ac:dyDescent="0.2">
      <c r="B4457" s="533">
        <v>5321</v>
      </c>
      <c r="C4457" s="533" t="s">
        <v>2733</v>
      </c>
      <c r="D4457" s="656" t="s">
        <v>398</v>
      </c>
      <c r="E4457" s="534">
        <v>677.80000299999995</v>
      </c>
    </row>
    <row r="4458" spans="2:5" x14ac:dyDescent="0.2">
      <c r="B4458" s="533">
        <v>5322</v>
      </c>
      <c r="C4458" s="533" t="s">
        <v>1441</v>
      </c>
      <c r="D4458" s="656" t="s">
        <v>398</v>
      </c>
      <c r="E4458" s="534">
        <v>617.52857300000005</v>
      </c>
    </row>
    <row r="4459" spans="2:5" x14ac:dyDescent="0.2">
      <c r="B4459" s="533">
        <v>5323</v>
      </c>
      <c r="C4459" s="533" t="s">
        <v>2275</v>
      </c>
      <c r="D4459" s="656" t="s">
        <v>398</v>
      </c>
      <c r="E4459" s="534">
        <v>656.66189999999995</v>
      </c>
    </row>
    <row r="4460" spans="2:5" x14ac:dyDescent="0.2">
      <c r="B4460" s="533">
        <v>5324</v>
      </c>
      <c r="C4460" s="533" t="s">
        <v>3474</v>
      </c>
      <c r="D4460" s="656" t="s">
        <v>398</v>
      </c>
      <c r="E4460" s="534">
        <v>715.09997599999997</v>
      </c>
    </row>
    <row r="4461" spans="2:5" x14ac:dyDescent="0.2">
      <c r="B4461" s="533">
        <v>5325</v>
      </c>
      <c r="C4461" s="533" t="s">
        <v>7426</v>
      </c>
      <c r="D4461" s="656" t="s">
        <v>398</v>
      </c>
      <c r="E4461" s="534">
        <v>658.68888300000003</v>
      </c>
    </row>
    <row r="4462" spans="2:5" x14ac:dyDescent="0.2">
      <c r="B4462" s="533">
        <v>5326</v>
      </c>
      <c r="C4462" s="533" t="s">
        <v>7442</v>
      </c>
      <c r="D4462" s="656" t="s">
        <v>398</v>
      </c>
      <c r="E4462" s="534">
        <v>664.93335000000002</v>
      </c>
    </row>
    <row r="4463" spans="2:5" x14ac:dyDescent="0.2">
      <c r="B4463" s="533">
        <v>5327</v>
      </c>
      <c r="C4463" s="533" t="s">
        <v>7444</v>
      </c>
      <c r="D4463" s="656" t="s">
        <v>398</v>
      </c>
      <c r="E4463" s="534">
        <v>616.10000600000001</v>
      </c>
    </row>
    <row r="4464" spans="2:5" x14ac:dyDescent="0.2">
      <c r="B4464" s="533">
        <v>5328</v>
      </c>
      <c r="C4464" s="533" t="s">
        <v>2418</v>
      </c>
      <c r="D4464" s="656" t="s">
        <v>398</v>
      </c>
      <c r="E4464" s="534">
        <v>663.54999499999997</v>
      </c>
    </row>
    <row r="4465" spans="2:5" x14ac:dyDescent="0.2">
      <c r="B4465" s="533">
        <v>5329</v>
      </c>
      <c r="C4465" s="533" t="s">
        <v>2736</v>
      </c>
      <c r="D4465" s="656" t="s">
        <v>398</v>
      </c>
      <c r="E4465" s="534">
        <v>678.02222400000005</v>
      </c>
    </row>
    <row r="4466" spans="2:5" x14ac:dyDescent="0.2">
      <c r="B4466" s="533">
        <v>5330</v>
      </c>
      <c r="C4466" s="533" t="s">
        <v>1930</v>
      </c>
      <c r="D4466" s="656" t="s">
        <v>398</v>
      </c>
      <c r="E4466" s="534">
        <v>641.41428900000005</v>
      </c>
    </row>
    <row r="4467" spans="2:5" x14ac:dyDescent="0.2">
      <c r="B4467" s="533">
        <v>5331</v>
      </c>
      <c r="C4467" s="533" t="s">
        <v>3257</v>
      </c>
      <c r="D4467" s="656" t="s">
        <v>398</v>
      </c>
      <c r="E4467" s="534">
        <v>703.79167700000005</v>
      </c>
    </row>
    <row r="4468" spans="2:5" x14ac:dyDescent="0.2">
      <c r="B4468" s="533">
        <v>5332</v>
      </c>
      <c r="C4468" s="533" t="s">
        <v>1392</v>
      </c>
      <c r="D4468" s="656" t="s">
        <v>398</v>
      </c>
      <c r="E4468" s="534">
        <v>615.09088699999995</v>
      </c>
    </row>
    <row r="4469" spans="2:5" x14ac:dyDescent="0.2">
      <c r="B4469" s="533">
        <v>5333</v>
      </c>
      <c r="C4469" s="533" t="s">
        <v>2238</v>
      </c>
      <c r="D4469" s="656" t="s">
        <v>398</v>
      </c>
      <c r="E4469" s="534">
        <v>655.09997599999997</v>
      </c>
    </row>
    <row r="4470" spans="2:5" x14ac:dyDescent="0.2">
      <c r="B4470" s="533">
        <v>5334</v>
      </c>
      <c r="C4470" s="533" t="s">
        <v>1754</v>
      </c>
      <c r="D4470" s="656" t="s">
        <v>398</v>
      </c>
      <c r="E4470" s="534">
        <v>634.59997599999997</v>
      </c>
    </row>
    <row r="4471" spans="2:5" x14ac:dyDescent="0.2">
      <c r="B4471" s="533">
        <v>5335</v>
      </c>
      <c r="C4471" s="533" t="s">
        <v>6958</v>
      </c>
      <c r="D4471" s="656" t="s">
        <v>398</v>
      </c>
      <c r="E4471" s="534">
        <v>663.25000399999999</v>
      </c>
    </row>
    <row r="4472" spans="2:5" x14ac:dyDescent="0.2">
      <c r="B4472" s="533">
        <v>5336</v>
      </c>
      <c r="C4472" s="533" t="s">
        <v>1999</v>
      </c>
      <c r="D4472" s="656" t="s">
        <v>398</v>
      </c>
      <c r="E4472" s="534">
        <v>643.63332100000002</v>
      </c>
    </row>
    <row r="4473" spans="2:5" x14ac:dyDescent="0.2">
      <c r="B4473" s="533">
        <v>5337</v>
      </c>
      <c r="C4473" s="533" t="s">
        <v>2059</v>
      </c>
      <c r="D4473" s="656" t="s">
        <v>398</v>
      </c>
      <c r="E4473" s="534">
        <v>646.13333499999999</v>
      </c>
    </row>
    <row r="4474" spans="2:5" x14ac:dyDescent="0.2">
      <c r="B4474" s="533">
        <v>5338</v>
      </c>
      <c r="C4474" s="533" t="s">
        <v>2688</v>
      </c>
      <c r="D4474" s="656" t="s">
        <v>398</v>
      </c>
      <c r="E4474" s="534">
        <v>675.69230800000003</v>
      </c>
    </row>
    <row r="4475" spans="2:5" x14ac:dyDescent="0.2">
      <c r="B4475" s="533">
        <v>5339</v>
      </c>
      <c r="C4475" s="533" t="s">
        <v>2280</v>
      </c>
      <c r="D4475" s="656" t="s">
        <v>398</v>
      </c>
      <c r="E4475" s="534">
        <v>656.88181899999995</v>
      </c>
    </row>
    <row r="4476" spans="2:5" x14ac:dyDescent="0.2">
      <c r="B4476" s="533">
        <v>5340</v>
      </c>
      <c r="C4476" s="533" t="s">
        <v>1684</v>
      </c>
      <c r="D4476" s="656" t="s">
        <v>398</v>
      </c>
      <c r="E4476" s="534">
        <v>632.1</v>
      </c>
    </row>
    <row r="4477" spans="2:5" x14ac:dyDescent="0.2">
      <c r="B4477" s="533">
        <v>5341</v>
      </c>
      <c r="C4477" s="533" t="s">
        <v>1543</v>
      </c>
      <c r="D4477" s="656" t="s">
        <v>398</v>
      </c>
      <c r="E4477" s="534">
        <v>668.5</v>
      </c>
    </row>
    <row r="4478" spans="2:5" x14ac:dyDescent="0.2">
      <c r="B4478" s="533">
        <v>5342</v>
      </c>
      <c r="C4478" s="533" t="s">
        <v>2440</v>
      </c>
      <c r="D4478" s="656" t="s">
        <v>398</v>
      </c>
      <c r="E4478" s="534">
        <v>664.09999100000005</v>
      </c>
    </row>
    <row r="4479" spans="2:5" x14ac:dyDescent="0.2">
      <c r="B4479" s="533">
        <v>5343</v>
      </c>
      <c r="C4479" s="533" t="s">
        <v>2695</v>
      </c>
      <c r="D4479" s="656" t="s">
        <v>398</v>
      </c>
      <c r="E4479" s="534">
        <v>676.01667299999997</v>
      </c>
    </row>
    <row r="4480" spans="2:5" x14ac:dyDescent="0.2">
      <c r="B4480" s="533">
        <v>5344</v>
      </c>
      <c r="C4480" s="533" t="s">
        <v>3360</v>
      </c>
      <c r="D4480" s="656" t="s">
        <v>398</v>
      </c>
      <c r="E4480" s="534">
        <v>709.33846300000005</v>
      </c>
    </row>
    <row r="4481" spans="2:5" x14ac:dyDescent="0.2">
      <c r="B4481" s="533">
        <v>5346</v>
      </c>
      <c r="C4481" s="533" t="s">
        <v>1436</v>
      </c>
      <c r="D4481" s="656" t="s">
        <v>398</v>
      </c>
      <c r="E4481" s="534">
        <v>617.40002400000003</v>
      </c>
    </row>
    <row r="4482" spans="2:5" x14ac:dyDescent="0.2">
      <c r="B4482" s="533">
        <v>5347</v>
      </c>
      <c r="C4482" s="533" t="s">
        <v>2497</v>
      </c>
      <c r="D4482" s="656" t="s">
        <v>398</v>
      </c>
      <c r="E4482" s="534">
        <v>809.53334600000005</v>
      </c>
    </row>
    <row r="4483" spans="2:5" x14ac:dyDescent="0.2">
      <c r="B4483" s="533">
        <v>5348</v>
      </c>
      <c r="C4483" s="533" t="s">
        <v>2876</v>
      </c>
      <c r="D4483" s="656" t="s">
        <v>398</v>
      </c>
      <c r="E4483" s="534">
        <v>685.46001000000001</v>
      </c>
    </row>
    <row r="4484" spans="2:5" x14ac:dyDescent="0.2">
      <c r="B4484" s="533">
        <v>5349</v>
      </c>
      <c r="C4484" s="533" t="s">
        <v>2605</v>
      </c>
      <c r="D4484" s="656" t="s">
        <v>398</v>
      </c>
      <c r="E4484" s="534">
        <v>671.728568</v>
      </c>
    </row>
    <row r="4485" spans="2:5" x14ac:dyDescent="0.2">
      <c r="B4485" s="533">
        <v>5350</v>
      </c>
      <c r="C4485" s="533" t="s">
        <v>2512</v>
      </c>
      <c r="D4485" s="656" t="s">
        <v>398</v>
      </c>
      <c r="E4485" s="534">
        <v>666.87501499999996</v>
      </c>
    </row>
    <row r="4486" spans="2:5" x14ac:dyDescent="0.2">
      <c r="B4486" s="533">
        <v>5351</v>
      </c>
      <c r="C4486" s="533" t="s">
        <v>2446</v>
      </c>
      <c r="D4486" s="656" t="s">
        <v>398</v>
      </c>
      <c r="E4486" s="534">
        <v>664.30001200000004</v>
      </c>
    </row>
    <row r="4487" spans="2:5" x14ac:dyDescent="0.2">
      <c r="B4487" s="533">
        <v>5352</v>
      </c>
      <c r="C4487" s="533" t="s">
        <v>6575</v>
      </c>
      <c r="D4487" s="656" t="s">
        <v>398</v>
      </c>
      <c r="E4487" s="534">
        <v>659.99999100000002</v>
      </c>
    </row>
    <row r="4488" spans="2:5" x14ac:dyDescent="0.2">
      <c r="B4488" s="533">
        <v>5353</v>
      </c>
      <c r="C4488" s="533" t="s">
        <v>3124</v>
      </c>
      <c r="D4488" s="656" t="s">
        <v>398</v>
      </c>
      <c r="E4488" s="534">
        <v>697.76666299999999</v>
      </c>
    </row>
    <row r="4489" spans="2:5" x14ac:dyDescent="0.2">
      <c r="B4489" s="533">
        <v>5354</v>
      </c>
      <c r="C4489" s="533" t="s">
        <v>3052</v>
      </c>
      <c r="D4489" s="656" t="s">
        <v>398</v>
      </c>
      <c r="E4489" s="534">
        <v>694.12856599999998</v>
      </c>
    </row>
    <row r="4490" spans="2:5" x14ac:dyDescent="0.2">
      <c r="B4490" s="533">
        <v>5355</v>
      </c>
      <c r="C4490" s="533" t="s">
        <v>2388</v>
      </c>
      <c r="D4490" s="656" t="s">
        <v>398</v>
      </c>
      <c r="E4490" s="534">
        <v>661.98570900000004</v>
      </c>
    </row>
    <row r="4491" spans="2:5" x14ac:dyDescent="0.2">
      <c r="B4491" s="533">
        <v>5356</v>
      </c>
      <c r="C4491" s="533" t="s">
        <v>3579</v>
      </c>
      <c r="D4491" s="656" t="s">
        <v>398</v>
      </c>
      <c r="E4491" s="534">
        <v>720.70001200000002</v>
      </c>
    </row>
    <row r="4492" spans="2:5" x14ac:dyDescent="0.2">
      <c r="B4492" s="533">
        <v>5357</v>
      </c>
      <c r="C4492" s="533" t="s">
        <v>2483</v>
      </c>
      <c r="D4492" s="656" t="s">
        <v>398</v>
      </c>
      <c r="E4492" s="534">
        <v>665.41333799999995</v>
      </c>
    </row>
    <row r="4493" spans="2:5" x14ac:dyDescent="0.2">
      <c r="B4493" s="533">
        <v>5358</v>
      </c>
      <c r="C4493" s="533" t="s">
        <v>2144</v>
      </c>
      <c r="D4493" s="656" t="s">
        <v>398</v>
      </c>
      <c r="E4493" s="534">
        <v>650.88665800000001</v>
      </c>
    </row>
    <row r="4494" spans="2:5" x14ac:dyDescent="0.2">
      <c r="B4494" s="533">
        <v>5359</v>
      </c>
      <c r="C4494" s="533" t="s">
        <v>3878</v>
      </c>
      <c r="D4494" s="656" t="s">
        <v>398</v>
      </c>
      <c r="E4494" s="534">
        <v>738</v>
      </c>
    </row>
    <row r="4495" spans="2:5" x14ac:dyDescent="0.2">
      <c r="B4495" s="533">
        <v>5360</v>
      </c>
      <c r="C4495" s="533" t="s">
        <v>2894</v>
      </c>
      <c r="D4495" s="656" t="s">
        <v>398</v>
      </c>
      <c r="E4495" s="534">
        <v>686.06664999999998</v>
      </c>
    </row>
    <row r="4496" spans="2:5" x14ac:dyDescent="0.2">
      <c r="B4496" s="533">
        <v>5361</v>
      </c>
      <c r="C4496" s="533" t="s">
        <v>1571</v>
      </c>
      <c r="D4496" s="656" t="s">
        <v>398</v>
      </c>
      <c r="E4496" s="534">
        <v>625.30000800000005</v>
      </c>
    </row>
    <row r="4497" spans="2:5" x14ac:dyDescent="0.2">
      <c r="B4497" s="533">
        <v>5363</v>
      </c>
      <c r="C4497" s="533" t="s">
        <v>1540</v>
      </c>
      <c r="D4497" s="656" t="s">
        <v>398</v>
      </c>
      <c r="E4497" s="534">
        <v>623.79999999999995</v>
      </c>
    </row>
    <row r="4498" spans="2:5" x14ac:dyDescent="0.2">
      <c r="B4498" s="533">
        <v>5401</v>
      </c>
      <c r="C4498" s="533" t="s">
        <v>4396</v>
      </c>
      <c r="D4498" s="656" t="s">
        <v>402</v>
      </c>
      <c r="E4498" s="534">
        <v>773.07500200000004</v>
      </c>
    </row>
    <row r="4499" spans="2:5" x14ac:dyDescent="0.2">
      <c r="B4499" s="533">
        <v>5402</v>
      </c>
      <c r="C4499" s="533" t="s">
        <v>4044</v>
      </c>
      <c r="D4499" s="656" t="s">
        <v>402</v>
      </c>
      <c r="E4499" s="534">
        <v>748.57777899999996</v>
      </c>
    </row>
    <row r="4500" spans="2:5" x14ac:dyDescent="0.2">
      <c r="B4500" s="533">
        <v>5403</v>
      </c>
      <c r="C4500" s="533" t="s">
        <v>3714</v>
      </c>
      <c r="D4500" s="656" t="s">
        <v>402</v>
      </c>
      <c r="E4500" s="534">
        <v>728.40000899999995</v>
      </c>
    </row>
    <row r="4501" spans="2:5" x14ac:dyDescent="0.2">
      <c r="B4501" s="533">
        <v>5404</v>
      </c>
      <c r="C4501" s="533" t="s">
        <v>4187</v>
      </c>
      <c r="D4501" s="656" t="s">
        <v>402</v>
      </c>
      <c r="E4501" s="534">
        <v>757.24286800000004</v>
      </c>
    </row>
    <row r="4502" spans="2:5" x14ac:dyDescent="0.2">
      <c r="B4502" s="533">
        <v>5405</v>
      </c>
      <c r="C4502" s="533" t="s">
        <v>4260</v>
      </c>
      <c r="D4502" s="656" t="s">
        <v>402</v>
      </c>
      <c r="E4502" s="534">
        <v>762.64285700000005</v>
      </c>
    </row>
    <row r="4503" spans="2:5" x14ac:dyDescent="0.2">
      <c r="B4503" s="533">
        <v>5406</v>
      </c>
      <c r="C4503" s="533" t="s">
        <v>3358</v>
      </c>
      <c r="D4503" s="656" t="s">
        <v>402</v>
      </c>
      <c r="E4503" s="534">
        <v>709.259998</v>
      </c>
    </row>
    <row r="4504" spans="2:5" x14ac:dyDescent="0.2">
      <c r="B4504" s="533">
        <v>5407</v>
      </c>
      <c r="C4504" s="533" t="s">
        <v>6614</v>
      </c>
      <c r="D4504" s="656" t="s">
        <v>402</v>
      </c>
      <c r="E4504" s="534">
        <v>715.64615600000002</v>
      </c>
    </row>
    <row r="4505" spans="2:5" x14ac:dyDescent="0.2">
      <c r="B4505" s="533">
        <v>5408</v>
      </c>
      <c r="C4505" s="533" t="s">
        <v>7022</v>
      </c>
      <c r="D4505" s="656" t="s">
        <v>402</v>
      </c>
      <c r="E4505" s="534">
        <v>775.19375600000001</v>
      </c>
    </row>
    <row r="4506" spans="2:5" x14ac:dyDescent="0.2">
      <c r="B4506" s="533">
        <v>5409</v>
      </c>
      <c r="C4506" s="533" t="s">
        <v>3444</v>
      </c>
      <c r="D4506" s="656" t="s">
        <v>402</v>
      </c>
      <c r="E4506" s="534">
        <v>713.41538600000001</v>
      </c>
    </row>
    <row r="4507" spans="2:5" x14ac:dyDescent="0.2">
      <c r="B4507" s="533">
        <v>5410</v>
      </c>
      <c r="C4507" s="533" t="s">
        <v>2899</v>
      </c>
      <c r="D4507" s="656" t="s">
        <v>402</v>
      </c>
      <c r="E4507" s="534">
        <v>686.15453500000001</v>
      </c>
    </row>
    <row r="4508" spans="2:5" x14ac:dyDescent="0.2">
      <c r="B4508" s="533">
        <v>5411</v>
      </c>
      <c r="C4508" s="533" t="s">
        <v>3498</v>
      </c>
      <c r="D4508" s="656" t="s">
        <v>402</v>
      </c>
      <c r="E4508" s="534">
        <v>716.41999499999997</v>
      </c>
    </row>
    <row r="4509" spans="2:5" x14ac:dyDescent="0.2">
      <c r="B4509" s="533">
        <v>5412</v>
      </c>
      <c r="C4509" s="533" t="s">
        <v>3841</v>
      </c>
      <c r="D4509" s="656" t="s">
        <v>402</v>
      </c>
      <c r="E4509" s="534">
        <v>735.60001199999999</v>
      </c>
    </row>
    <row r="4510" spans="2:5" x14ac:dyDescent="0.2">
      <c r="B4510" s="533">
        <v>5413</v>
      </c>
      <c r="C4510" s="533" t="s">
        <v>3247</v>
      </c>
      <c r="D4510" s="656" t="s">
        <v>402</v>
      </c>
      <c r="E4510" s="534">
        <v>703.43998999999997</v>
      </c>
    </row>
    <row r="4511" spans="2:5" x14ac:dyDescent="0.2">
      <c r="B4511" s="533">
        <v>5414</v>
      </c>
      <c r="C4511" s="533" t="s">
        <v>3304</v>
      </c>
      <c r="D4511" s="656" t="s">
        <v>402</v>
      </c>
      <c r="E4511" s="534">
        <v>706.68666599999995</v>
      </c>
    </row>
    <row r="4512" spans="2:5" x14ac:dyDescent="0.2">
      <c r="B4512" s="533">
        <v>5415</v>
      </c>
      <c r="C4512" s="533" t="s">
        <v>2822</v>
      </c>
      <c r="D4512" s="656" t="s">
        <v>402</v>
      </c>
      <c r="E4512" s="534">
        <v>682.95001200000002</v>
      </c>
    </row>
    <row r="4513" spans="2:5" x14ac:dyDescent="0.2">
      <c r="B4513" s="533">
        <v>5416</v>
      </c>
      <c r="C4513" s="533" t="s">
        <v>1761</v>
      </c>
      <c r="D4513" s="656" t="s">
        <v>402</v>
      </c>
      <c r="E4513" s="534">
        <v>694.87777400000004</v>
      </c>
    </row>
    <row r="4514" spans="2:5" x14ac:dyDescent="0.2">
      <c r="B4514" s="533">
        <v>5417</v>
      </c>
      <c r="C4514" s="533" t="s">
        <v>6856</v>
      </c>
      <c r="D4514" s="656" t="s">
        <v>402</v>
      </c>
      <c r="E4514" s="534">
        <v>744.20000600000003</v>
      </c>
    </row>
    <row r="4515" spans="2:5" x14ac:dyDescent="0.2">
      <c r="B4515" s="533">
        <v>5418</v>
      </c>
      <c r="C4515" s="533" t="s">
        <v>3070</v>
      </c>
      <c r="D4515" s="656" t="s">
        <v>402</v>
      </c>
      <c r="E4515" s="534">
        <v>695.08921299999997</v>
      </c>
    </row>
    <row r="4516" spans="2:5" x14ac:dyDescent="0.2">
      <c r="B4516" s="533">
        <v>5419</v>
      </c>
      <c r="C4516" s="533" t="s">
        <v>3979</v>
      </c>
      <c r="D4516" s="656" t="s">
        <v>402</v>
      </c>
      <c r="E4516" s="534">
        <v>744.24615500000004</v>
      </c>
    </row>
    <row r="4517" spans="2:5" x14ac:dyDescent="0.2">
      <c r="B4517" s="533">
        <v>5420</v>
      </c>
      <c r="C4517" s="533" t="s">
        <v>3460</v>
      </c>
      <c r="D4517" s="656" t="s">
        <v>402</v>
      </c>
      <c r="E4517" s="534">
        <v>763.93636300000003</v>
      </c>
    </row>
    <row r="4518" spans="2:5" x14ac:dyDescent="0.2">
      <c r="B4518" s="533">
        <v>5421</v>
      </c>
      <c r="C4518" s="533" t="s">
        <v>3511</v>
      </c>
      <c r="D4518" s="656" t="s">
        <v>402</v>
      </c>
      <c r="E4518" s="534">
        <v>717.31666099999995</v>
      </c>
    </row>
    <row r="4519" spans="2:5" x14ac:dyDescent="0.2">
      <c r="B4519" s="533">
        <v>5422</v>
      </c>
      <c r="C4519" s="533" t="s">
        <v>6667</v>
      </c>
      <c r="D4519" s="656" t="s">
        <v>402</v>
      </c>
      <c r="E4519" s="534">
        <v>710.45554600000003</v>
      </c>
    </row>
    <row r="4520" spans="2:5" x14ac:dyDescent="0.2">
      <c r="B4520" s="533">
        <v>5423</v>
      </c>
      <c r="C4520" s="533" t="s">
        <v>3123</v>
      </c>
      <c r="D4520" s="656" t="s">
        <v>402</v>
      </c>
      <c r="E4520" s="534">
        <v>697.758331</v>
      </c>
    </row>
    <row r="4521" spans="2:5" x14ac:dyDescent="0.2">
      <c r="B4521" s="533">
        <v>5424</v>
      </c>
      <c r="C4521" s="533" t="s">
        <v>798</v>
      </c>
      <c r="D4521" s="656" t="s">
        <v>402</v>
      </c>
      <c r="E4521" s="534">
        <v>681.26249700000005</v>
      </c>
    </row>
    <row r="4522" spans="2:5" x14ac:dyDescent="0.2">
      <c r="B4522" s="533">
        <v>5425</v>
      </c>
      <c r="C4522" s="533" t="s">
        <v>3433</v>
      </c>
      <c r="D4522" s="656" t="s">
        <v>402</v>
      </c>
      <c r="E4522" s="534">
        <v>712.92999899999995</v>
      </c>
    </row>
    <row r="4523" spans="2:5" x14ac:dyDescent="0.2">
      <c r="B4523" s="533">
        <v>5426</v>
      </c>
      <c r="C4523" s="533" t="s">
        <v>2872</v>
      </c>
      <c r="D4523" s="656" t="s">
        <v>402</v>
      </c>
      <c r="E4523" s="534">
        <v>685.38750500000003</v>
      </c>
    </row>
    <row r="4524" spans="2:5" x14ac:dyDescent="0.2">
      <c r="B4524" s="533">
        <v>5427</v>
      </c>
      <c r="C4524" s="533" t="s">
        <v>1600</v>
      </c>
      <c r="D4524" s="656" t="s">
        <v>402</v>
      </c>
      <c r="E4524" s="534">
        <v>703.70001200000002</v>
      </c>
    </row>
    <row r="4525" spans="2:5" x14ac:dyDescent="0.2">
      <c r="B4525" s="533">
        <v>5428</v>
      </c>
      <c r="C4525" s="533" t="s">
        <v>3139</v>
      </c>
      <c r="D4525" s="656" t="s">
        <v>402</v>
      </c>
      <c r="E4525" s="534">
        <v>698.740002</v>
      </c>
    </row>
    <row r="4526" spans="2:5" x14ac:dyDescent="0.2">
      <c r="B4526" s="533">
        <v>5429</v>
      </c>
      <c r="C4526" s="533" t="s">
        <v>2889</v>
      </c>
      <c r="D4526" s="656" t="s">
        <v>402</v>
      </c>
      <c r="E4526" s="534">
        <v>685.81999499999995</v>
      </c>
    </row>
    <row r="4527" spans="2:5" x14ac:dyDescent="0.2">
      <c r="B4527" s="533">
        <v>5430</v>
      </c>
      <c r="C4527" s="533" t="s">
        <v>3098</v>
      </c>
      <c r="D4527" s="656" t="s">
        <v>402</v>
      </c>
      <c r="E4527" s="534">
        <v>696.59997599999997</v>
      </c>
    </row>
    <row r="4528" spans="2:5" x14ac:dyDescent="0.2">
      <c r="B4528" s="533">
        <v>5431</v>
      </c>
      <c r="C4528" s="533" t="s">
        <v>7538</v>
      </c>
      <c r="D4528" s="656" t="s">
        <v>402</v>
      </c>
      <c r="E4528" s="534">
        <v>683.13332100000002</v>
      </c>
    </row>
    <row r="4529" spans="2:5" x14ac:dyDescent="0.2">
      <c r="B4529" s="533">
        <v>5432</v>
      </c>
      <c r="C4529" s="533" t="s">
        <v>3185</v>
      </c>
      <c r="D4529" s="656" t="s">
        <v>402</v>
      </c>
      <c r="E4529" s="534">
        <v>700.83333300000004</v>
      </c>
    </row>
    <row r="4530" spans="2:5" x14ac:dyDescent="0.2">
      <c r="B4530" s="533">
        <v>5433</v>
      </c>
      <c r="C4530" s="533" t="s">
        <v>3653</v>
      </c>
      <c r="D4530" s="656" t="s">
        <v>402</v>
      </c>
      <c r="E4530" s="534">
        <v>724.91666699999996</v>
      </c>
    </row>
    <row r="4531" spans="2:5" x14ac:dyDescent="0.2">
      <c r="B4531" s="533">
        <v>5434</v>
      </c>
      <c r="C4531" s="533" t="s">
        <v>3811</v>
      </c>
      <c r="D4531" s="656" t="s">
        <v>402</v>
      </c>
      <c r="E4531" s="534">
        <v>733.94998199999998</v>
      </c>
    </row>
    <row r="4532" spans="2:5" x14ac:dyDescent="0.2">
      <c r="B4532" s="533">
        <v>5435</v>
      </c>
      <c r="C4532" s="533" t="s">
        <v>1151</v>
      </c>
      <c r="D4532" s="656" t="s">
        <v>402</v>
      </c>
      <c r="E4532" s="534">
        <v>601.60000600000001</v>
      </c>
    </row>
    <row r="4533" spans="2:5" x14ac:dyDescent="0.2">
      <c r="B4533" s="533">
        <v>5436</v>
      </c>
      <c r="C4533" s="533" t="s">
        <v>6499</v>
      </c>
      <c r="D4533" s="656" t="s">
        <v>402</v>
      </c>
      <c r="E4533" s="534">
        <v>653.69999499999994</v>
      </c>
    </row>
    <row r="4534" spans="2:5" x14ac:dyDescent="0.2">
      <c r="B4534" s="533">
        <v>5437</v>
      </c>
      <c r="C4534" s="533" t="s">
        <v>1855</v>
      </c>
      <c r="D4534" s="656" t="s">
        <v>402</v>
      </c>
      <c r="E4534" s="534">
        <v>638.53332499999999</v>
      </c>
    </row>
    <row r="4535" spans="2:5" x14ac:dyDescent="0.2">
      <c r="B4535" s="533">
        <v>5438</v>
      </c>
      <c r="C4535" s="533" t="s">
        <v>3500</v>
      </c>
      <c r="D4535" s="656" t="s">
        <v>402</v>
      </c>
      <c r="E4535" s="534">
        <v>716.76000999999997</v>
      </c>
    </row>
    <row r="4536" spans="2:5" x14ac:dyDescent="0.2">
      <c r="B4536" s="533">
        <v>5439</v>
      </c>
      <c r="C4536" s="533" t="s">
        <v>3058</v>
      </c>
      <c r="D4536" s="656" t="s">
        <v>402</v>
      </c>
      <c r="E4536" s="534">
        <v>694.27499399999999</v>
      </c>
    </row>
    <row r="4537" spans="2:5" x14ac:dyDescent="0.2">
      <c r="B4537" s="533">
        <v>5440</v>
      </c>
      <c r="C4537" s="533" t="s">
        <v>2933</v>
      </c>
      <c r="D4537" s="656" t="s">
        <v>402</v>
      </c>
      <c r="E4537" s="534">
        <v>687.5</v>
      </c>
    </row>
    <row r="4538" spans="2:5" x14ac:dyDescent="0.2">
      <c r="B4538" s="533">
        <v>5441</v>
      </c>
      <c r="C4538" s="533" t="s">
        <v>7515</v>
      </c>
      <c r="D4538" s="656" t="s">
        <v>402</v>
      </c>
      <c r="E4538" s="534">
        <v>628.23999000000003</v>
      </c>
    </row>
    <row r="4539" spans="2:5" x14ac:dyDescent="0.2">
      <c r="B4539" s="533">
        <v>5442</v>
      </c>
      <c r="C4539" s="533" t="s">
        <v>1932</v>
      </c>
      <c r="D4539" s="656" t="s">
        <v>402</v>
      </c>
      <c r="E4539" s="534">
        <v>641.46667500000001</v>
      </c>
    </row>
    <row r="4540" spans="2:5" x14ac:dyDescent="0.2">
      <c r="B4540" s="533">
        <v>5443</v>
      </c>
      <c r="C4540" s="533" t="s">
        <v>7191</v>
      </c>
      <c r="D4540" s="656" t="s">
        <v>402</v>
      </c>
      <c r="E4540" s="534">
        <v>677.79998799999998</v>
      </c>
    </row>
    <row r="4541" spans="2:5" x14ac:dyDescent="0.2">
      <c r="B4541" s="533">
        <v>5444</v>
      </c>
      <c r="C4541" s="533" t="s">
        <v>3767</v>
      </c>
      <c r="D4541" s="656" t="s">
        <v>402</v>
      </c>
      <c r="E4541" s="534">
        <v>731.56001000000003</v>
      </c>
    </row>
    <row r="4542" spans="2:5" x14ac:dyDescent="0.2">
      <c r="B4542" s="533">
        <v>5445</v>
      </c>
      <c r="C4542" s="533" t="s">
        <v>3256</v>
      </c>
      <c r="D4542" s="656" t="s">
        <v>402</v>
      </c>
      <c r="E4542" s="534">
        <v>703.759998</v>
      </c>
    </row>
    <row r="4543" spans="2:5" x14ac:dyDescent="0.2">
      <c r="B4543" s="533">
        <v>5446</v>
      </c>
      <c r="C4543" s="533" t="s">
        <v>3788</v>
      </c>
      <c r="D4543" s="656" t="s">
        <v>402</v>
      </c>
      <c r="E4543" s="534">
        <v>732.54999799999996</v>
      </c>
    </row>
    <row r="4544" spans="2:5" x14ac:dyDescent="0.2">
      <c r="B4544" s="533">
        <v>5447</v>
      </c>
      <c r="C4544" s="533" t="s">
        <v>1195</v>
      </c>
      <c r="D4544" s="656" t="s">
        <v>402</v>
      </c>
      <c r="E4544" s="534">
        <v>669.38889600000005</v>
      </c>
    </row>
    <row r="4545" spans="2:5" x14ac:dyDescent="0.2">
      <c r="B4545" s="533">
        <v>5450</v>
      </c>
      <c r="C4545" s="533" t="s">
        <v>3589</v>
      </c>
      <c r="D4545" s="656" t="s">
        <v>398</v>
      </c>
      <c r="E4545" s="534">
        <v>721.159088</v>
      </c>
    </row>
    <row r="4546" spans="2:5" x14ac:dyDescent="0.2">
      <c r="B4546" s="533">
        <v>5451</v>
      </c>
      <c r="C4546" s="533" t="s">
        <v>3978</v>
      </c>
      <c r="D4546" s="656" t="s">
        <v>398</v>
      </c>
      <c r="E4546" s="534">
        <v>744.23750299999995</v>
      </c>
    </row>
    <row r="4547" spans="2:5" x14ac:dyDescent="0.2">
      <c r="B4547" s="533">
        <v>5452</v>
      </c>
      <c r="C4547" s="533" t="s">
        <v>3354</v>
      </c>
      <c r="D4547" s="656" t="s">
        <v>398</v>
      </c>
      <c r="E4547" s="534">
        <v>709.12221999999997</v>
      </c>
    </row>
    <row r="4548" spans="2:5" x14ac:dyDescent="0.2">
      <c r="B4548" s="533">
        <v>5453</v>
      </c>
      <c r="C4548" s="533" t="s">
        <v>3133</v>
      </c>
      <c r="D4548" s="656" t="s">
        <v>398</v>
      </c>
      <c r="E4548" s="534">
        <v>698.383331</v>
      </c>
    </row>
    <row r="4549" spans="2:5" x14ac:dyDescent="0.2">
      <c r="B4549" s="533">
        <v>5454</v>
      </c>
      <c r="C4549" s="533" t="s">
        <v>3524</v>
      </c>
      <c r="D4549" s="656" t="s">
        <v>398</v>
      </c>
      <c r="E4549" s="534">
        <v>718.136841</v>
      </c>
    </row>
    <row r="4550" spans="2:5" x14ac:dyDescent="0.2">
      <c r="B4550" s="533">
        <v>5455</v>
      </c>
      <c r="C4550" s="533" t="s">
        <v>3237</v>
      </c>
      <c r="D4550" s="656" t="s">
        <v>398</v>
      </c>
      <c r="E4550" s="534">
        <v>703.20001200000002</v>
      </c>
    </row>
    <row r="4551" spans="2:5" x14ac:dyDescent="0.2">
      <c r="B4551" s="533">
        <v>5456</v>
      </c>
      <c r="C4551" s="533" t="s">
        <v>3761</v>
      </c>
      <c r="D4551" s="656" t="s">
        <v>398</v>
      </c>
      <c r="E4551" s="534">
        <v>731.17999899999995</v>
      </c>
    </row>
    <row r="4552" spans="2:5" x14ac:dyDescent="0.2">
      <c r="B4552" s="533">
        <v>5457</v>
      </c>
      <c r="C4552" s="533" t="s">
        <v>3608</v>
      </c>
      <c r="D4552" s="656" t="s">
        <v>398</v>
      </c>
      <c r="E4552" s="534">
        <v>722.86000999999999</v>
      </c>
    </row>
    <row r="4553" spans="2:5" x14ac:dyDescent="0.2">
      <c r="B4553" s="533">
        <v>5458</v>
      </c>
      <c r="C4553" s="533" t="s">
        <v>2077</v>
      </c>
      <c r="D4553" s="656" t="s">
        <v>398</v>
      </c>
      <c r="E4553" s="534">
        <v>679.85000600000001</v>
      </c>
    </row>
    <row r="4554" spans="2:5" x14ac:dyDescent="0.2">
      <c r="B4554" s="533">
        <v>5459</v>
      </c>
      <c r="C4554" s="533" t="s">
        <v>1406</v>
      </c>
      <c r="D4554" s="656" t="s">
        <v>398</v>
      </c>
      <c r="E4554" s="534">
        <v>616.20001200000002</v>
      </c>
    </row>
    <row r="4555" spans="2:5" x14ac:dyDescent="0.2">
      <c r="B4555" s="533">
        <v>5460</v>
      </c>
      <c r="C4555" s="533" t="s">
        <v>2178</v>
      </c>
      <c r="D4555" s="656" t="s">
        <v>398</v>
      </c>
      <c r="E4555" s="534">
        <v>652.33333300000004</v>
      </c>
    </row>
    <row r="4556" spans="2:5" x14ac:dyDescent="0.2">
      <c r="B4556" s="533">
        <v>5461</v>
      </c>
      <c r="C4556" s="533" t="s">
        <v>6613</v>
      </c>
      <c r="D4556" s="656" t="s">
        <v>398</v>
      </c>
      <c r="E4556" s="534">
        <v>655.12000699999999</v>
      </c>
    </row>
    <row r="4557" spans="2:5" x14ac:dyDescent="0.2">
      <c r="B4557" s="533">
        <v>5462</v>
      </c>
      <c r="C4557" s="533" t="s">
        <v>1219</v>
      </c>
      <c r="D4557" s="656" t="s">
        <v>398</v>
      </c>
      <c r="E4557" s="534">
        <v>612.71999500000004</v>
      </c>
    </row>
    <row r="4558" spans="2:5" x14ac:dyDescent="0.2">
      <c r="B4558" s="533">
        <v>5463</v>
      </c>
      <c r="C4558" s="533" t="s">
        <v>2632</v>
      </c>
      <c r="D4558" s="656" t="s">
        <v>398</v>
      </c>
      <c r="E4558" s="534">
        <v>673.49998500000004</v>
      </c>
    </row>
    <row r="4559" spans="2:5" x14ac:dyDescent="0.2">
      <c r="B4559" s="533">
        <v>5464</v>
      </c>
      <c r="C4559" s="533" t="s">
        <v>2273</v>
      </c>
      <c r="D4559" s="656" t="s">
        <v>398</v>
      </c>
      <c r="E4559" s="534">
        <v>656.50000599999998</v>
      </c>
    </row>
    <row r="4560" spans="2:5" x14ac:dyDescent="0.2">
      <c r="B4560" s="533">
        <v>5465</v>
      </c>
      <c r="C4560" s="533" t="s">
        <v>1903</v>
      </c>
      <c r="D4560" s="656" t="s">
        <v>398</v>
      </c>
      <c r="E4560" s="534">
        <v>640.48000500000001</v>
      </c>
    </row>
    <row r="4561" spans="2:5" x14ac:dyDescent="0.2">
      <c r="B4561" s="533">
        <v>5466</v>
      </c>
      <c r="C4561" s="533" t="s">
        <v>3465</v>
      </c>
      <c r="D4561" s="656" t="s">
        <v>398</v>
      </c>
      <c r="E4561" s="534">
        <v>714.54444699999999</v>
      </c>
    </row>
    <row r="4562" spans="2:5" x14ac:dyDescent="0.2">
      <c r="B4562" s="533">
        <v>5467</v>
      </c>
      <c r="C4562" s="533" t="s">
        <v>3689</v>
      </c>
      <c r="D4562" s="656" t="s">
        <v>398</v>
      </c>
      <c r="E4562" s="534">
        <v>727.09997599999997</v>
      </c>
    </row>
    <row r="4563" spans="2:5" x14ac:dyDescent="0.2">
      <c r="B4563" s="533">
        <v>5468</v>
      </c>
      <c r="C4563" s="533" t="s">
        <v>2154</v>
      </c>
      <c r="D4563" s="656" t="s">
        <v>398</v>
      </c>
      <c r="E4563" s="534">
        <v>651.4</v>
      </c>
    </row>
    <row r="4564" spans="2:5" x14ac:dyDescent="0.2">
      <c r="B4564" s="533">
        <v>5469</v>
      </c>
      <c r="C4564" s="533" t="s">
        <v>2366</v>
      </c>
      <c r="D4564" s="656" t="s">
        <v>398</v>
      </c>
      <c r="E4564" s="534">
        <v>660.70001200000002</v>
      </c>
    </row>
    <row r="4565" spans="2:5" x14ac:dyDescent="0.2">
      <c r="B4565" s="533">
        <v>5470</v>
      </c>
      <c r="C4565" s="533" t="s">
        <v>3228</v>
      </c>
      <c r="D4565" s="656" t="s">
        <v>398</v>
      </c>
      <c r="E4565" s="534">
        <v>702.82223199999999</v>
      </c>
    </row>
    <row r="4566" spans="2:5" x14ac:dyDescent="0.2">
      <c r="B4566" s="533">
        <v>5471</v>
      </c>
      <c r="C4566" s="533" t="s">
        <v>3688</v>
      </c>
      <c r="D4566" s="656" t="s">
        <v>398</v>
      </c>
      <c r="E4566" s="534">
        <v>726.93335000000002</v>
      </c>
    </row>
    <row r="4567" spans="2:5" x14ac:dyDescent="0.2">
      <c r="B4567" s="533">
        <v>5472</v>
      </c>
      <c r="C4567" s="533" t="s">
        <v>6873</v>
      </c>
      <c r="D4567" s="656" t="s">
        <v>398</v>
      </c>
      <c r="E4567" s="534">
        <v>668.20769299999995</v>
      </c>
    </row>
    <row r="4568" spans="2:5" x14ac:dyDescent="0.2">
      <c r="B4568" s="533">
        <v>5473</v>
      </c>
      <c r="C4568" s="533" t="s">
        <v>2786</v>
      </c>
      <c r="D4568" s="656" t="s">
        <v>398</v>
      </c>
      <c r="E4568" s="534">
        <v>680.55000299999995</v>
      </c>
    </row>
    <row r="4569" spans="2:5" x14ac:dyDescent="0.2">
      <c r="B4569" s="533">
        <v>5474</v>
      </c>
      <c r="C4569" s="533" t="s">
        <v>1067</v>
      </c>
      <c r="D4569" s="656" t="s">
        <v>398</v>
      </c>
      <c r="E4569" s="534">
        <v>728.572721</v>
      </c>
    </row>
    <row r="4570" spans="2:5" x14ac:dyDescent="0.2">
      <c r="B4570" s="533">
        <v>5475</v>
      </c>
      <c r="C4570" s="533" t="s">
        <v>1047</v>
      </c>
      <c r="D4570" s="656" t="s">
        <v>398</v>
      </c>
      <c r="E4570" s="534">
        <v>594.31428700000004</v>
      </c>
    </row>
    <row r="4571" spans="2:5" x14ac:dyDescent="0.2">
      <c r="B4571" s="533">
        <v>5476</v>
      </c>
      <c r="C4571" s="533" t="s">
        <v>2257</v>
      </c>
      <c r="D4571" s="656" t="s">
        <v>398</v>
      </c>
      <c r="E4571" s="534">
        <v>656.00001199999997</v>
      </c>
    </row>
    <row r="4572" spans="2:5" x14ac:dyDescent="0.2">
      <c r="B4572" s="533">
        <v>5477</v>
      </c>
      <c r="C4572" s="533" t="s">
        <v>3429</v>
      </c>
      <c r="D4572" s="656" t="s">
        <v>398</v>
      </c>
      <c r="E4572" s="534">
        <v>712.75714100000005</v>
      </c>
    </row>
    <row r="4573" spans="2:5" x14ac:dyDescent="0.2">
      <c r="B4573" s="533">
        <v>5478</v>
      </c>
      <c r="C4573" s="533" t="s">
        <v>2735</v>
      </c>
      <c r="D4573" s="656" t="s">
        <v>398</v>
      </c>
      <c r="E4573" s="534">
        <v>677.97857199999999</v>
      </c>
    </row>
    <row r="4574" spans="2:5" x14ac:dyDescent="0.2">
      <c r="B4574" s="533">
        <v>5479</v>
      </c>
      <c r="C4574" s="533" t="s">
        <v>1972</v>
      </c>
      <c r="D4574" s="656" t="s">
        <v>398</v>
      </c>
      <c r="E4574" s="534">
        <v>718.95453399999997</v>
      </c>
    </row>
    <row r="4575" spans="2:5" x14ac:dyDescent="0.2">
      <c r="B4575" s="533">
        <v>5480</v>
      </c>
      <c r="C4575" s="533" t="s">
        <v>3270</v>
      </c>
      <c r="D4575" s="656" t="s">
        <v>398</v>
      </c>
      <c r="E4575" s="534">
        <v>704.62727500000005</v>
      </c>
    </row>
    <row r="4576" spans="2:5" x14ac:dyDescent="0.2">
      <c r="B4576" s="533">
        <v>5481</v>
      </c>
      <c r="C4576" s="533" t="s">
        <v>3340</v>
      </c>
      <c r="D4576" s="656" t="s">
        <v>398</v>
      </c>
      <c r="E4576" s="534">
        <v>708.44615299999998</v>
      </c>
    </row>
    <row r="4577" spans="2:5" x14ac:dyDescent="0.2">
      <c r="B4577" s="533">
        <v>5482</v>
      </c>
      <c r="C4577" s="533" t="s">
        <v>3063</v>
      </c>
      <c r="D4577" s="656" t="s">
        <v>398</v>
      </c>
      <c r="E4577" s="534">
        <v>694.61818100000005</v>
      </c>
    </row>
    <row r="4578" spans="2:5" x14ac:dyDescent="0.2">
      <c r="B4578" s="533">
        <v>5483</v>
      </c>
      <c r="C4578" s="533" t="s">
        <v>3744</v>
      </c>
      <c r="D4578" s="656" t="s">
        <v>398</v>
      </c>
      <c r="E4578" s="534">
        <v>729.95001200000002</v>
      </c>
    </row>
    <row r="4579" spans="2:5" x14ac:dyDescent="0.2">
      <c r="B4579" s="533">
        <v>5484</v>
      </c>
      <c r="C4579" s="533" t="s">
        <v>3238</v>
      </c>
      <c r="D4579" s="656" t="s">
        <v>398</v>
      </c>
      <c r="E4579" s="534">
        <v>703.20001200000002</v>
      </c>
    </row>
    <row r="4580" spans="2:5" x14ac:dyDescent="0.2">
      <c r="B4580" s="533">
        <v>5485</v>
      </c>
      <c r="C4580" s="533" t="s">
        <v>1588</v>
      </c>
      <c r="D4580" s="656" t="s">
        <v>398</v>
      </c>
      <c r="E4580" s="534">
        <v>695.16364099999998</v>
      </c>
    </row>
    <row r="4581" spans="2:5" x14ac:dyDescent="0.2">
      <c r="B4581" s="533">
        <v>5486</v>
      </c>
      <c r="C4581" s="533" t="s">
        <v>3356</v>
      </c>
      <c r="D4581" s="656" t="s">
        <v>398</v>
      </c>
      <c r="E4581" s="534">
        <v>709.18333900000005</v>
      </c>
    </row>
    <row r="4582" spans="2:5" x14ac:dyDescent="0.2">
      <c r="B4582" s="533">
        <v>5487</v>
      </c>
      <c r="C4582" s="533" t="s">
        <v>2043</v>
      </c>
      <c r="D4582" s="656" t="s">
        <v>398</v>
      </c>
      <c r="E4582" s="534">
        <v>672.13333599999999</v>
      </c>
    </row>
    <row r="4583" spans="2:5" x14ac:dyDescent="0.2">
      <c r="B4583" s="533">
        <v>5488</v>
      </c>
      <c r="C4583" s="533" t="s">
        <v>2073</v>
      </c>
      <c r="D4583" s="656" t="s">
        <v>398</v>
      </c>
      <c r="E4583" s="534">
        <v>647.28461200000004</v>
      </c>
    </row>
    <row r="4584" spans="2:5" x14ac:dyDescent="0.2">
      <c r="B4584" s="533">
        <v>5501</v>
      </c>
      <c r="C4584" s="533" t="s">
        <v>2878</v>
      </c>
      <c r="D4584" s="656" t="s">
        <v>392</v>
      </c>
      <c r="E4584" s="534">
        <v>685.5</v>
      </c>
    </row>
    <row r="4585" spans="2:5" x14ac:dyDescent="0.2">
      <c r="B4585" s="533">
        <v>5502</v>
      </c>
      <c r="C4585" s="533" t="s">
        <v>2594</v>
      </c>
      <c r="D4585" s="656" t="s">
        <v>392</v>
      </c>
      <c r="E4585" s="534">
        <v>670.9</v>
      </c>
    </row>
    <row r="4586" spans="2:5" x14ac:dyDescent="0.2">
      <c r="B4586" s="533">
        <v>5503</v>
      </c>
      <c r="C4586" s="533" t="s">
        <v>3537</v>
      </c>
      <c r="D4586" s="656" t="s">
        <v>392</v>
      </c>
      <c r="E4586" s="534">
        <v>718.66666699999996</v>
      </c>
    </row>
    <row r="4587" spans="2:5" x14ac:dyDescent="0.2">
      <c r="B4587" s="533">
        <v>5504</v>
      </c>
      <c r="C4587" s="533" t="s">
        <v>4274</v>
      </c>
      <c r="D4587" s="656" t="s">
        <v>392</v>
      </c>
      <c r="E4587" s="534">
        <v>763.51666299999999</v>
      </c>
    </row>
    <row r="4588" spans="2:5" x14ac:dyDescent="0.2">
      <c r="B4588" s="533">
        <v>5505</v>
      </c>
      <c r="C4588" s="533" t="s">
        <v>4346</v>
      </c>
      <c r="D4588" s="656" t="s">
        <v>392</v>
      </c>
      <c r="E4588" s="534">
        <v>768.41999499999997</v>
      </c>
    </row>
    <row r="4589" spans="2:5" x14ac:dyDescent="0.2">
      <c r="B4589" s="533">
        <v>5506</v>
      </c>
      <c r="C4589" s="533" t="s">
        <v>6491</v>
      </c>
      <c r="D4589" s="656" t="s">
        <v>392</v>
      </c>
      <c r="E4589" s="534">
        <v>644.09999600000003</v>
      </c>
    </row>
    <row r="4590" spans="2:5" x14ac:dyDescent="0.2">
      <c r="B4590" s="533">
        <v>5507</v>
      </c>
      <c r="C4590" s="533" t="s">
        <v>1328</v>
      </c>
      <c r="D4590" s="656" t="s">
        <v>392</v>
      </c>
      <c r="E4590" s="534">
        <v>673.41428900000005</v>
      </c>
    </row>
    <row r="4591" spans="2:5" x14ac:dyDescent="0.2">
      <c r="B4591" s="533">
        <v>5508</v>
      </c>
      <c r="C4591" s="533" t="s">
        <v>3102</v>
      </c>
      <c r="D4591" s="656" t="s">
        <v>392</v>
      </c>
      <c r="E4591" s="534">
        <v>696.76250500000003</v>
      </c>
    </row>
    <row r="4592" spans="2:5" x14ac:dyDescent="0.2">
      <c r="B4592" s="533">
        <v>5509</v>
      </c>
      <c r="C4592" s="533" t="s">
        <v>2967</v>
      </c>
      <c r="D4592" s="656" t="s">
        <v>392</v>
      </c>
      <c r="E4592" s="534">
        <v>689.13635299999999</v>
      </c>
    </row>
    <row r="4593" spans="2:5" x14ac:dyDescent="0.2">
      <c r="B4593" s="533">
        <v>5510</v>
      </c>
      <c r="C4593" s="533" t="s">
        <v>4208</v>
      </c>
      <c r="D4593" s="656" t="s">
        <v>392</v>
      </c>
      <c r="E4593" s="534">
        <v>758.78333499999997</v>
      </c>
    </row>
    <row r="4594" spans="2:5" x14ac:dyDescent="0.2">
      <c r="B4594" s="533">
        <v>5511</v>
      </c>
      <c r="C4594" s="533" t="s">
        <v>3590</v>
      </c>
      <c r="D4594" s="656" t="s">
        <v>392</v>
      </c>
      <c r="E4594" s="534">
        <v>721.29998799999998</v>
      </c>
    </row>
    <row r="4595" spans="2:5" x14ac:dyDescent="0.2">
      <c r="B4595" s="533">
        <v>5512</v>
      </c>
      <c r="C4595" s="533" t="s">
        <v>1982</v>
      </c>
      <c r="D4595" s="656" t="s">
        <v>392</v>
      </c>
      <c r="E4595" s="534">
        <v>760.46667500000001</v>
      </c>
    </row>
    <row r="4596" spans="2:5" x14ac:dyDescent="0.2">
      <c r="B4596" s="533">
        <v>5513</v>
      </c>
      <c r="C4596" s="533" t="s">
        <v>4089</v>
      </c>
      <c r="D4596" s="656" t="s">
        <v>392</v>
      </c>
      <c r="E4596" s="534">
        <v>750.70001200000002</v>
      </c>
    </row>
    <row r="4597" spans="2:5" x14ac:dyDescent="0.2">
      <c r="B4597" s="533">
        <v>5514</v>
      </c>
      <c r="C4597" s="533" t="s">
        <v>3408</v>
      </c>
      <c r="D4597" s="656" t="s">
        <v>392</v>
      </c>
      <c r="E4597" s="534">
        <v>712.11111800000003</v>
      </c>
    </row>
    <row r="4598" spans="2:5" x14ac:dyDescent="0.2">
      <c r="B4598" s="533">
        <v>5515</v>
      </c>
      <c r="C4598" s="533" t="s">
        <v>2602</v>
      </c>
      <c r="D4598" s="656" t="s">
        <v>392</v>
      </c>
      <c r="E4598" s="534">
        <v>671.38332100000002</v>
      </c>
    </row>
    <row r="4599" spans="2:5" x14ac:dyDescent="0.2">
      <c r="B4599" s="533">
        <v>5516</v>
      </c>
      <c r="C4599" s="533" t="s">
        <v>798</v>
      </c>
      <c r="D4599" s="656" t="s">
        <v>392</v>
      </c>
      <c r="E4599" s="534">
        <v>699.21249399999999</v>
      </c>
    </row>
    <row r="4600" spans="2:5" x14ac:dyDescent="0.2">
      <c r="B4600" s="533">
        <v>5517</v>
      </c>
      <c r="C4600" s="533" t="s">
        <v>2643</v>
      </c>
      <c r="D4600" s="656" t="s">
        <v>392</v>
      </c>
      <c r="E4600" s="534">
        <v>673.90000899999995</v>
      </c>
    </row>
    <row r="4601" spans="2:5" x14ac:dyDescent="0.2">
      <c r="B4601" s="533">
        <v>5518</v>
      </c>
      <c r="C4601" s="533" t="s">
        <v>3232</v>
      </c>
      <c r="D4601" s="656" t="s">
        <v>392</v>
      </c>
      <c r="E4601" s="534">
        <v>703.1</v>
      </c>
    </row>
    <row r="4602" spans="2:5" x14ac:dyDescent="0.2">
      <c r="B4602" s="533">
        <v>5519</v>
      </c>
      <c r="C4602" s="533" t="s">
        <v>2935</v>
      </c>
      <c r="D4602" s="656" t="s">
        <v>392</v>
      </c>
      <c r="E4602" s="534">
        <v>687.51999499999999</v>
      </c>
    </row>
    <row r="4603" spans="2:5" x14ac:dyDescent="0.2">
      <c r="B4603" s="533">
        <v>5520</v>
      </c>
      <c r="C4603" s="533" t="s">
        <v>7384</v>
      </c>
      <c r="D4603" s="656" t="s">
        <v>392</v>
      </c>
      <c r="E4603" s="534">
        <v>705.35000600000001</v>
      </c>
    </row>
    <row r="4604" spans="2:5" x14ac:dyDescent="0.2">
      <c r="B4604" s="533">
        <v>5521</v>
      </c>
      <c r="C4604" s="533" t="s">
        <v>2969</v>
      </c>
      <c r="D4604" s="656" t="s">
        <v>392</v>
      </c>
      <c r="E4604" s="534">
        <v>689.20370400000002</v>
      </c>
    </row>
    <row r="4605" spans="2:5" x14ac:dyDescent="0.2">
      <c r="B4605" s="533">
        <v>5522</v>
      </c>
      <c r="C4605" s="533" t="s">
        <v>2216</v>
      </c>
      <c r="D4605" s="656" t="s">
        <v>392</v>
      </c>
      <c r="E4605" s="534">
        <v>654.13334099999997</v>
      </c>
    </row>
    <row r="4606" spans="2:5" x14ac:dyDescent="0.2">
      <c r="B4606" s="533">
        <v>5551</v>
      </c>
      <c r="C4606" s="533" t="s">
        <v>5516</v>
      </c>
      <c r="D4606" s="656" t="s">
        <v>395</v>
      </c>
      <c r="E4606" s="534">
        <v>899.73636699999997</v>
      </c>
    </row>
    <row r="4607" spans="2:5" x14ac:dyDescent="0.2">
      <c r="B4607" s="533">
        <v>5552</v>
      </c>
      <c r="C4607" s="533" t="s">
        <v>7449</v>
      </c>
      <c r="D4607" s="656" t="s">
        <v>395</v>
      </c>
      <c r="E4607" s="534">
        <v>787.18331899999998</v>
      </c>
    </row>
    <row r="4608" spans="2:5" x14ac:dyDescent="0.2">
      <c r="B4608" s="533">
        <v>5553</v>
      </c>
      <c r="C4608" s="533" t="s">
        <v>4690</v>
      </c>
      <c r="D4608" s="656" t="s">
        <v>395</v>
      </c>
      <c r="E4608" s="534">
        <v>795.67500299999995</v>
      </c>
    </row>
    <row r="4609" spans="2:5" x14ac:dyDescent="0.2">
      <c r="B4609" s="533">
        <v>5554</v>
      </c>
      <c r="C4609" s="533" t="s">
        <v>4869</v>
      </c>
      <c r="D4609" s="656" t="s">
        <v>395</v>
      </c>
      <c r="E4609" s="534">
        <v>809.52856399999996</v>
      </c>
    </row>
    <row r="4610" spans="2:5" x14ac:dyDescent="0.2">
      <c r="B4610" s="533">
        <v>5555</v>
      </c>
      <c r="C4610" s="533" t="s">
        <v>5164</v>
      </c>
      <c r="D4610" s="656" t="s">
        <v>395</v>
      </c>
      <c r="E4610" s="534">
        <v>841.38750500000003</v>
      </c>
    </row>
    <row r="4611" spans="2:5" x14ac:dyDescent="0.2">
      <c r="B4611" s="533">
        <v>5556</v>
      </c>
      <c r="C4611" s="533" t="s">
        <v>4820</v>
      </c>
      <c r="D4611" s="656" t="s">
        <v>395</v>
      </c>
      <c r="E4611" s="534">
        <v>806.04999499999997</v>
      </c>
    </row>
    <row r="4612" spans="2:5" x14ac:dyDescent="0.2">
      <c r="B4612" s="533">
        <v>5557</v>
      </c>
      <c r="C4612" s="533" t="s">
        <v>4297</v>
      </c>
      <c r="D4612" s="656" t="s">
        <v>395</v>
      </c>
      <c r="E4612" s="534">
        <v>765.12000699999999</v>
      </c>
    </row>
    <row r="4613" spans="2:5" x14ac:dyDescent="0.2">
      <c r="B4613" s="533">
        <v>5558</v>
      </c>
      <c r="C4613" s="533" t="s">
        <v>5142</v>
      </c>
      <c r="D4613" s="656" t="s">
        <v>395</v>
      </c>
      <c r="E4613" s="534">
        <v>839</v>
      </c>
    </row>
    <row r="4614" spans="2:5" x14ac:dyDescent="0.2">
      <c r="B4614" s="533">
        <v>5559</v>
      </c>
      <c r="C4614" s="533" t="s">
        <v>5364</v>
      </c>
      <c r="D4614" s="656" t="s">
        <v>395</v>
      </c>
      <c r="E4614" s="534">
        <v>874.19444799999997</v>
      </c>
    </row>
    <row r="4615" spans="2:5" x14ac:dyDescent="0.2">
      <c r="B4615" s="533">
        <v>5560</v>
      </c>
      <c r="C4615" s="533" t="s">
        <v>5451</v>
      </c>
      <c r="D4615" s="656" t="s">
        <v>395</v>
      </c>
      <c r="E4615" s="534">
        <v>950.92857600000002</v>
      </c>
    </row>
    <row r="4616" spans="2:5" x14ac:dyDescent="0.2">
      <c r="B4616" s="533">
        <v>5561</v>
      </c>
      <c r="C4616" s="533" t="s">
        <v>7001</v>
      </c>
      <c r="D4616" s="656" t="s">
        <v>395</v>
      </c>
      <c r="E4616" s="534">
        <v>897.51429099999996</v>
      </c>
    </row>
    <row r="4617" spans="2:5" x14ac:dyDescent="0.2">
      <c r="B4617" s="533">
        <v>5562</v>
      </c>
      <c r="C4617" s="533" t="s">
        <v>5593</v>
      </c>
      <c r="D4617" s="656" t="s">
        <v>395</v>
      </c>
      <c r="E4617" s="534">
        <v>911.82692299999997</v>
      </c>
    </row>
    <row r="4618" spans="2:5" x14ac:dyDescent="0.2">
      <c r="B4618" s="533">
        <v>5563</v>
      </c>
      <c r="C4618" s="533" t="s">
        <v>5705</v>
      </c>
      <c r="D4618" s="656" t="s">
        <v>395</v>
      </c>
      <c r="E4618" s="534">
        <v>942.72499100000005</v>
      </c>
    </row>
    <row r="4619" spans="2:5" x14ac:dyDescent="0.2">
      <c r="B4619" s="533">
        <v>5564</v>
      </c>
      <c r="C4619" s="533" t="s">
        <v>5159</v>
      </c>
      <c r="D4619" s="656" t="s">
        <v>395</v>
      </c>
      <c r="E4619" s="534">
        <v>840.40909099999999</v>
      </c>
    </row>
    <row r="4620" spans="2:5" x14ac:dyDescent="0.2">
      <c r="B4620" s="533">
        <v>5565</v>
      </c>
      <c r="C4620" s="533" t="s">
        <v>4512</v>
      </c>
      <c r="D4620" s="656" t="s">
        <v>395</v>
      </c>
      <c r="E4620" s="534">
        <v>781.02857300000005</v>
      </c>
    </row>
    <row r="4621" spans="2:5" x14ac:dyDescent="0.2">
      <c r="B4621" s="533">
        <v>5566</v>
      </c>
      <c r="C4621" s="533" t="s">
        <v>5140</v>
      </c>
      <c r="D4621" s="656" t="s">
        <v>395</v>
      </c>
      <c r="E4621" s="534">
        <v>838.70001200000002</v>
      </c>
    </row>
    <row r="4622" spans="2:5" x14ac:dyDescent="0.2">
      <c r="B4622" s="533">
        <v>5567</v>
      </c>
      <c r="C4622" s="533" t="s">
        <v>4851</v>
      </c>
      <c r="D4622" s="656" t="s">
        <v>395</v>
      </c>
      <c r="E4622" s="534">
        <v>808.16666699999996</v>
      </c>
    </row>
    <row r="4623" spans="2:5" x14ac:dyDescent="0.2">
      <c r="B4623" s="533">
        <v>5568</v>
      </c>
      <c r="C4623" s="533" t="s">
        <v>7326</v>
      </c>
      <c r="D4623" s="656" t="s">
        <v>395</v>
      </c>
      <c r="E4623" s="534">
        <v>888</v>
      </c>
    </row>
    <row r="4624" spans="2:5" x14ac:dyDescent="0.2">
      <c r="B4624" s="533">
        <v>5569</v>
      </c>
      <c r="C4624" s="533" t="s">
        <v>5948</v>
      </c>
      <c r="D4624" s="656" t="s">
        <v>395</v>
      </c>
      <c r="E4624" s="534">
        <v>1029.7214269999999</v>
      </c>
    </row>
    <row r="4625" spans="2:5" x14ac:dyDescent="0.2">
      <c r="B4625" s="533">
        <v>5570</v>
      </c>
      <c r="C4625" s="533" t="s">
        <v>5408</v>
      </c>
      <c r="D4625" s="656" t="s">
        <v>395</v>
      </c>
      <c r="E4625" s="534">
        <v>881.65002400000003</v>
      </c>
    </row>
    <row r="4626" spans="2:5" x14ac:dyDescent="0.2">
      <c r="B4626" s="533">
        <v>5571</v>
      </c>
      <c r="C4626" s="533" t="s">
        <v>4864</v>
      </c>
      <c r="D4626" s="656" t="s">
        <v>395</v>
      </c>
      <c r="E4626" s="534">
        <v>809.19999199999995</v>
      </c>
    </row>
    <row r="4627" spans="2:5" x14ac:dyDescent="0.2">
      <c r="B4627" s="533">
        <v>5572</v>
      </c>
      <c r="C4627" s="533" t="s">
        <v>4240</v>
      </c>
      <c r="D4627" s="656" t="s">
        <v>395</v>
      </c>
      <c r="E4627" s="534">
        <v>760.81427900000006</v>
      </c>
    </row>
    <row r="4628" spans="2:5" x14ac:dyDescent="0.2">
      <c r="B4628" s="533">
        <v>5573</v>
      </c>
      <c r="C4628" s="533" t="s">
        <v>1318</v>
      </c>
      <c r="D4628" s="656" t="s">
        <v>395</v>
      </c>
      <c r="E4628" s="534">
        <v>793.54999699999996</v>
      </c>
    </row>
    <row r="4629" spans="2:5" x14ac:dyDescent="0.2">
      <c r="B4629" s="533">
        <v>5574</v>
      </c>
      <c r="C4629" s="533" t="s">
        <v>3917</v>
      </c>
      <c r="D4629" s="656" t="s">
        <v>395</v>
      </c>
      <c r="E4629" s="534">
        <v>859.95000200000004</v>
      </c>
    </row>
    <row r="4630" spans="2:5" x14ac:dyDescent="0.2">
      <c r="B4630" s="533">
        <v>5575</v>
      </c>
      <c r="C4630" s="533" t="s">
        <v>6147</v>
      </c>
      <c r="D4630" s="656" t="s">
        <v>395</v>
      </c>
      <c r="E4630" s="534">
        <v>1156.4055579999999</v>
      </c>
    </row>
    <row r="4631" spans="2:5" x14ac:dyDescent="0.2">
      <c r="B4631" s="533">
        <v>5576</v>
      </c>
      <c r="C4631" s="533" t="s">
        <v>5031</v>
      </c>
      <c r="D4631" s="656" t="s">
        <v>395</v>
      </c>
      <c r="E4631" s="534">
        <v>827.14375299999995</v>
      </c>
    </row>
    <row r="4632" spans="2:5" x14ac:dyDescent="0.2">
      <c r="B4632" s="533">
        <v>5577</v>
      </c>
      <c r="C4632" s="533" t="s">
        <v>4818</v>
      </c>
      <c r="D4632" s="656" t="s">
        <v>395</v>
      </c>
      <c r="E4632" s="534">
        <v>805.9923</v>
      </c>
    </row>
    <row r="4633" spans="2:5" x14ac:dyDescent="0.2">
      <c r="B4633" s="533">
        <v>5578</v>
      </c>
      <c r="C4633" s="533" t="s">
        <v>4909</v>
      </c>
      <c r="D4633" s="656" t="s">
        <v>395</v>
      </c>
      <c r="E4633" s="534">
        <v>814.01999499999999</v>
      </c>
    </row>
    <row r="4634" spans="2:5" x14ac:dyDescent="0.2">
      <c r="B4634" s="533">
        <v>5579</v>
      </c>
      <c r="C4634" s="533" t="s">
        <v>6536</v>
      </c>
      <c r="D4634" s="656" t="s">
        <v>395</v>
      </c>
      <c r="E4634" s="534">
        <v>774.2</v>
      </c>
    </row>
    <row r="4635" spans="2:5" x14ac:dyDescent="0.2">
      <c r="B4635" s="533">
        <v>5580</v>
      </c>
      <c r="C4635" s="533" t="s">
        <v>3967</v>
      </c>
      <c r="D4635" s="656" t="s">
        <v>395</v>
      </c>
      <c r="E4635" s="534">
        <v>743.64285700000005</v>
      </c>
    </row>
    <row r="4636" spans="2:5" x14ac:dyDescent="0.2">
      <c r="B4636" s="533">
        <v>5581</v>
      </c>
      <c r="C4636" s="533" t="s">
        <v>5671</v>
      </c>
      <c r="D4636" s="656" t="s">
        <v>395</v>
      </c>
      <c r="E4636" s="534">
        <v>933.76666299999999</v>
      </c>
    </row>
    <row r="4637" spans="2:5" x14ac:dyDescent="0.2">
      <c r="B4637" s="533">
        <v>5582</v>
      </c>
      <c r="C4637" s="533" t="s">
        <v>4826</v>
      </c>
      <c r="D4637" s="656" t="s">
        <v>395</v>
      </c>
      <c r="E4637" s="534">
        <v>806.39998400000002</v>
      </c>
    </row>
    <row r="4638" spans="2:5" x14ac:dyDescent="0.2">
      <c r="B4638" s="533">
        <v>5583</v>
      </c>
      <c r="C4638" s="533" t="s">
        <v>2239</v>
      </c>
      <c r="D4638" s="656" t="s">
        <v>395</v>
      </c>
      <c r="E4638" s="534">
        <v>655.10000600000001</v>
      </c>
    </row>
    <row r="4639" spans="2:5" x14ac:dyDescent="0.2">
      <c r="B4639" s="533">
        <v>5584</v>
      </c>
      <c r="C4639" s="533" t="s">
        <v>2390</v>
      </c>
      <c r="D4639" s="656" t="s">
        <v>395</v>
      </c>
      <c r="E4639" s="534">
        <v>662.12498500000004</v>
      </c>
    </row>
    <row r="4640" spans="2:5" x14ac:dyDescent="0.2">
      <c r="B4640" s="533">
        <v>5585</v>
      </c>
      <c r="C4640" s="533" t="s">
        <v>3184</v>
      </c>
      <c r="D4640" s="656" t="s">
        <v>395</v>
      </c>
      <c r="E4640" s="534">
        <v>700.83331299999998</v>
      </c>
    </row>
    <row r="4641" spans="2:5" x14ac:dyDescent="0.2">
      <c r="B4641" s="533">
        <v>5586</v>
      </c>
      <c r="C4641" s="533" t="s">
        <v>2902</v>
      </c>
      <c r="D4641" s="656" t="s">
        <v>395</v>
      </c>
      <c r="E4641" s="534">
        <v>686.23999000000003</v>
      </c>
    </row>
    <row r="4642" spans="2:5" x14ac:dyDescent="0.2">
      <c r="B4642" s="533">
        <v>5587</v>
      </c>
      <c r="C4642" s="533" t="s">
        <v>7220</v>
      </c>
      <c r="D4642" s="656" t="s">
        <v>395</v>
      </c>
      <c r="E4642" s="534">
        <v>714.05000299999995</v>
      </c>
    </row>
    <row r="4643" spans="2:5" x14ac:dyDescent="0.2">
      <c r="B4643" s="533">
        <v>5588</v>
      </c>
      <c r="C4643" s="533" t="s">
        <v>3946</v>
      </c>
      <c r="D4643" s="656" t="s">
        <v>395</v>
      </c>
      <c r="E4643" s="534">
        <v>742</v>
      </c>
    </row>
    <row r="4644" spans="2:5" x14ac:dyDescent="0.2">
      <c r="B4644" s="533">
        <v>5589</v>
      </c>
      <c r="C4644" s="533" t="s">
        <v>4475</v>
      </c>
      <c r="D4644" s="656" t="s">
        <v>395</v>
      </c>
      <c r="E4644" s="534">
        <v>778.81818199999998</v>
      </c>
    </row>
    <row r="4645" spans="2:5" x14ac:dyDescent="0.2">
      <c r="B4645" s="533">
        <v>5590</v>
      </c>
      <c r="C4645" s="533" t="s">
        <v>1972</v>
      </c>
      <c r="D4645" s="656" t="s">
        <v>395</v>
      </c>
      <c r="E4645" s="534">
        <v>855.44666700000005</v>
      </c>
    </row>
    <row r="4646" spans="2:5" x14ac:dyDescent="0.2">
      <c r="B4646" s="533">
        <v>5591</v>
      </c>
      <c r="C4646" s="533" t="s">
        <v>7269</v>
      </c>
      <c r="D4646" s="656" t="s">
        <v>395</v>
      </c>
      <c r="E4646" s="534">
        <v>904.39999699999998</v>
      </c>
    </row>
    <row r="4647" spans="2:5" x14ac:dyDescent="0.2">
      <c r="B4647" s="533">
        <v>5592</v>
      </c>
      <c r="C4647" s="533" t="s">
        <v>1904</v>
      </c>
      <c r="D4647" s="656" t="s">
        <v>395</v>
      </c>
      <c r="E4647" s="534">
        <v>665.84997599999997</v>
      </c>
    </row>
    <row r="4648" spans="2:5" x14ac:dyDescent="0.2">
      <c r="B4648" s="533">
        <v>5593</v>
      </c>
      <c r="C4648" s="533" t="s">
        <v>2608</v>
      </c>
      <c r="D4648" s="656" t="s">
        <v>395</v>
      </c>
      <c r="E4648" s="534">
        <v>671.92498799999998</v>
      </c>
    </row>
    <row r="4649" spans="2:5" x14ac:dyDescent="0.2">
      <c r="B4649" s="533">
        <v>5594</v>
      </c>
      <c r="C4649" s="533" t="s">
        <v>3227</v>
      </c>
      <c r="D4649" s="656" t="s">
        <v>395</v>
      </c>
      <c r="E4649" s="534">
        <v>702.79999699999996</v>
      </c>
    </row>
    <row r="4650" spans="2:5" x14ac:dyDescent="0.2">
      <c r="B4650" s="533">
        <v>5595</v>
      </c>
      <c r="C4650" s="533" t="s">
        <v>1869</v>
      </c>
      <c r="D4650" s="656" t="s">
        <v>395</v>
      </c>
      <c r="E4650" s="534">
        <v>726.08572000000004</v>
      </c>
    </row>
    <row r="4651" spans="2:5" x14ac:dyDescent="0.2">
      <c r="B4651" s="533">
        <v>5596</v>
      </c>
      <c r="C4651" s="533" t="s">
        <v>3575</v>
      </c>
      <c r="D4651" s="656" t="s">
        <v>395</v>
      </c>
      <c r="E4651" s="534">
        <v>720.53333499999997</v>
      </c>
    </row>
    <row r="4652" spans="2:5" x14ac:dyDescent="0.2">
      <c r="B4652" s="533">
        <v>5597</v>
      </c>
      <c r="C4652" s="533" t="s">
        <v>4734</v>
      </c>
      <c r="D4652" s="656" t="s">
        <v>395</v>
      </c>
      <c r="E4652" s="534">
        <v>799.41109200000005</v>
      </c>
    </row>
    <row r="4653" spans="2:5" x14ac:dyDescent="0.2">
      <c r="B4653" s="533">
        <v>5598</v>
      </c>
      <c r="C4653" s="533" t="s">
        <v>5033</v>
      </c>
      <c r="D4653" s="656" t="s">
        <v>395</v>
      </c>
      <c r="E4653" s="534">
        <v>827.25</v>
      </c>
    </row>
    <row r="4654" spans="2:5" x14ac:dyDescent="0.2">
      <c r="B4654" s="533">
        <v>5599</v>
      </c>
      <c r="C4654" s="533" t="s">
        <v>4110</v>
      </c>
      <c r="D4654" s="656" t="s">
        <v>395</v>
      </c>
      <c r="E4654" s="534">
        <v>752</v>
      </c>
    </row>
    <row r="4655" spans="2:5" x14ac:dyDescent="0.2">
      <c r="B4655" s="533">
        <v>5600</v>
      </c>
      <c r="C4655" s="533" t="s">
        <v>5612</v>
      </c>
      <c r="D4655" s="656" t="s">
        <v>395</v>
      </c>
      <c r="E4655" s="534">
        <v>916.63124100000005</v>
      </c>
    </row>
    <row r="4656" spans="2:5" x14ac:dyDescent="0.2">
      <c r="B4656" s="533">
        <v>5601</v>
      </c>
      <c r="C4656" s="533" t="s">
        <v>6242</v>
      </c>
      <c r="D4656" s="656" t="s">
        <v>395</v>
      </c>
      <c r="E4656" s="534">
        <v>1253.0166830000001</v>
      </c>
    </row>
    <row r="4657" spans="2:5" x14ac:dyDescent="0.2">
      <c r="B4657" s="533">
        <v>5603</v>
      </c>
      <c r="C4657" s="533" t="s">
        <v>2459</v>
      </c>
      <c r="D4657" s="656" t="s">
        <v>395</v>
      </c>
      <c r="E4657" s="534">
        <v>664.72857699999997</v>
      </c>
    </row>
    <row r="4658" spans="2:5" x14ac:dyDescent="0.2">
      <c r="B4658" s="533">
        <v>5604</v>
      </c>
      <c r="C4658" s="533" t="s">
        <v>2454</v>
      </c>
      <c r="D4658" s="656" t="s">
        <v>395</v>
      </c>
      <c r="E4658" s="534">
        <v>664.6</v>
      </c>
    </row>
    <row r="4659" spans="2:5" x14ac:dyDescent="0.2">
      <c r="B4659" s="533">
        <v>5605</v>
      </c>
      <c r="C4659" s="533" t="s">
        <v>2544</v>
      </c>
      <c r="D4659" s="656" t="s">
        <v>395</v>
      </c>
      <c r="E4659" s="534">
        <v>668.61665900000003</v>
      </c>
    </row>
    <row r="4660" spans="2:5" x14ac:dyDescent="0.2">
      <c r="B4660" s="533">
        <v>5606</v>
      </c>
      <c r="C4660" s="533" t="s">
        <v>7087</v>
      </c>
      <c r="D4660" s="656" t="s">
        <v>395</v>
      </c>
      <c r="E4660" s="534">
        <v>677.62857499999996</v>
      </c>
    </row>
    <row r="4661" spans="2:5" x14ac:dyDescent="0.2">
      <c r="B4661" s="533">
        <v>5607</v>
      </c>
      <c r="C4661" s="533" t="s">
        <v>2704</v>
      </c>
      <c r="D4661" s="656" t="s">
        <v>395</v>
      </c>
      <c r="E4661" s="534">
        <v>676.44615799999997</v>
      </c>
    </row>
    <row r="4662" spans="2:5" x14ac:dyDescent="0.2">
      <c r="B4662" s="533">
        <v>5608</v>
      </c>
      <c r="C4662" s="533" t="s">
        <v>3702</v>
      </c>
      <c r="D4662" s="656" t="s">
        <v>395</v>
      </c>
      <c r="E4662" s="534">
        <v>727.72941000000003</v>
      </c>
    </row>
    <row r="4663" spans="2:5" x14ac:dyDescent="0.2">
      <c r="B4663" s="533">
        <v>5609</v>
      </c>
      <c r="C4663" s="533" t="s">
        <v>4196</v>
      </c>
      <c r="D4663" s="656" t="s">
        <v>395</v>
      </c>
      <c r="E4663" s="534">
        <v>757.95555300000001</v>
      </c>
    </row>
    <row r="4664" spans="2:5" x14ac:dyDescent="0.2">
      <c r="B4664" s="533">
        <v>5610</v>
      </c>
      <c r="C4664" s="533" t="s">
        <v>5174</v>
      </c>
      <c r="D4664" s="656" t="s">
        <v>395</v>
      </c>
      <c r="E4664" s="534">
        <v>843.96666800000003</v>
      </c>
    </row>
    <row r="4665" spans="2:5" x14ac:dyDescent="0.2">
      <c r="B4665" s="533">
        <v>5611</v>
      </c>
      <c r="C4665" s="533" t="s">
        <v>2409</v>
      </c>
      <c r="D4665" s="656" t="s">
        <v>395</v>
      </c>
      <c r="E4665" s="534">
        <v>663.14999399999999</v>
      </c>
    </row>
    <row r="4666" spans="2:5" x14ac:dyDescent="0.2">
      <c r="B4666" s="533">
        <v>5612</v>
      </c>
      <c r="C4666" s="533" t="s">
        <v>2641</v>
      </c>
      <c r="D4666" s="656" t="s">
        <v>389</v>
      </c>
      <c r="E4666" s="534">
        <v>673.79998799999998</v>
      </c>
    </row>
    <row r="4667" spans="2:5" x14ac:dyDescent="0.2">
      <c r="B4667" s="533">
        <v>5613</v>
      </c>
      <c r="C4667" s="533" t="s">
        <v>2397</v>
      </c>
      <c r="D4667" s="656" t="s">
        <v>395</v>
      </c>
      <c r="E4667" s="534">
        <v>662.6</v>
      </c>
    </row>
    <row r="4668" spans="2:5" x14ac:dyDescent="0.2">
      <c r="B4668" s="533">
        <v>5614</v>
      </c>
      <c r="C4668" s="533" t="s">
        <v>3974</v>
      </c>
      <c r="D4668" s="656" t="s">
        <v>395</v>
      </c>
      <c r="E4668" s="534">
        <v>744.09999600000003</v>
      </c>
    </row>
    <row r="4669" spans="2:5" x14ac:dyDescent="0.2">
      <c r="B4669" s="533">
        <v>5615</v>
      </c>
      <c r="C4669" s="533" t="s">
        <v>4043</v>
      </c>
      <c r="D4669" s="656" t="s">
        <v>395</v>
      </c>
      <c r="E4669" s="534">
        <v>748.45454500000005</v>
      </c>
    </row>
    <row r="4670" spans="2:5" x14ac:dyDescent="0.2">
      <c r="B4670" s="533">
        <v>5616</v>
      </c>
      <c r="C4670" s="533" t="s">
        <v>4456</v>
      </c>
      <c r="D4670" s="656" t="s">
        <v>395</v>
      </c>
      <c r="E4670" s="534">
        <v>777.87857099999997</v>
      </c>
    </row>
    <row r="4671" spans="2:5" x14ac:dyDescent="0.2">
      <c r="B4671" s="533">
        <v>5617</v>
      </c>
      <c r="C4671" s="533" t="s">
        <v>5145</v>
      </c>
      <c r="D4671" s="656" t="s">
        <v>395</v>
      </c>
      <c r="E4671" s="534">
        <v>839.23749899999996</v>
      </c>
    </row>
    <row r="4672" spans="2:5" x14ac:dyDescent="0.2">
      <c r="B4672" s="533">
        <v>5618</v>
      </c>
      <c r="C4672" s="533" t="s">
        <v>5799</v>
      </c>
      <c r="D4672" s="656" t="s">
        <v>395</v>
      </c>
      <c r="E4672" s="534">
        <v>968.64998900000001</v>
      </c>
    </row>
    <row r="4673" spans="2:5" x14ac:dyDescent="0.2">
      <c r="B4673" s="533">
        <v>5619</v>
      </c>
      <c r="C4673" s="533" t="s">
        <v>2149</v>
      </c>
      <c r="D4673" s="656" t="s">
        <v>395</v>
      </c>
      <c r="E4673" s="534">
        <v>651.12941599999999</v>
      </c>
    </row>
    <row r="4674" spans="2:5" x14ac:dyDescent="0.2">
      <c r="B4674" s="533">
        <v>5620</v>
      </c>
      <c r="C4674" s="533" t="s">
        <v>2266</v>
      </c>
      <c r="D4674" s="656" t="s">
        <v>395</v>
      </c>
      <c r="E4674" s="534">
        <v>656.21538399999997</v>
      </c>
    </row>
    <row r="4675" spans="2:5" x14ac:dyDescent="0.2">
      <c r="B4675" s="533">
        <v>5621</v>
      </c>
      <c r="C4675" s="533" t="s">
        <v>2199</v>
      </c>
      <c r="D4675" s="656" t="s">
        <v>395</v>
      </c>
      <c r="E4675" s="534">
        <v>653.23333300000002</v>
      </c>
    </row>
    <row r="4676" spans="2:5" x14ac:dyDescent="0.2">
      <c r="B4676" s="533">
        <v>5622</v>
      </c>
      <c r="C4676" s="533" t="s">
        <v>2110</v>
      </c>
      <c r="D4676" s="656" t="s">
        <v>389</v>
      </c>
      <c r="E4676" s="534">
        <v>649.42857100000003</v>
      </c>
    </row>
    <row r="4677" spans="2:5" x14ac:dyDescent="0.2">
      <c r="B4677" s="533">
        <v>5623</v>
      </c>
      <c r="C4677" s="533" t="s">
        <v>2271</v>
      </c>
      <c r="D4677" s="656" t="s">
        <v>389</v>
      </c>
      <c r="E4677" s="534">
        <v>656.47499100000005</v>
      </c>
    </row>
    <row r="4678" spans="2:5" x14ac:dyDescent="0.2">
      <c r="B4678" s="533">
        <v>5624</v>
      </c>
      <c r="C4678" s="533" t="s">
        <v>2020</v>
      </c>
      <c r="D4678" s="656" t="s">
        <v>389</v>
      </c>
      <c r="E4678" s="534">
        <v>644.21818099999996</v>
      </c>
    </row>
    <row r="4679" spans="2:5" x14ac:dyDescent="0.2">
      <c r="B4679" s="533">
        <v>5625</v>
      </c>
      <c r="C4679" s="533" t="s">
        <v>389</v>
      </c>
      <c r="D4679" s="656" t="s">
        <v>389</v>
      </c>
      <c r="E4679" s="534">
        <v>638.15000099999997</v>
      </c>
    </row>
    <row r="4680" spans="2:5" x14ac:dyDescent="0.2">
      <c r="B4680" s="533">
        <v>5626</v>
      </c>
      <c r="C4680" s="533" t="s">
        <v>2288</v>
      </c>
      <c r="D4680" s="656" t="s">
        <v>389</v>
      </c>
      <c r="E4680" s="534">
        <v>657.16667099999995</v>
      </c>
    </row>
    <row r="4681" spans="2:5" x14ac:dyDescent="0.2">
      <c r="B4681" s="533">
        <v>5627</v>
      </c>
      <c r="C4681" s="533" t="s">
        <v>3170</v>
      </c>
      <c r="D4681" s="656" t="s">
        <v>395</v>
      </c>
      <c r="E4681" s="534">
        <v>700.23043199999995</v>
      </c>
    </row>
    <row r="4682" spans="2:5" x14ac:dyDescent="0.2">
      <c r="B4682" s="533">
        <v>5628</v>
      </c>
      <c r="C4682" s="533" t="s">
        <v>3916</v>
      </c>
      <c r="D4682" s="656" t="s">
        <v>395</v>
      </c>
      <c r="E4682" s="534">
        <v>740.23333700000001</v>
      </c>
    </row>
    <row r="4683" spans="2:5" x14ac:dyDescent="0.2">
      <c r="B4683" s="533">
        <v>5629</v>
      </c>
      <c r="C4683" s="533" t="s">
        <v>4181</v>
      </c>
      <c r="D4683" s="656" t="s">
        <v>395</v>
      </c>
      <c r="E4683" s="534">
        <v>756.77499799999998</v>
      </c>
    </row>
    <row r="4684" spans="2:5" x14ac:dyDescent="0.2">
      <c r="B4684" s="533">
        <v>5630</v>
      </c>
      <c r="C4684" s="533" t="s">
        <v>2684</v>
      </c>
      <c r="D4684" s="656" t="s">
        <v>395</v>
      </c>
      <c r="E4684" s="534">
        <v>675.52855599999998</v>
      </c>
    </row>
    <row r="4685" spans="2:5" x14ac:dyDescent="0.2">
      <c r="B4685" s="533">
        <v>5631</v>
      </c>
      <c r="C4685" s="533" t="s">
        <v>2614</v>
      </c>
      <c r="D4685" s="656" t="s">
        <v>395</v>
      </c>
      <c r="E4685" s="534">
        <v>672.48181699999998</v>
      </c>
    </row>
    <row r="4686" spans="2:5" x14ac:dyDescent="0.2">
      <c r="B4686" s="533">
        <v>5632</v>
      </c>
      <c r="C4686" s="533" t="s">
        <v>2729</v>
      </c>
      <c r="D4686" s="656" t="s">
        <v>395</v>
      </c>
      <c r="E4686" s="534">
        <v>677.66428499999995</v>
      </c>
    </row>
    <row r="4687" spans="2:5" x14ac:dyDescent="0.2">
      <c r="B4687" s="533">
        <v>5633</v>
      </c>
      <c r="C4687" s="533" t="s">
        <v>6780</v>
      </c>
      <c r="D4687" s="656" t="s">
        <v>395</v>
      </c>
      <c r="E4687" s="534">
        <v>686.19166600000005</v>
      </c>
    </row>
    <row r="4688" spans="2:5" x14ac:dyDescent="0.2">
      <c r="B4688" s="533">
        <v>5634</v>
      </c>
      <c r="C4688" s="533" t="s">
        <v>2520</v>
      </c>
      <c r="D4688" s="656" t="s">
        <v>395</v>
      </c>
      <c r="E4688" s="534">
        <v>667.79445099999998</v>
      </c>
    </row>
    <row r="4689" spans="2:5" x14ac:dyDescent="0.2">
      <c r="B4689" s="533">
        <v>5635</v>
      </c>
      <c r="C4689" s="533" t="s">
        <v>1720</v>
      </c>
      <c r="D4689" s="656" t="s">
        <v>395</v>
      </c>
      <c r="E4689" s="534">
        <v>633.52499399999999</v>
      </c>
    </row>
    <row r="4690" spans="2:5" x14ac:dyDescent="0.2">
      <c r="B4690" s="533">
        <v>5636</v>
      </c>
      <c r="C4690" s="533" t="s">
        <v>7311</v>
      </c>
      <c r="D4690" s="656" t="s">
        <v>395</v>
      </c>
      <c r="E4690" s="534">
        <v>646.71249399999999</v>
      </c>
    </row>
    <row r="4691" spans="2:5" x14ac:dyDescent="0.2">
      <c r="B4691" s="533">
        <v>5637</v>
      </c>
      <c r="C4691" s="533" t="s">
        <v>2099</v>
      </c>
      <c r="D4691" s="656" t="s">
        <v>395</v>
      </c>
      <c r="E4691" s="534">
        <v>648.81332999999995</v>
      </c>
    </row>
    <row r="4692" spans="2:5" x14ac:dyDescent="0.2">
      <c r="B4692" s="533">
        <v>5638</v>
      </c>
      <c r="C4692" s="533" t="s">
        <v>2226</v>
      </c>
      <c r="D4692" s="656" t="s">
        <v>395</v>
      </c>
      <c r="E4692" s="534">
        <v>654.60000200000002</v>
      </c>
    </row>
    <row r="4693" spans="2:5" x14ac:dyDescent="0.2">
      <c r="B4693" s="533">
        <v>5639</v>
      </c>
      <c r="C4693" s="533" t="s">
        <v>2119</v>
      </c>
      <c r="D4693" s="656" t="s">
        <v>395</v>
      </c>
      <c r="E4693" s="534">
        <v>649.84286099999997</v>
      </c>
    </row>
    <row r="4694" spans="2:5" x14ac:dyDescent="0.2">
      <c r="B4694" s="533">
        <v>5640</v>
      </c>
      <c r="C4694" s="533" t="s">
        <v>2250</v>
      </c>
      <c r="D4694" s="656" t="s">
        <v>395</v>
      </c>
      <c r="E4694" s="534">
        <v>655.639994</v>
      </c>
    </row>
    <row r="4695" spans="2:5" x14ac:dyDescent="0.2">
      <c r="B4695" s="533">
        <v>5641</v>
      </c>
      <c r="C4695" s="533" t="s">
        <v>1041</v>
      </c>
      <c r="D4695" s="656" t="s">
        <v>395</v>
      </c>
      <c r="E4695" s="534">
        <v>688</v>
      </c>
    </row>
    <row r="4696" spans="2:5" x14ac:dyDescent="0.2">
      <c r="B4696" s="533">
        <v>5642</v>
      </c>
      <c r="C4696" s="533" t="s">
        <v>2357</v>
      </c>
      <c r="D4696" s="656" t="s">
        <v>395</v>
      </c>
      <c r="E4696" s="534">
        <v>711.38461500000005</v>
      </c>
    </row>
    <row r="4697" spans="2:5" x14ac:dyDescent="0.2">
      <c r="B4697" s="533">
        <v>5643</v>
      </c>
      <c r="C4697" s="533" t="s">
        <v>3719</v>
      </c>
      <c r="D4697" s="656" t="s">
        <v>395</v>
      </c>
      <c r="E4697" s="534">
        <v>728.63332800000001</v>
      </c>
    </row>
    <row r="4698" spans="2:5" x14ac:dyDescent="0.2">
      <c r="B4698" s="533">
        <v>5644</v>
      </c>
      <c r="C4698" s="533" t="s">
        <v>3644</v>
      </c>
      <c r="D4698" s="656" t="s">
        <v>395</v>
      </c>
      <c r="E4698" s="534">
        <v>724.45999099999995</v>
      </c>
    </row>
    <row r="4699" spans="2:5" x14ac:dyDescent="0.2">
      <c r="B4699" s="533">
        <v>5645</v>
      </c>
      <c r="C4699" s="533" t="s">
        <v>2457</v>
      </c>
      <c r="D4699" s="656" t="s">
        <v>395</v>
      </c>
      <c r="E4699" s="534">
        <v>664.70001200000002</v>
      </c>
    </row>
    <row r="4700" spans="2:5" x14ac:dyDescent="0.2">
      <c r="B4700" s="533">
        <v>5646</v>
      </c>
      <c r="C4700" s="533" t="s">
        <v>6829</v>
      </c>
      <c r="D4700" s="656" t="s">
        <v>395</v>
      </c>
      <c r="E4700" s="534">
        <v>685.86000200000001</v>
      </c>
    </row>
    <row r="4701" spans="2:5" x14ac:dyDescent="0.2">
      <c r="B4701" s="533">
        <v>5647</v>
      </c>
      <c r="C4701" s="533" t="s">
        <v>3082</v>
      </c>
      <c r="D4701" s="656" t="s">
        <v>395</v>
      </c>
      <c r="E4701" s="534">
        <v>695.53637100000003</v>
      </c>
    </row>
    <row r="4702" spans="2:5" x14ac:dyDescent="0.2">
      <c r="B4702" s="533">
        <v>5648</v>
      </c>
      <c r="C4702" s="533" t="s">
        <v>1909</v>
      </c>
      <c r="D4702" s="656" t="s">
        <v>395</v>
      </c>
      <c r="E4702" s="534">
        <v>640.71666500000003</v>
      </c>
    </row>
    <row r="4703" spans="2:5" x14ac:dyDescent="0.2">
      <c r="B4703" s="533">
        <v>5649</v>
      </c>
      <c r="C4703" s="533" t="s">
        <v>2769</v>
      </c>
      <c r="D4703" s="656" t="s">
        <v>395</v>
      </c>
      <c r="E4703" s="534">
        <v>679.71538799999996</v>
      </c>
    </row>
    <row r="4704" spans="2:5" x14ac:dyDescent="0.2">
      <c r="B4704" s="533">
        <v>5650</v>
      </c>
      <c r="C4704" s="533" t="s">
        <v>2898</v>
      </c>
      <c r="D4704" s="656" t="s">
        <v>395</v>
      </c>
      <c r="E4704" s="534">
        <v>696.27407700000003</v>
      </c>
    </row>
    <row r="4705" spans="2:5" x14ac:dyDescent="0.2">
      <c r="B4705" s="533">
        <v>5651</v>
      </c>
      <c r="C4705" s="533" t="s">
        <v>3029</v>
      </c>
      <c r="D4705" s="656" t="s">
        <v>395</v>
      </c>
      <c r="E4705" s="534">
        <v>692.67499499999997</v>
      </c>
    </row>
    <row r="4706" spans="2:5" x14ac:dyDescent="0.2">
      <c r="B4706" s="533">
        <v>5652</v>
      </c>
      <c r="C4706" s="533" t="s">
        <v>2412</v>
      </c>
      <c r="D4706" s="656" t="s">
        <v>395</v>
      </c>
      <c r="E4706" s="534">
        <v>663.22857699999997</v>
      </c>
    </row>
    <row r="4707" spans="2:5" x14ac:dyDescent="0.2">
      <c r="B4707" s="533">
        <v>5653</v>
      </c>
      <c r="C4707" s="533" t="s">
        <v>2485</v>
      </c>
      <c r="D4707" s="656" t="s">
        <v>395</v>
      </c>
      <c r="E4707" s="534">
        <v>665.54000199999996</v>
      </c>
    </row>
    <row r="4708" spans="2:5" x14ac:dyDescent="0.2">
      <c r="B4708" s="533">
        <v>5654</v>
      </c>
      <c r="C4708" s="533" t="s">
        <v>2326</v>
      </c>
      <c r="D4708" s="656" t="s">
        <v>395</v>
      </c>
      <c r="E4708" s="534">
        <v>659.03999599999997</v>
      </c>
    </row>
    <row r="4709" spans="2:5" x14ac:dyDescent="0.2">
      <c r="B4709" s="533">
        <v>5655</v>
      </c>
      <c r="C4709" s="533" t="s">
        <v>2692</v>
      </c>
      <c r="D4709" s="656" t="s">
        <v>395</v>
      </c>
      <c r="E4709" s="534">
        <v>675.78000099999997</v>
      </c>
    </row>
    <row r="4710" spans="2:5" x14ac:dyDescent="0.2">
      <c r="B4710" s="533">
        <v>5656</v>
      </c>
      <c r="C4710" s="533" t="s">
        <v>2585</v>
      </c>
      <c r="D4710" s="656" t="s">
        <v>395</v>
      </c>
      <c r="E4710" s="534">
        <v>670.40000399999997</v>
      </c>
    </row>
    <row r="4711" spans="2:5" x14ac:dyDescent="0.2">
      <c r="B4711" s="533">
        <v>5657</v>
      </c>
      <c r="C4711" s="533" t="s">
        <v>2645</v>
      </c>
      <c r="D4711" s="656" t="s">
        <v>395</v>
      </c>
      <c r="E4711" s="534">
        <v>674.03125399999999</v>
      </c>
    </row>
    <row r="4712" spans="2:5" x14ac:dyDescent="0.2">
      <c r="B4712" s="533">
        <v>5658</v>
      </c>
      <c r="C4712" s="533" t="s">
        <v>3008</v>
      </c>
      <c r="D4712" s="656" t="s">
        <v>395</v>
      </c>
      <c r="E4712" s="534">
        <v>691.53749100000005</v>
      </c>
    </row>
    <row r="4713" spans="2:5" x14ac:dyDescent="0.2">
      <c r="B4713" s="533">
        <v>5659</v>
      </c>
      <c r="C4713" s="533" t="s">
        <v>3740</v>
      </c>
      <c r="D4713" s="656" t="s">
        <v>395</v>
      </c>
      <c r="E4713" s="534">
        <v>729.62222599999996</v>
      </c>
    </row>
    <row r="4714" spans="2:5" x14ac:dyDescent="0.2">
      <c r="B4714" s="533">
        <v>5660</v>
      </c>
      <c r="C4714" s="533" t="s">
        <v>2830</v>
      </c>
      <c r="D4714" s="656" t="s">
        <v>395</v>
      </c>
      <c r="E4714" s="534">
        <v>683.62858400000005</v>
      </c>
    </row>
    <row r="4715" spans="2:5" x14ac:dyDescent="0.2">
      <c r="B4715" s="533">
        <v>5661</v>
      </c>
      <c r="C4715" s="533" t="s">
        <v>2265</v>
      </c>
      <c r="D4715" s="656" t="s">
        <v>395</v>
      </c>
      <c r="E4715" s="534">
        <v>656.20555999999999</v>
      </c>
    </row>
    <row r="4716" spans="2:5" x14ac:dyDescent="0.2">
      <c r="B4716" s="533">
        <v>5662</v>
      </c>
      <c r="C4716" s="533" t="s">
        <v>3178</v>
      </c>
      <c r="D4716" s="656" t="s">
        <v>395</v>
      </c>
      <c r="E4716" s="534">
        <v>700.32999900000004</v>
      </c>
    </row>
    <row r="4717" spans="2:5" x14ac:dyDescent="0.2">
      <c r="B4717" s="533">
        <v>5663</v>
      </c>
      <c r="C4717" s="533" t="s">
        <v>3363</v>
      </c>
      <c r="D4717" s="656" t="s">
        <v>395</v>
      </c>
      <c r="E4717" s="534">
        <v>709.49333100000001</v>
      </c>
    </row>
    <row r="4718" spans="2:5" x14ac:dyDescent="0.2">
      <c r="B4718" s="533">
        <v>5664</v>
      </c>
      <c r="C4718" s="533" t="s">
        <v>3381</v>
      </c>
      <c r="D4718" s="656" t="s">
        <v>395</v>
      </c>
      <c r="E4718" s="534">
        <v>710.37499200000002</v>
      </c>
    </row>
    <row r="4719" spans="2:5" x14ac:dyDescent="0.2">
      <c r="B4719" s="533">
        <v>5665</v>
      </c>
      <c r="C4719" s="533" t="s">
        <v>2525</v>
      </c>
      <c r="D4719" s="656" t="s">
        <v>395</v>
      </c>
      <c r="E4719" s="534">
        <v>667.96153800000002</v>
      </c>
    </row>
    <row r="4720" spans="2:5" x14ac:dyDescent="0.2">
      <c r="B4720" s="533">
        <v>5666</v>
      </c>
      <c r="C4720" s="533" t="s">
        <v>2542</v>
      </c>
      <c r="D4720" s="656" t="s">
        <v>395</v>
      </c>
      <c r="E4720" s="534">
        <v>668.60768900000005</v>
      </c>
    </row>
    <row r="4721" spans="2:5" x14ac:dyDescent="0.2">
      <c r="B4721" s="533">
        <v>5667</v>
      </c>
      <c r="C4721" s="533" t="s">
        <v>2915</v>
      </c>
      <c r="D4721" s="656" t="s">
        <v>395</v>
      </c>
      <c r="E4721" s="534">
        <v>686.89374499999997</v>
      </c>
    </row>
    <row r="4722" spans="2:5" x14ac:dyDescent="0.2">
      <c r="B4722" s="533">
        <v>5668</v>
      </c>
      <c r="C4722" s="533" t="s">
        <v>2956</v>
      </c>
      <c r="D4722" s="656" t="s">
        <v>395</v>
      </c>
      <c r="E4722" s="534">
        <v>688.78750600000001</v>
      </c>
    </row>
    <row r="4723" spans="2:5" x14ac:dyDescent="0.2">
      <c r="B4723" s="533">
        <v>5669</v>
      </c>
      <c r="C4723" s="533" t="s">
        <v>2840</v>
      </c>
      <c r="D4723" s="656" t="s">
        <v>395</v>
      </c>
      <c r="E4723" s="534">
        <v>683.90000399999997</v>
      </c>
    </row>
    <row r="4724" spans="2:5" x14ac:dyDescent="0.2">
      <c r="B4724" s="533">
        <v>5670</v>
      </c>
      <c r="C4724" s="533" t="s">
        <v>3200</v>
      </c>
      <c r="D4724" s="656" t="s">
        <v>395</v>
      </c>
      <c r="E4724" s="534">
        <v>701.56363699999997</v>
      </c>
    </row>
    <row r="4725" spans="2:5" x14ac:dyDescent="0.2">
      <c r="B4725" s="533">
        <v>5671</v>
      </c>
      <c r="C4725" s="533" t="s">
        <v>3414</v>
      </c>
      <c r="D4725" s="656" t="s">
        <v>395</v>
      </c>
      <c r="E4725" s="534">
        <v>712.27857300000005</v>
      </c>
    </row>
    <row r="4726" spans="2:5" x14ac:dyDescent="0.2">
      <c r="B4726" s="533">
        <v>5672</v>
      </c>
      <c r="C4726" s="533" t="s">
        <v>3033</v>
      </c>
      <c r="D4726" s="656" t="s">
        <v>395</v>
      </c>
      <c r="E4726" s="534">
        <v>692.93333399999995</v>
      </c>
    </row>
    <row r="4727" spans="2:5" x14ac:dyDescent="0.2">
      <c r="B4727" s="533">
        <v>5673</v>
      </c>
      <c r="C4727" s="533" t="s">
        <v>7340</v>
      </c>
      <c r="D4727" s="656" t="s">
        <v>395</v>
      </c>
      <c r="E4727" s="534">
        <v>683.47499600000003</v>
      </c>
    </row>
    <row r="4728" spans="2:5" x14ac:dyDescent="0.2">
      <c r="B4728" s="533">
        <v>5674</v>
      </c>
      <c r="C4728" s="533" t="s">
        <v>6865</v>
      </c>
      <c r="D4728" s="656" t="s">
        <v>395</v>
      </c>
      <c r="E4728" s="534">
        <v>685.26666299999999</v>
      </c>
    </row>
    <row r="4729" spans="2:5" x14ac:dyDescent="0.2">
      <c r="B4729" s="533">
        <v>5702</v>
      </c>
      <c r="C4729" s="533" t="s">
        <v>1156</v>
      </c>
      <c r="D4729" s="656" t="s">
        <v>393</v>
      </c>
      <c r="E4729" s="534">
        <v>926.81999499999995</v>
      </c>
    </row>
    <row r="4730" spans="2:5" x14ac:dyDescent="0.2">
      <c r="B4730" s="533">
        <v>5703</v>
      </c>
      <c r="C4730" s="533" t="s">
        <v>5930</v>
      </c>
      <c r="D4730" s="656" t="s">
        <v>393</v>
      </c>
      <c r="E4730" s="534">
        <v>1020.670967</v>
      </c>
    </row>
    <row r="4731" spans="2:5" x14ac:dyDescent="0.2">
      <c r="B4731" s="533">
        <v>5704</v>
      </c>
      <c r="C4731" s="533" t="s">
        <v>6230</v>
      </c>
      <c r="D4731" s="656" t="s">
        <v>393</v>
      </c>
      <c r="E4731" s="534">
        <v>1235.082347</v>
      </c>
    </row>
    <row r="4732" spans="2:5" x14ac:dyDescent="0.2">
      <c r="B4732" s="533">
        <v>5705</v>
      </c>
      <c r="C4732" s="533" t="s">
        <v>1911</v>
      </c>
      <c r="D4732" s="656" t="s">
        <v>393</v>
      </c>
      <c r="E4732" s="534">
        <v>760.75624800000003</v>
      </c>
    </row>
    <row r="4733" spans="2:5" x14ac:dyDescent="0.2">
      <c r="B4733" s="533">
        <v>5706</v>
      </c>
      <c r="C4733" s="533" t="s">
        <v>4596</v>
      </c>
      <c r="D4733" s="656" t="s">
        <v>393</v>
      </c>
      <c r="E4733" s="534">
        <v>788.19375200000002</v>
      </c>
    </row>
    <row r="4734" spans="2:5" x14ac:dyDescent="0.2">
      <c r="B4734" s="533">
        <v>5707</v>
      </c>
      <c r="C4734" s="533" t="s">
        <v>5109</v>
      </c>
      <c r="D4734" s="656" t="s">
        <v>393</v>
      </c>
      <c r="E4734" s="534">
        <v>835.23889499999996</v>
      </c>
    </row>
    <row r="4735" spans="2:5" x14ac:dyDescent="0.2">
      <c r="B4735" s="533">
        <v>5708</v>
      </c>
      <c r="C4735" s="533" t="s">
        <v>3129</v>
      </c>
      <c r="D4735" s="656" t="s">
        <v>393</v>
      </c>
      <c r="E4735" s="534">
        <v>985.32500200000004</v>
      </c>
    </row>
    <row r="4736" spans="2:5" x14ac:dyDescent="0.2">
      <c r="B4736" s="533">
        <v>5709</v>
      </c>
      <c r="C4736" s="533" t="s">
        <v>6075</v>
      </c>
      <c r="D4736" s="656" t="s">
        <v>393</v>
      </c>
      <c r="E4736" s="534">
        <v>1100.5022779999999</v>
      </c>
    </row>
    <row r="4737" spans="2:5" x14ac:dyDescent="0.2">
      <c r="B4737" s="533">
        <v>5710</v>
      </c>
      <c r="C4737" s="533" t="s">
        <v>6195</v>
      </c>
      <c r="D4737" s="656" t="s">
        <v>393</v>
      </c>
      <c r="E4737" s="534">
        <v>1202.5499990000001</v>
      </c>
    </row>
    <row r="4738" spans="2:5" x14ac:dyDescent="0.2">
      <c r="B4738" s="533">
        <v>5713</v>
      </c>
      <c r="C4738" s="533" t="s">
        <v>6159</v>
      </c>
      <c r="D4738" s="656" t="s">
        <v>393</v>
      </c>
      <c r="E4738" s="534">
        <v>1168.899987</v>
      </c>
    </row>
    <row r="4739" spans="2:5" x14ac:dyDescent="0.2">
      <c r="B4739" s="533">
        <v>5714</v>
      </c>
      <c r="C4739" s="533" t="s">
        <v>7234</v>
      </c>
      <c r="D4739" s="656" t="s">
        <v>393</v>
      </c>
      <c r="E4739" s="534">
        <v>966.77999299999999</v>
      </c>
    </row>
    <row r="4740" spans="2:5" x14ac:dyDescent="0.2">
      <c r="B4740" s="533">
        <v>5715</v>
      </c>
      <c r="C4740" s="533" t="s">
        <v>5398</v>
      </c>
      <c r="D4740" s="656" t="s">
        <v>393</v>
      </c>
      <c r="E4740" s="534">
        <v>880.14999899999998</v>
      </c>
    </row>
    <row r="4741" spans="2:5" x14ac:dyDescent="0.2">
      <c r="B4741" s="533">
        <v>5716</v>
      </c>
      <c r="C4741" s="533" t="s">
        <v>4796</v>
      </c>
      <c r="D4741" s="656" t="s">
        <v>393</v>
      </c>
      <c r="E4741" s="534">
        <v>803.94999700000005</v>
      </c>
    </row>
    <row r="4742" spans="2:5" x14ac:dyDescent="0.2">
      <c r="B4742" s="533">
        <v>5717</v>
      </c>
      <c r="C4742" s="533" t="s">
        <v>6183</v>
      </c>
      <c r="D4742" s="656" t="s">
        <v>393</v>
      </c>
      <c r="E4742" s="534">
        <v>1190.4593789999999</v>
      </c>
    </row>
    <row r="4743" spans="2:5" x14ac:dyDescent="0.2">
      <c r="B4743" s="533">
        <v>5718</v>
      </c>
      <c r="C4743" s="533" t="s">
        <v>7428</v>
      </c>
      <c r="D4743" s="656" t="s">
        <v>393</v>
      </c>
      <c r="E4743" s="534">
        <v>915.97999900000002</v>
      </c>
    </row>
    <row r="4744" spans="2:5" x14ac:dyDescent="0.2">
      <c r="B4744" s="533">
        <v>5719</v>
      </c>
      <c r="C4744" s="533" t="s">
        <v>5921</v>
      </c>
      <c r="D4744" s="656" t="s">
        <v>393</v>
      </c>
      <c r="E4744" s="534">
        <v>1015.405877</v>
      </c>
    </row>
    <row r="4745" spans="2:5" x14ac:dyDescent="0.2">
      <c r="B4745" s="533">
        <v>5720</v>
      </c>
      <c r="C4745" s="533" t="s">
        <v>5824</v>
      </c>
      <c r="D4745" s="656" t="s">
        <v>393</v>
      </c>
      <c r="E4745" s="534">
        <v>975.68890399999998</v>
      </c>
    </row>
    <row r="4746" spans="2:5" x14ac:dyDescent="0.2">
      <c r="B4746" s="533">
        <v>5721</v>
      </c>
      <c r="C4746" s="533" t="s">
        <v>5239</v>
      </c>
      <c r="D4746" s="656" t="s">
        <v>393</v>
      </c>
      <c r="E4746" s="534">
        <v>853.409085</v>
      </c>
    </row>
    <row r="4747" spans="2:5" x14ac:dyDescent="0.2">
      <c r="B4747" s="533">
        <v>5722</v>
      </c>
      <c r="C4747" s="533" t="s">
        <v>5741</v>
      </c>
      <c r="D4747" s="656" t="s">
        <v>393</v>
      </c>
      <c r="E4747" s="534">
        <v>953.27499899999998</v>
      </c>
    </row>
    <row r="4748" spans="2:5" x14ac:dyDescent="0.2">
      <c r="B4748" s="533">
        <v>5723</v>
      </c>
      <c r="C4748" s="533" t="s">
        <v>3484</v>
      </c>
      <c r="D4748" s="656" t="s">
        <v>393</v>
      </c>
      <c r="E4748" s="534">
        <v>976.35262599999999</v>
      </c>
    </row>
    <row r="4749" spans="2:5" x14ac:dyDescent="0.2">
      <c r="B4749" s="533">
        <v>5724</v>
      </c>
      <c r="C4749" s="533" t="s">
        <v>5623</v>
      </c>
      <c r="D4749" s="656" t="s">
        <v>393</v>
      </c>
      <c r="E4749" s="534">
        <v>919.73333200000002</v>
      </c>
    </row>
    <row r="4750" spans="2:5" x14ac:dyDescent="0.2">
      <c r="B4750" s="533">
        <v>5725</v>
      </c>
      <c r="C4750" s="533" t="s">
        <v>6560</v>
      </c>
      <c r="D4750" s="656" t="s">
        <v>393</v>
      </c>
      <c r="E4750" s="534">
        <v>1017.8821390000001</v>
      </c>
    </row>
    <row r="4751" spans="2:5" x14ac:dyDescent="0.2">
      <c r="B4751" s="533">
        <v>5728</v>
      </c>
      <c r="C4751" s="533" t="s">
        <v>5775</v>
      </c>
      <c r="D4751" s="656" t="s">
        <v>393</v>
      </c>
      <c r="E4751" s="534">
        <v>961.74400400000002</v>
      </c>
    </row>
    <row r="4752" spans="2:5" x14ac:dyDescent="0.2">
      <c r="B4752" s="533">
        <v>5729</v>
      </c>
      <c r="C4752" s="533" t="s">
        <v>5978</v>
      </c>
      <c r="D4752" s="656" t="s">
        <v>393</v>
      </c>
      <c r="E4752" s="534">
        <v>1042.9470679999999</v>
      </c>
    </row>
    <row r="4753" spans="2:5" x14ac:dyDescent="0.2">
      <c r="B4753" s="533">
        <v>5730</v>
      </c>
      <c r="C4753" s="533" t="s">
        <v>6086</v>
      </c>
      <c r="D4753" s="656" t="s">
        <v>393</v>
      </c>
      <c r="E4753" s="534">
        <v>1109.5578869999999</v>
      </c>
    </row>
    <row r="4754" spans="2:5" x14ac:dyDescent="0.2">
      <c r="B4754" s="533">
        <v>5731</v>
      </c>
      <c r="C4754" s="533" t="s">
        <v>6056</v>
      </c>
      <c r="D4754" s="656" t="s">
        <v>393</v>
      </c>
      <c r="E4754" s="534">
        <v>1088.9125059999999</v>
      </c>
    </row>
    <row r="4755" spans="2:5" x14ac:dyDescent="0.2">
      <c r="B4755" s="533">
        <v>5732</v>
      </c>
      <c r="C4755" s="533" t="s">
        <v>5895</v>
      </c>
      <c r="D4755" s="656" t="s">
        <v>393</v>
      </c>
      <c r="E4755" s="534">
        <v>1000.883321</v>
      </c>
    </row>
    <row r="4756" spans="2:5" x14ac:dyDescent="0.2">
      <c r="B4756" s="533">
        <v>5733</v>
      </c>
      <c r="C4756" s="533" t="s">
        <v>6202</v>
      </c>
      <c r="D4756" s="656" t="s">
        <v>393</v>
      </c>
      <c r="E4756" s="534">
        <v>1209.310909</v>
      </c>
    </row>
    <row r="4757" spans="2:5" x14ac:dyDescent="0.2">
      <c r="B4757" s="533">
        <v>5735</v>
      </c>
      <c r="C4757" s="533" t="s">
        <v>6207</v>
      </c>
      <c r="D4757" s="656" t="s">
        <v>393</v>
      </c>
      <c r="E4757" s="534">
        <v>1217.529029</v>
      </c>
    </row>
    <row r="4758" spans="2:5" x14ac:dyDescent="0.2">
      <c r="B4758" s="533">
        <v>5736</v>
      </c>
      <c r="C4758" s="533" t="s">
        <v>5827</v>
      </c>
      <c r="D4758" s="656" t="s">
        <v>393</v>
      </c>
      <c r="E4758" s="534">
        <v>977.51250500000003</v>
      </c>
    </row>
    <row r="4759" spans="2:5" x14ac:dyDescent="0.2">
      <c r="B4759" s="533">
        <v>5737</v>
      </c>
      <c r="C4759" s="533" t="s">
        <v>5928</v>
      </c>
      <c r="D4759" s="656" t="s">
        <v>393</v>
      </c>
      <c r="E4759" s="534">
        <v>1018.800008</v>
      </c>
    </row>
    <row r="4760" spans="2:5" x14ac:dyDescent="0.2">
      <c r="B4760" s="533">
        <v>5738</v>
      </c>
      <c r="C4760" s="533" t="s">
        <v>6203</v>
      </c>
      <c r="D4760" s="656" t="s">
        <v>393</v>
      </c>
      <c r="E4760" s="534">
        <v>1209.71001</v>
      </c>
    </row>
    <row r="4761" spans="2:5" x14ac:dyDescent="0.2">
      <c r="B4761" s="533">
        <v>5739</v>
      </c>
      <c r="C4761" s="533" t="s">
        <v>6005</v>
      </c>
      <c r="D4761" s="656" t="s">
        <v>393</v>
      </c>
      <c r="E4761" s="534">
        <v>1055.235999</v>
      </c>
    </row>
    <row r="4762" spans="2:5" x14ac:dyDescent="0.2">
      <c r="B4762" s="533">
        <v>5740</v>
      </c>
      <c r="C4762" s="533" t="s">
        <v>5976</v>
      </c>
      <c r="D4762" s="656" t="s">
        <v>393</v>
      </c>
      <c r="E4762" s="534">
        <v>1042.3600100000001</v>
      </c>
    </row>
    <row r="4763" spans="2:5" x14ac:dyDescent="0.2">
      <c r="B4763" s="533">
        <v>5741</v>
      </c>
      <c r="C4763" s="533" t="s">
        <v>5745</v>
      </c>
      <c r="D4763" s="656" t="s">
        <v>393</v>
      </c>
      <c r="E4763" s="534">
        <v>953.89999399999999</v>
      </c>
    </row>
    <row r="4764" spans="2:5" x14ac:dyDescent="0.2">
      <c r="B4764" s="533">
        <v>5742</v>
      </c>
      <c r="C4764" s="533" t="s">
        <v>6532</v>
      </c>
      <c r="D4764" s="656" t="s">
        <v>393</v>
      </c>
      <c r="E4764" s="534">
        <v>934.57999900000004</v>
      </c>
    </row>
    <row r="4765" spans="2:5" x14ac:dyDescent="0.2">
      <c r="B4765" s="533">
        <v>5743</v>
      </c>
      <c r="C4765" s="533" t="s">
        <v>393</v>
      </c>
      <c r="D4765" s="656" t="s">
        <v>393</v>
      </c>
      <c r="E4765" s="534">
        <v>869.63333499999999</v>
      </c>
    </row>
    <row r="4766" spans="2:5" x14ac:dyDescent="0.2">
      <c r="B4766" s="533">
        <v>5744</v>
      </c>
      <c r="C4766" s="533" t="s">
        <v>7344</v>
      </c>
      <c r="D4766" s="656" t="s">
        <v>393</v>
      </c>
      <c r="E4766" s="534">
        <v>913</v>
      </c>
    </row>
    <row r="4767" spans="2:5" x14ac:dyDescent="0.2">
      <c r="B4767" s="533">
        <v>5745</v>
      </c>
      <c r="C4767" s="533" t="s">
        <v>6536</v>
      </c>
      <c r="D4767" s="656" t="s">
        <v>393</v>
      </c>
      <c r="E4767" s="534">
        <v>1001.216665</v>
      </c>
    </row>
    <row r="4768" spans="2:5" x14ac:dyDescent="0.2">
      <c r="B4768" s="533">
        <v>5746</v>
      </c>
      <c r="C4768" s="533" t="s">
        <v>6087</v>
      </c>
      <c r="D4768" s="656" t="s">
        <v>393</v>
      </c>
      <c r="E4768" s="534">
        <v>1111.7000009999999</v>
      </c>
    </row>
    <row r="4769" spans="2:5" x14ac:dyDescent="0.2">
      <c r="B4769" s="533">
        <v>5747</v>
      </c>
      <c r="C4769" s="533" t="s">
        <v>5757</v>
      </c>
      <c r="D4769" s="656" t="s">
        <v>393</v>
      </c>
      <c r="E4769" s="534">
        <v>957.46666500000003</v>
      </c>
    </row>
    <row r="4770" spans="2:5" x14ac:dyDescent="0.2">
      <c r="B4770" s="533">
        <v>5748</v>
      </c>
      <c r="C4770" s="533" t="s">
        <v>5571</v>
      </c>
      <c r="D4770" s="656" t="s">
        <v>393</v>
      </c>
      <c r="E4770" s="534">
        <v>908.09997599999997</v>
      </c>
    </row>
    <row r="4771" spans="2:5" x14ac:dyDescent="0.2">
      <c r="B4771" s="533">
        <v>5749</v>
      </c>
      <c r="C4771" s="533" t="s">
        <v>5644</v>
      </c>
      <c r="D4771" s="656" t="s">
        <v>393</v>
      </c>
      <c r="E4771" s="534">
        <v>925.39284799999996</v>
      </c>
    </row>
    <row r="4772" spans="2:5" x14ac:dyDescent="0.2">
      <c r="B4772" s="533">
        <v>5750</v>
      </c>
      <c r="C4772" s="533" t="s">
        <v>5592</v>
      </c>
      <c r="D4772" s="656" t="s">
        <v>393</v>
      </c>
      <c r="E4772" s="534">
        <v>911.74444600000004</v>
      </c>
    </row>
    <row r="4773" spans="2:5" x14ac:dyDescent="0.2">
      <c r="B4773" s="533">
        <v>5751</v>
      </c>
      <c r="C4773" s="533" t="s">
        <v>5763</v>
      </c>
      <c r="D4773" s="656" t="s">
        <v>393</v>
      </c>
      <c r="E4773" s="534">
        <v>959.22999600000003</v>
      </c>
    </row>
    <row r="4774" spans="2:5" x14ac:dyDescent="0.2">
      <c r="B4774" s="533">
        <v>5752</v>
      </c>
      <c r="C4774" s="533" t="s">
        <v>6217</v>
      </c>
      <c r="D4774" s="656" t="s">
        <v>393</v>
      </c>
      <c r="E4774" s="534">
        <v>1228.0999959999999</v>
      </c>
    </row>
    <row r="4775" spans="2:5" x14ac:dyDescent="0.2">
      <c r="B4775" s="533">
        <v>5753</v>
      </c>
      <c r="C4775" s="533" t="s">
        <v>6096</v>
      </c>
      <c r="D4775" s="656" t="s">
        <v>393</v>
      </c>
      <c r="E4775" s="534">
        <v>1120.3214330000001</v>
      </c>
    </row>
    <row r="4776" spans="2:5" x14ac:dyDescent="0.2">
      <c r="B4776" s="533">
        <v>5754</v>
      </c>
      <c r="C4776" s="533" t="s">
        <v>3465</v>
      </c>
      <c r="D4776" s="656" t="s">
        <v>393</v>
      </c>
      <c r="E4776" s="534">
        <v>979.10999500000003</v>
      </c>
    </row>
    <row r="4777" spans="2:5" x14ac:dyDescent="0.2">
      <c r="B4777" s="533">
        <v>5755</v>
      </c>
      <c r="C4777" s="533" t="s">
        <v>1195</v>
      </c>
      <c r="D4777" s="656" t="s">
        <v>393</v>
      </c>
      <c r="E4777" s="534">
        <v>912.13332100000002</v>
      </c>
    </row>
    <row r="4778" spans="2:5" x14ac:dyDescent="0.2">
      <c r="B4778" s="533">
        <v>5756</v>
      </c>
      <c r="C4778" s="533" t="s">
        <v>5725</v>
      </c>
      <c r="D4778" s="656" t="s">
        <v>393</v>
      </c>
      <c r="E4778" s="534">
        <v>949.85882600000002</v>
      </c>
    </row>
    <row r="4779" spans="2:5" x14ac:dyDescent="0.2">
      <c r="B4779" s="533">
        <v>5757</v>
      </c>
      <c r="C4779" s="533" t="s">
        <v>4386</v>
      </c>
      <c r="D4779" s="656" t="s">
        <v>393</v>
      </c>
      <c r="E4779" s="534">
        <v>915.13076100000001</v>
      </c>
    </row>
    <row r="4780" spans="2:5" x14ac:dyDescent="0.2">
      <c r="B4780" s="533">
        <v>5758</v>
      </c>
      <c r="C4780" s="533" t="s">
        <v>5574</v>
      </c>
      <c r="D4780" s="656" t="s">
        <v>393</v>
      </c>
      <c r="E4780" s="534">
        <v>908.369235</v>
      </c>
    </row>
    <row r="4781" spans="2:5" x14ac:dyDescent="0.2">
      <c r="B4781" s="533">
        <v>5759</v>
      </c>
      <c r="C4781" s="533" t="s">
        <v>5689</v>
      </c>
      <c r="D4781" s="656" t="s">
        <v>393</v>
      </c>
      <c r="E4781" s="534">
        <v>938.69999199999995</v>
      </c>
    </row>
    <row r="4782" spans="2:5" x14ac:dyDescent="0.2">
      <c r="B4782" s="533">
        <v>5760</v>
      </c>
      <c r="C4782" s="533" t="s">
        <v>5848</v>
      </c>
      <c r="D4782" s="656" t="s">
        <v>393</v>
      </c>
      <c r="E4782" s="534">
        <v>985.428585</v>
      </c>
    </row>
    <row r="4783" spans="2:5" x14ac:dyDescent="0.2">
      <c r="B4783" s="533">
        <v>5761</v>
      </c>
      <c r="C4783" s="533" t="s">
        <v>4252</v>
      </c>
      <c r="D4783" s="656" t="s">
        <v>393</v>
      </c>
      <c r="E4783" s="534">
        <v>960.29411400000004</v>
      </c>
    </row>
    <row r="4784" spans="2:5" x14ac:dyDescent="0.2">
      <c r="B4784" s="533">
        <v>5762</v>
      </c>
      <c r="C4784" s="533" t="s">
        <v>5613</v>
      </c>
      <c r="D4784" s="656" t="s">
        <v>393</v>
      </c>
      <c r="E4784" s="534">
        <v>917.14285700000005</v>
      </c>
    </row>
    <row r="4785" spans="2:5" x14ac:dyDescent="0.2">
      <c r="B4785" s="533">
        <v>5802</v>
      </c>
      <c r="C4785" s="533" t="s">
        <v>6073</v>
      </c>
      <c r="D4785" s="656" t="s">
        <v>391</v>
      </c>
      <c r="E4785" s="534">
        <v>1099.6944410000001</v>
      </c>
    </row>
    <row r="4786" spans="2:5" x14ac:dyDescent="0.2">
      <c r="B4786" s="533">
        <v>5803</v>
      </c>
      <c r="C4786" s="533" t="s">
        <v>6098</v>
      </c>
      <c r="D4786" s="656" t="s">
        <v>391</v>
      </c>
      <c r="E4786" s="534">
        <v>1122.6907409999999</v>
      </c>
    </row>
    <row r="4787" spans="2:5" x14ac:dyDescent="0.2">
      <c r="B4787" s="533">
        <v>5806</v>
      </c>
      <c r="C4787" s="533" t="s">
        <v>7235</v>
      </c>
      <c r="D4787" s="656" t="s">
        <v>391</v>
      </c>
      <c r="E4787" s="534">
        <v>1129.9205199999999</v>
      </c>
    </row>
    <row r="4788" spans="2:5" x14ac:dyDescent="0.2">
      <c r="B4788" s="533">
        <v>5807</v>
      </c>
      <c r="C4788" s="533" t="s">
        <v>6164</v>
      </c>
      <c r="D4788" s="656" t="s">
        <v>391</v>
      </c>
      <c r="E4788" s="534">
        <v>1176.139985</v>
      </c>
    </row>
    <row r="4789" spans="2:5" x14ac:dyDescent="0.2">
      <c r="B4789" s="533">
        <v>5808</v>
      </c>
      <c r="C4789" s="533" t="s">
        <v>7431</v>
      </c>
      <c r="D4789" s="656" t="s">
        <v>391</v>
      </c>
      <c r="E4789" s="534">
        <v>1114.51819</v>
      </c>
    </row>
    <row r="4790" spans="2:5" x14ac:dyDescent="0.2">
      <c r="B4790" s="533">
        <v>5809</v>
      </c>
      <c r="C4790" s="533" t="s">
        <v>6032</v>
      </c>
      <c r="D4790" s="656" t="s">
        <v>391</v>
      </c>
      <c r="E4790" s="534">
        <v>1075.6269110000001</v>
      </c>
    </row>
    <row r="4791" spans="2:5" x14ac:dyDescent="0.2">
      <c r="B4791" s="533">
        <v>5810</v>
      </c>
      <c r="C4791" s="533" t="s">
        <v>6107</v>
      </c>
      <c r="D4791" s="656" t="s">
        <v>391</v>
      </c>
      <c r="E4791" s="534">
        <v>1130.061913</v>
      </c>
    </row>
    <row r="4792" spans="2:5" x14ac:dyDescent="0.2">
      <c r="B4792" s="533">
        <v>5811</v>
      </c>
      <c r="C4792" s="533" t="s">
        <v>5884</v>
      </c>
      <c r="D4792" s="656" t="s">
        <v>391</v>
      </c>
      <c r="E4792" s="534">
        <v>996.10000300000002</v>
      </c>
    </row>
    <row r="4793" spans="2:5" x14ac:dyDescent="0.2">
      <c r="B4793" s="533">
        <v>5812</v>
      </c>
      <c r="C4793" s="533" t="s">
        <v>5932</v>
      </c>
      <c r="D4793" s="656" t="s">
        <v>391</v>
      </c>
      <c r="E4793" s="534">
        <v>1021.690918</v>
      </c>
    </row>
    <row r="4794" spans="2:5" x14ac:dyDescent="0.2">
      <c r="B4794" s="533">
        <v>5813</v>
      </c>
      <c r="C4794" s="533" t="s">
        <v>6848</v>
      </c>
      <c r="D4794" s="656" t="s">
        <v>391</v>
      </c>
      <c r="E4794" s="534">
        <v>997.63332800000001</v>
      </c>
    </row>
    <row r="4795" spans="2:5" x14ac:dyDescent="0.2">
      <c r="B4795" s="533">
        <v>5814</v>
      </c>
      <c r="C4795" s="533" t="s">
        <v>5927</v>
      </c>
      <c r="D4795" s="656" t="s">
        <v>391</v>
      </c>
      <c r="E4795" s="534">
        <v>1018.212494</v>
      </c>
    </row>
    <row r="4796" spans="2:5" x14ac:dyDescent="0.2">
      <c r="B4796" s="533">
        <v>5815</v>
      </c>
      <c r="C4796" s="533" t="s">
        <v>5860</v>
      </c>
      <c r="D4796" s="656" t="s">
        <v>391</v>
      </c>
      <c r="E4796" s="534">
        <v>987.19999199999995</v>
      </c>
    </row>
    <row r="4797" spans="2:5" x14ac:dyDescent="0.2">
      <c r="B4797" s="533">
        <v>5816</v>
      </c>
      <c r="C4797" s="533" t="s">
        <v>839</v>
      </c>
      <c r="D4797" s="656" t="s">
        <v>391</v>
      </c>
      <c r="E4797" s="534">
        <v>1030.58572</v>
      </c>
    </row>
    <row r="4798" spans="2:5" x14ac:dyDescent="0.2">
      <c r="B4798" s="533">
        <v>5817</v>
      </c>
      <c r="C4798" s="533" t="s">
        <v>5852</v>
      </c>
      <c r="D4798" s="656" t="s">
        <v>391</v>
      </c>
      <c r="E4798" s="534">
        <v>985.96666000000005</v>
      </c>
    </row>
    <row r="4799" spans="2:5" x14ac:dyDescent="0.2">
      <c r="B4799" s="533">
        <v>5818</v>
      </c>
      <c r="C4799" s="533" t="s">
        <v>5853</v>
      </c>
      <c r="D4799" s="656" t="s">
        <v>391</v>
      </c>
      <c r="E4799" s="534">
        <v>986.24166400000001</v>
      </c>
    </row>
    <row r="4800" spans="2:5" x14ac:dyDescent="0.2">
      <c r="B4800" s="533">
        <v>5819</v>
      </c>
      <c r="C4800" s="533" t="s">
        <v>5855</v>
      </c>
      <c r="D4800" s="656" t="s">
        <v>391</v>
      </c>
      <c r="E4800" s="534">
        <v>986.54286000000002</v>
      </c>
    </row>
    <row r="4801" spans="2:5" x14ac:dyDescent="0.2">
      <c r="B4801" s="533">
        <v>5820</v>
      </c>
      <c r="C4801" s="533" t="s">
        <v>6058</v>
      </c>
      <c r="D4801" s="656" t="s">
        <v>391</v>
      </c>
      <c r="E4801" s="534">
        <v>1091.2375070000001</v>
      </c>
    </row>
    <row r="4802" spans="2:5" x14ac:dyDescent="0.2">
      <c r="B4802" s="533">
        <v>5821</v>
      </c>
      <c r="C4802" s="533" t="s">
        <v>6120</v>
      </c>
      <c r="D4802" s="656" t="s">
        <v>391</v>
      </c>
      <c r="E4802" s="534">
        <v>1144.309082</v>
      </c>
    </row>
    <row r="4803" spans="2:5" x14ac:dyDescent="0.2">
      <c r="B4803" s="533">
        <v>5822</v>
      </c>
      <c r="C4803" s="533" t="s">
        <v>6151</v>
      </c>
      <c r="D4803" s="656" t="s">
        <v>391</v>
      </c>
      <c r="E4803" s="534">
        <v>1160.037934</v>
      </c>
    </row>
    <row r="4804" spans="2:5" x14ac:dyDescent="0.2">
      <c r="B4804" s="533">
        <v>5823</v>
      </c>
      <c r="C4804" s="533" t="s">
        <v>6792</v>
      </c>
      <c r="D4804" s="656" t="s">
        <v>391</v>
      </c>
      <c r="E4804" s="534">
        <v>935.81667100000004</v>
      </c>
    </row>
    <row r="4805" spans="2:5" x14ac:dyDescent="0.2">
      <c r="B4805" s="533">
        <v>5824</v>
      </c>
      <c r="C4805" s="533" t="s">
        <v>6898</v>
      </c>
      <c r="D4805" s="656" t="s">
        <v>391</v>
      </c>
      <c r="E4805" s="534">
        <v>981.42222800000002</v>
      </c>
    </row>
    <row r="4806" spans="2:5" x14ac:dyDescent="0.2">
      <c r="B4806" s="533">
        <v>5825</v>
      </c>
      <c r="C4806" s="533" t="s">
        <v>5720</v>
      </c>
      <c r="D4806" s="656" t="s">
        <v>391</v>
      </c>
      <c r="E4806" s="534">
        <v>947.65000899999995</v>
      </c>
    </row>
    <row r="4807" spans="2:5" x14ac:dyDescent="0.2">
      <c r="B4807" s="533">
        <v>5826</v>
      </c>
      <c r="C4807" s="533" t="s">
        <v>6535</v>
      </c>
      <c r="D4807" s="656" t="s">
        <v>391</v>
      </c>
      <c r="E4807" s="534">
        <v>946.5</v>
      </c>
    </row>
    <row r="4808" spans="2:5" x14ac:dyDescent="0.2">
      <c r="B4808" s="533">
        <v>5827</v>
      </c>
      <c r="C4808" s="533" t="s">
        <v>5689</v>
      </c>
      <c r="D4808" s="656" t="s">
        <v>391</v>
      </c>
      <c r="E4808" s="534">
        <v>983.14285700000005</v>
      </c>
    </row>
    <row r="4809" spans="2:5" x14ac:dyDescent="0.2">
      <c r="B4809" s="533">
        <v>5828</v>
      </c>
      <c r="C4809" s="533" t="s">
        <v>5924</v>
      </c>
      <c r="D4809" s="656" t="s">
        <v>391</v>
      </c>
      <c r="E4809" s="534">
        <v>1016.5</v>
      </c>
    </row>
    <row r="4810" spans="2:5" x14ac:dyDescent="0.2">
      <c r="B4810" s="533">
        <v>5829</v>
      </c>
      <c r="C4810" s="533" t="s">
        <v>6474</v>
      </c>
      <c r="D4810" s="656" t="s">
        <v>391</v>
      </c>
      <c r="E4810" s="534">
        <v>1074.978572</v>
      </c>
    </row>
    <row r="4811" spans="2:5" x14ac:dyDescent="0.2">
      <c r="B4811" s="533">
        <v>5831</v>
      </c>
      <c r="C4811" s="533" t="s">
        <v>5990</v>
      </c>
      <c r="D4811" s="656" t="s">
        <v>391</v>
      </c>
      <c r="E4811" s="534">
        <v>1046.1999969999999</v>
      </c>
    </row>
    <row r="4812" spans="2:5" x14ac:dyDescent="0.2">
      <c r="B4812" s="533">
        <v>5832</v>
      </c>
      <c r="C4812" s="533" t="s">
        <v>5823</v>
      </c>
      <c r="D4812" s="656" t="s">
        <v>391</v>
      </c>
      <c r="E4812" s="534">
        <v>975.671426</v>
      </c>
    </row>
    <row r="4813" spans="2:5" x14ac:dyDescent="0.2">
      <c r="B4813" s="533">
        <v>5833</v>
      </c>
      <c r="C4813" s="533" t="s">
        <v>5761</v>
      </c>
      <c r="D4813" s="656" t="s">
        <v>391</v>
      </c>
      <c r="E4813" s="534">
        <v>958.78749800000003</v>
      </c>
    </row>
    <row r="4814" spans="2:5" x14ac:dyDescent="0.2">
      <c r="B4814" s="533">
        <v>5834</v>
      </c>
      <c r="C4814" s="533" t="s">
        <v>6505</v>
      </c>
      <c r="D4814" s="656" t="s">
        <v>391</v>
      </c>
      <c r="E4814" s="534">
        <v>996.29998799999998</v>
      </c>
    </row>
    <row r="4815" spans="2:5" x14ac:dyDescent="0.2">
      <c r="B4815" s="533">
        <v>5835</v>
      </c>
      <c r="C4815" s="533" t="s">
        <v>5981</v>
      </c>
      <c r="D4815" s="656" t="s">
        <v>391</v>
      </c>
      <c r="E4815" s="534">
        <v>1044.1750030000001</v>
      </c>
    </row>
    <row r="4816" spans="2:5" x14ac:dyDescent="0.2">
      <c r="B4816" s="533">
        <v>5836</v>
      </c>
      <c r="C4816" s="533" t="s">
        <v>5943</v>
      </c>
      <c r="D4816" s="656" t="s">
        <v>391</v>
      </c>
      <c r="E4816" s="534">
        <v>1027.753845</v>
      </c>
    </row>
    <row r="4817" spans="2:5" x14ac:dyDescent="0.2">
      <c r="B4817" s="533">
        <v>5837</v>
      </c>
      <c r="C4817" s="533" t="s">
        <v>5980</v>
      </c>
      <c r="D4817" s="656" t="s">
        <v>391</v>
      </c>
      <c r="E4817" s="534">
        <v>1043.974976</v>
      </c>
    </row>
    <row r="4818" spans="2:5" x14ac:dyDescent="0.2">
      <c r="B4818" s="533">
        <v>5838</v>
      </c>
      <c r="C4818" s="533" t="s">
        <v>2537</v>
      </c>
      <c r="D4818" s="656" t="s">
        <v>391</v>
      </c>
      <c r="E4818" s="534">
        <v>958.52222400000005</v>
      </c>
    </row>
    <row r="4819" spans="2:5" x14ac:dyDescent="0.2">
      <c r="B4819" s="533">
        <v>5839</v>
      </c>
      <c r="C4819" s="533" t="s">
        <v>5766</v>
      </c>
      <c r="D4819" s="656" t="s">
        <v>391</v>
      </c>
      <c r="E4819" s="534">
        <v>960.57501200000002</v>
      </c>
    </row>
    <row r="4820" spans="2:5" x14ac:dyDescent="0.2">
      <c r="B4820" s="533">
        <v>5840</v>
      </c>
      <c r="C4820" s="533" t="s">
        <v>5831</v>
      </c>
      <c r="D4820" s="656" t="s">
        <v>391</v>
      </c>
      <c r="E4820" s="534">
        <v>979.09999600000003</v>
      </c>
    </row>
    <row r="4821" spans="2:5" x14ac:dyDescent="0.2">
      <c r="B4821" s="533">
        <v>5841</v>
      </c>
      <c r="C4821" s="533" t="s">
        <v>5760</v>
      </c>
      <c r="D4821" s="656" t="s">
        <v>391</v>
      </c>
      <c r="E4821" s="534">
        <v>958.51429099999996</v>
      </c>
    </row>
    <row r="4822" spans="2:5" x14ac:dyDescent="0.2">
      <c r="B4822" s="533">
        <v>5842</v>
      </c>
      <c r="C4822" s="533" t="s">
        <v>5868</v>
      </c>
      <c r="D4822" s="656" t="s">
        <v>391</v>
      </c>
      <c r="E4822" s="534">
        <v>991.60000600000001</v>
      </c>
    </row>
    <row r="4823" spans="2:5" x14ac:dyDescent="0.2">
      <c r="B4823" s="533">
        <v>5843</v>
      </c>
      <c r="C4823" s="533" t="s">
        <v>5450</v>
      </c>
      <c r="D4823" s="656" t="s">
        <v>391</v>
      </c>
      <c r="E4823" s="534">
        <v>889.54286000000002</v>
      </c>
    </row>
    <row r="4824" spans="2:5" x14ac:dyDescent="0.2">
      <c r="B4824" s="533">
        <v>5844</v>
      </c>
      <c r="C4824" s="533" t="s">
        <v>5632</v>
      </c>
      <c r="D4824" s="656" t="s">
        <v>391</v>
      </c>
      <c r="E4824" s="534">
        <v>923.30769699999996</v>
      </c>
    </row>
    <row r="4825" spans="2:5" x14ac:dyDescent="0.2">
      <c r="B4825" s="533">
        <v>5845</v>
      </c>
      <c r="C4825" s="533" t="s">
        <v>6470</v>
      </c>
      <c r="D4825" s="656" t="s">
        <v>391</v>
      </c>
      <c r="E4825" s="534">
        <v>936.78572299999996</v>
      </c>
    </row>
    <row r="4826" spans="2:5" x14ac:dyDescent="0.2">
      <c r="B4826" s="533">
        <v>5846</v>
      </c>
      <c r="C4826" s="533" t="s">
        <v>5830</v>
      </c>
      <c r="D4826" s="656" t="s">
        <v>391</v>
      </c>
      <c r="E4826" s="534">
        <v>978.57499700000005</v>
      </c>
    </row>
    <row r="4827" spans="2:5" x14ac:dyDescent="0.2">
      <c r="B4827" s="533">
        <v>5847</v>
      </c>
      <c r="C4827" s="533" t="s">
        <v>5697</v>
      </c>
      <c r="D4827" s="656" t="s">
        <v>391</v>
      </c>
      <c r="E4827" s="534">
        <v>940.44998199999998</v>
      </c>
    </row>
    <row r="4828" spans="2:5" x14ac:dyDescent="0.2">
      <c r="B4828" s="533">
        <v>5848</v>
      </c>
      <c r="C4828" s="533" t="s">
        <v>5906</v>
      </c>
      <c r="D4828" s="656" t="s">
        <v>391</v>
      </c>
      <c r="E4828" s="534">
        <v>1006.787506</v>
      </c>
    </row>
    <row r="4829" spans="2:5" x14ac:dyDescent="0.2">
      <c r="B4829" s="533">
        <v>5849</v>
      </c>
      <c r="C4829" s="533" t="s">
        <v>5904</v>
      </c>
      <c r="D4829" s="656" t="s">
        <v>391</v>
      </c>
      <c r="E4829" s="534">
        <v>1006.207679</v>
      </c>
    </row>
    <row r="4830" spans="2:5" x14ac:dyDescent="0.2">
      <c r="B4830" s="533">
        <v>5850</v>
      </c>
      <c r="C4830" s="533" t="s">
        <v>5956</v>
      </c>
      <c r="D4830" s="656" t="s">
        <v>391</v>
      </c>
      <c r="E4830" s="534">
        <v>1034.633335</v>
      </c>
    </row>
    <row r="4831" spans="2:5" x14ac:dyDescent="0.2">
      <c r="B4831" s="533">
        <v>5851</v>
      </c>
      <c r="C4831" s="533" t="s">
        <v>6134</v>
      </c>
      <c r="D4831" s="656" t="s">
        <v>391</v>
      </c>
      <c r="E4831" s="534">
        <v>1150.636358</v>
      </c>
    </row>
    <row r="4832" spans="2:5" x14ac:dyDescent="0.2">
      <c r="B4832" s="533">
        <v>5852</v>
      </c>
      <c r="C4832" s="533" t="s">
        <v>4153</v>
      </c>
      <c r="D4832" s="656" t="s">
        <v>391</v>
      </c>
      <c r="E4832" s="534">
        <v>1171.0666639999999</v>
      </c>
    </row>
    <row r="4833" spans="2:5" x14ac:dyDescent="0.2">
      <c r="B4833" s="533">
        <v>5853</v>
      </c>
      <c r="C4833" s="533" t="s">
        <v>5841</v>
      </c>
      <c r="D4833" s="656" t="s">
        <v>391</v>
      </c>
      <c r="E4833" s="534">
        <v>982.36363600000004</v>
      </c>
    </row>
    <row r="4834" spans="2:5" x14ac:dyDescent="0.2">
      <c r="B4834" s="533">
        <v>5854</v>
      </c>
      <c r="C4834" s="533" t="s">
        <v>5815</v>
      </c>
      <c r="D4834" s="656" t="s">
        <v>391</v>
      </c>
      <c r="E4834" s="534">
        <v>973.47499800000003</v>
      </c>
    </row>
    <row r="4835" spans="2:5" x14ac:dyDescent="0.2">
      <c r="B4835" s="533">
        <v>5855</v>
      </c>
      <c r="C4835" s="533" t="s">
        <v>5879</v>
      </c>
      <c r="D4835" s="656" t="s">
        <v>391</v>
      </c>
      <c r="E4835" s="534">
        <v>994.47367799999995</v>
      </c>
    </row>
    <row r="4836" spans="2:5" x14ac:dyDescent="0.2">
      <c r="B4836" s="533">
        <v>5856</v>
      </c>
      <c r="C4836" s="533" t="s">
        <v>6741</v>
      </c>
      <c r="D4836" s="656" t="s">
        <v>391</v>
      </c>
      <c r="E4836" s="534">
        <v>964.89999399999999</v>
      </c>
    </row>
    <row r="4837" spans="2:5" x14ac:dyDescent="0.2">
      <c r="B4837" s="533">
        <v>5857</v>
      </c>
      <c r="C4837" s="533" t="s">
        <v>2314</v>
      </c>
      <c r="D4837" s="656" t="s">
        <v>391</v>
      </c>
      <c r="E4837" s="534">
        <v>975.51250500000003</v>
      </c>
    </row>
    <row r="4838" spans="2:5" x14ac:dyDescent="0.2">
      <c r="B4838" s="533">
        <v>5858</v>
      </c>
      <c r="C4838" s="533" t="s">
        <v>5717</v>
      </c>
      <c r="D4838" s="656" t="s">
        <v>391</v>
      </c>
      <c r="E4838" s="534">
        <v>946.84545900000001</v>
      </c>
    </row>
    <row r="4839" spans="2:5" x14ac:dyDescent="0.2">
      <c r="B4839" s="533">
        <v>5859</v>
      </c>
      <c r="C4839" s="533" t="s">
        <v>5415</v>
      </c>
      <c r="D4839" s="656" t="s">
        <v>391</v>
      </c>
      <c r="E4839" s="534">
        <v>883.28000499999996</v>
      </c>
    </row>
    <row r="4840" spans="2:5" x14ac:dyDescent="0.2">
      <c r="B4840" s="533">
        <v>5860</v>
      </c>
      <c r="C4840" s="533" t="s">
        <v>5552</v>
      </c>
      <c r="D4840" s="656" t="s">
        <v>391</v>
      </c>
      <c r="E4840" s="534">
        <v>906.43332199999998</v>
      </c>
    </row>
    <row r="4841" spans="2:5" x14ac:dyDescent="0.2">
      <c r="B4841" s="533">
        <v>5861</v>
      </c>
      <c r="C4841" s="533" t="s">
        <v>7318</v>
      </c>
      <c r="D4841" s="656" t="s">
        <v>391</v>
      </c>
      <c r="E4841" s="534">
        <v>879.39000199999998</v>
      </c>
    </row>
    <row r="4842" spans="2:5" x14ac:dyDescent="0.2">
      <c r="B4842" s="533">
        <v>5862</v>
      </c>
      <c r="C4842" s="533" t="s">
        <v>3698</v>
      </c>
      <c r="D4842" s="656" t="s">
        <v>391</v>
      </c>
      <c r="E4842" s="534">
        <v>924.66666699999996</v>
      </c>
    </row>
    <row r="4843" spans="2:5" x14ac:dyDescent="0.2">
      <c r="B4843" s="533">
        <v>5863</v>
      </c>
      <c r="C4843" s="533" t="s">
        <v>5743</v>
      </c>
      <c r="D4843" s="656" t="s">
        <v>391</v>
      </c>
      <c r="E4843" s="534">
        <v>953.77333199999998</v>
      </c>
    </row>
    <row r="4844" spans="2:5" x14ac:dyDescent="0.2">
      <c r="B4844" s="533">
        <v>5864</v>
      </c>
      <c r="C4844" s="533" t="s">
        <v>6568</v>
      </c>
      <c r="D4844" s="656" t="s">
        <v>391</v>
      </c>
      <c r="E4844" s="534">
        <v>959.38333599999999</v>
      </c>
    </row>
    <row r="4845" spans="2:5" x14ac:dyDescent="0.2">
      <c r="B4845" s="533">
        <v>5865</v>
      </c>
      <c r="C4845" s="533" t="s">
        <v>6754</v>
      </c>
      <c r="D4845" s="656" t="s">
        <v>391</v>
      </c>
      <c r="E4845" s="534">
        <v>1012.64284</v>
      </c>
    </row>
    <row r="4846" spans="2:5" x14ac:dyDescent="0.2">
      <c r="B4846" s="533">
        <v>5866</v>
      </c>
      <c r="C4846" s="533" t="s">
        <v>6069</v>
      </c>
      <c r="D4846" s="656" t="s">
        <v>391</v>
      </c>
      <c r="E4846" s="534">
        <v>1097.6499940000001</v>
      </c>
    </row>
    <row r="4847" spans="2:5" x14ac:dyDescent="0.2">
      <c r="B4847" s="533">
        <v>5867</v>
      </c>
      <c r="C4847" s="533" t="s">
        <v>5950</v>
      </c>
      <c r="D4847" s="656" t="s">
        <v>391</v>
      </c>
      <c r="E4847" s="534">
        <v>1031.633331</v>
      </c>
    </row>
    <row r="4848" spans="2:5" x14ac:dyDescent="0.2">
      <c r="B4848" s="533">
        <v>5868</v>
      </c>
      <c r="C4848" s="533" t="s">
        <v>6078</v>
      </c>
      <c r="D4848" s="656" t="s">
        <v>391</v>
      </c>
      <c r="E4848" s="534">
        <v>1102.8062629999999</v>
      </c>
    </row>
    <row r="4849" spans="2:5" x14ac:dyDescent="0.2">
      <c r="B4849" s="533">
        <v>5869</v>
      </c>
      <c r="C4849" s="533" t="s">
        <v>6133</v>
      </c>
      <c r="D4849" s="656" t="s">
        <v>391</v>
      </c>
      <c r="E4849" s="534">
        <v>1150.226919</v>
      </c>
    </row>
    <row r="4850" spans="2:5" x14ac:dyDescent="0.2">
      <c r="B4850" s="533">
        <v>5870</v>
      </c>
      <c r="C4850" s="533" t="s">
        <v>7112</v>
      </c>
      <c r="D4850" s="656" t="s">
        <v>391</v>
      </c>
      <c r="E4850" s="534">
        <v>1030.833333</v>
      </c>
    </row>
    <row r="4851" spans="2:5" x14ac:dyDescent="0.2">
      <c r="B4851" s="533">
        <v>5871</v>
      </c>
      <c r="C4851" s="533" t="s">
        <v>6759</v>
      </c>
      <c r="D4851" s="656" t="s">
        <v>391</v>
      </c>
      <c r="E4851" s="534">
        <v>876.63332800000001</v>
      </c>
    </row>
    <row r="4852" spans="2:5" x14ac:dyDescent="0.2">
      <c r="B4852" s="533">
        <v>5872</v>
      </c>
      <c r="C4852" s="533" t="s">
        <v>5288</v>
      </c>
      <c r="D4852" s="656" t="s">
        <v>391</v>
      </c>
      <c r="E4852" s="534">
        <v>861.125</v>
      </c>
    </row>
    <row r="4853" spans="2:5" x14ac:dyDescent="0.2">
      <c r="B4853" s="533">
        <v>5873</v>
      </c>
      <c r="C4853" s="533" t="s">
        <v>691</v>
      </c>
      <c r="D4853" s="656" t="s">
        <v>391</v>
      </c>
      <c r="E4853" s="534">
        <v>897.68000500000005</v>
      </c>
    </row>
    <row r="4854" spans="2:5" x14ac:dyDescent="0.2">
      <c r="B4854" s="533">
        <v>5874</v>
      </c>
      <c r="C4854" s="533" t="s">
        <v>6516</v>
      </c>
      <c r="D4854" s="656" t="s">
        <v>391</v>
      </c>
      <c r="E4854" s="534">
        <v>848.29998799999998</v>
      </c>
    </row>
    <row r="4855" spans="2:5" x14ac:dyDescent="0.2">
      <c r="B4855" s="533">
        <v>5875</v>
      </c>
      <c r="C4855" s="533" t="s">
        <v>6515</v>
      </c>
      <c r="D4855" s="656" t="s">
        <v>391</v>
      </c>
      <c r="E4855" s="534">
        <v>895.13999000000001</v>
      </c>
    </row>
    <row r="4856" spans="2:5" x14ac:dyDescent="0.2">
      <c r="B4856" s="533">
        <v>5876</v>
      </c>
      <c r="C4856" s="533" t="s">
        <v>5711</v>
      </c>
      <c r="D4856" s="656" t="s">
        <v>391</v>
      </c>
      <c r="E4856" s="534">
        <v>944.90000199999997</v>
      </c>
    </row>
    <row r="4857" spans="2:5" x14ac:dyDescent="0.2">
      <c r="B4857" s="533">
        <v>5877</v>
      </c>
      <c r="C4857" s="533" t="s">
        <v>5795</v>
      </c>
      <c r="D4857" s="656" t="s">
        <v>391</v>
      </c>
      <c r="E4857" s="534">
        <v>966.60000300000002</v>
      </c>
    </row>
    <row r="4858" spans="2:5" x14ac:dyDescent="0.2">
      <c r="B4858" s="533">
        <v>5878</v>
      </c>
      <c r="C4858" s="533" t="s">
        <v>5891</v>
      </c>
      <c r="D4858" s="656" t="s">
        <v>391</v>
      </c>
      <c r="E4858" s="534">
        <v>998.12221999999997</v>
      </c>
    </row>
    <row r="4859" spans="2:5" x14ac:dyDescent="0.2">
      <c r="B4859" s="533">
        <v>5879</v>
      </c>
      <c r="C4859" s="533" t="s">
        <v>5854</v>
      </c>
      <c r="D4859" s="656" t="s">
        <v>391</v>
      </c>
      <c r="E4859" s="534">
        <v>986.36251100000004</v>
      </c>
    </row>
    <row r="4860" spans="2:5" x14ac:dyDescent="0.2">
      <c r="B4860" s="533">
        <v>5880</v>
      </c>
      <c r="C4860" s="533" t="s">
        <v>7060</v>
      </c>
      <c r="D4860" s="656" t="s">
        <v>391</v>
      </c>
      <c r="E4860" s="534">
        <v>988.63334099999997</v>
      </c>
    </row>
    <row r="4861" spans="2:5" x14ac:dyDescent="0.2">
      <c r="B4861" s="533">
        <v>5881</v>
      </c>
      <c r="C4861" s="533" t="s">
        <v>7543</v>
      </c>
      <c r="D4861" s="656" t="s">
        <v>391</v>
      </c>
      <c r="E4861" s="534">
        <v>970.22666400000003</v>
      </c>
    </row>
    <row r="4862" spans="2:5" x14ac:dyDescent="0.2">
      <c r="B4862" s="533">
        <v>5882</v>
      </c>
      <c r="C4862" s="533" t="s">
        <v>5872</v>
      </c>
      <c r="D4862" s="656" t="s">
        <v>391</v>
      </c>
      <c r="E4862" s="534">
        <v>992.71667500000001</v>
      </c>
    </row>
    <row r="4863" spans="2:5" x14ac:dyDescent="0.2">
      <c r="B4863" s="533">
        <v>5883</v>
      </c>
      <c r="C4863" s="533" t="s">
        <v>5833</v>
      </c>
      <c r="D4863" s="656" t="s">
        <v>391</v>
      </c>
      <c r="E4863" s="534">
        <v>979.56665699999996</v>
      </c>
    </row>
    <row r="4864" spans="2:5" x14ac:dyDescent="0.2">
      <c r="B4864" s="533">
        <v>5884</v>
      </c>
      <c r="C4864" s="533" t="s">
        <v>5939</v>
      </c>
      <c r="D4864" s="656" t="s">
        <v>391</v>
      </c>
      <c r="E4864" s="534">
        <v>1026.7624820000001</v>
      </c>
    </row>
    <row r="4865" spans="2:5" x14ac:dyDescent="0.2">
      <c r="B4865" s="533">
        <v>5885</v>
      </c>
      <c r="C4865" s="533" t="s">
        <v>5886</v>
      </c>
      <c r="D4865" s="656" t="s">
        <v>391</v>
      </c>
      <c r="E4865" s="534">
        <v>996.25</v>
      </c>
    </row>
    <row r="4866" spans="2:5" x14ac:dyDescent="0.2">
      <c r="B4866" s="533">
        <v>5901</v>
      </c>
      <c r="C4866" s="533" t="s">
        <v>4243</v>
      </c>
      <c r="D4866" s="656" t="s">
        <v>390</v>
      </c>
      <c r="E4866" s="534">
        <v>1044.6062549999999</v>
      </c>
    </row>
    <row r="4867" spans="2:5" x14ac:dyDescent="0.2">
      <c r="B4867" s="533">
        <v>5902</v>
      </c>
      <c r="C4867" s="533" t="s">
        <v>6083</v>
      </c>
      <c r="D4867" s="656" t="s">
        <v>390</v>
      </c>
      <c r="E4867" s="534">
        <v>1108.2200029999999</v>
      </c>
    </row>
    <row r="4868" spans="2:5" x14ac:dyDescent="0.2">
      <c r="B4868" s="533">
        <v>5903</v>
      </c>
      <c r="C4868" s="533" t="s">
        <v>5832</v>
      </c>
      <c r="D4868" s="656" t="s">
        <v>390</v>
      </c>
      <c r="E4868" s="534">
        <v>979.13332800000001</v>
      </c>
    </row>
    <row r="4869" spans="2:5" x14ac:dyDescent="0.2">
      <c r="B4869" s="533">
        <v>5904</v>
      </c>
      <c r="C4869" s="533" t="s">
        <v>6163</v>
      </c>
      <c r="D4869" s="656" t="s">
        <v>390</v>
      </c>
      <c r="E4869" s="534">
        <v>1174.2071530000001</v>
      </c>
    </row>
    <row r="4870" spans="2:5" x14ac:dyDescent="0.2">
      <c r="B4870" s="533">
        <v>5905</v>
      </c>
      <c r="C4870" s="533" t="s">
        <v>2669</v>
      </c>
      <c r="D4870" s="656" t="s">
        <v>390</v>
      </c>
      <c r="E4870" s="534">
        <v>1083.9200069999999</v>
      </c>
    </row>
    <row r="4871" spans="2:5" x14ac:dyDescent="0.2">
      <c r="B4871" s="533">
        <v>5906</v>
      </c>
      <c r="C4871" s="533" t="s">
        <v>2840</v>
      </c>
      <c r="D4871" s="656" t="s">
        <v>390</v>
      </c>
      <c r="E4871" s="534">
        <v>1194.9142890000001</v>
      </c>
    </row>
    <row r="4872" spans="2:5" x14ac:dyDescent="0.2">
      <c r="B4872" s="533">
        <v>5907</v>
      </c>
      <c r="C4872" s="533" t="s">
        <v>6238</v>
      </c>
      <c r="D4872" s="656" t="s">
        <v>390</v>
      </c>
      <c r="E4872" s="534">
        <v>1248.133335</v>
      </c>
    </row>
    <row r="4873" spans="2:5" x14ac:dyDescent="0.2">
      <c r="B4873" s="533">
        <v>5908</v>
      </c>
      <c r="C4873" s="533" t="s">
        <v>5165</v>
      </c>
      <c r="D4873" s="656" t="s">
        <v>390</v>
      </c>
      <c r="E4873" s="534">
        <v>841.48571800000002</v>
      </c>
    </row>
    <row r="4874" spans="2:5" x14ac:dyDescent="0.2">
      <c r="B4874" s="533">
        <v>5909</v>
      </c>
      <c r="C4874" s="533" t="s">
        <v>5579</v>
      </c>
      <c r="D4874" s="656" t="s">
        <v>390</v>
      </c>
      <c r="E4874" s="534">
        <v>909.73999000000003</v>
      </c>
    </row>
    <row r="4875" spans="2:5" x14ac:dyDescent="0.2">
      <c r="B4875" s="533">
        <v>5910</v>
      </c>
      <c r="C4875" s="533" t="s">
        <v>5057</v>
      </c>
      <c r="D4875" s="656" t="s">
        <v>390</v>
      </c>
      <c r="E4875" s="534">
        <v>830.10666900000001</v>
      </c>
    </row>
    <row r="4876" spans="2:5" x14ac:dyDescent="0.2">
      <c r="B4876" s="533">
        <v>5911</v>
      </c>
      <c r="C4876" s="533" t="s">
        <v>5537</v>
      </c>
      <c r="D4876" s="656" t="s">
        <v>390</v>
      </c>
      <c r="E4876" s="534">
        <v>902.80908799999997</v>
      </c>
    </row>
    <row r="4877" spans="2:5" x14ac:dyDescent="0.2">
      <c r="B4877" s="533">
        <v>5912</v>
      </c>
      <c r="C4877" s="533" t="s">
        <v>4953</v>
      </c>
      <c r="D4877" s="656" t="s">
        <v>390</v>
      </c>
      <c r="E4877" s="534">
        <v>818.13124800000003</v>
      </c>
    </row>
    <row r="4878" spans="2:5" x14ac:dyDescent="0.2">
      <c r="B4878" s="533">
        <v>5913</v>
      </c>
      <c r="C4878" s="533" t="s">
        <v>4756</v>
      </c>
      <c r="D4878" s="656" t="s">
        <v>390</v>
      </c>
      <c r="E4878" s="534">
        <v>801.44287099999997</v>
      </c>
    </row>
    <row r="4879" spans="2:5" x14ac:dyDescent="0.2">
      <c r="B4879" s="533">
        <v>5914</v>
      </c>
      <c r="C4879" s="533" t="s">
        <v>5512</v>
      </c>
      <c r="D4879" s="656" t="s">
        <v>390</v>
      </c>
      <c r="E4879" s="534">
        <v>899.139996</v>
      </c>
    </row>
    <row r="4880" spans="2:5" x14ac:dyDescent="0.2">
      <c r="B4880" s="533">
        <v>5915</v>
      </c>
      <c r="C4880" s="533" t="s">
        <v>390</v>
      </c>
      <c r="D4880" s="656" t="s">
        <v>390</v>
      </c>
      <c r="E4880" s="534">
        <v>852.85998500000005</v>
      </c>
    </row>
    <row r="4881" spans="2:5" x14ac:dyDescent="0.2">
      <c r="B4881" s="533">
        <v>5916</v>
      </c>
      <c r="C4881" s="533" t="s">
        <v>5944</v>
      </c>
      <c r="D4881" s="656" t="s">
        <v>390</v>
      </c>
      <c r="E4881" s="534">
        <v>1027.950006</v>
      </c>
    </row>
    <row r="4882" spans="2:5" x14ac:dyDescent="0.2">
      <c r="B4882" s="533">
        <v>5917</v>
      </c>
      <c r="C4882" s="533" t="s">
        <v>6256</v>
      </c>
      <c r="D4882" s="656" t="s">
        <v>390</v>
      </c>
      <c r="E4882" s="534">
        <v>1285.2461499999999</v>
      </c>
    </row>
    <row r="4883" spans="2:5" x14ac:dyDescent="0.2">
      <c r="B4883" s="533">
        <v>5918</v>
      </c>
      <c r="C4883" s="533" t="s">
        <v>5633</v>
      </c>
      <c r="D4883" s="656" t="s">
        <v>390</v>
      </c>
      <c r="E4883" s="534">
        <v>923.32499700000005</v>
      </c>
    </row>
    <row r="4884" spans="2:5" x14ac:dyDescent="0.2">
      <c r="B4884" s="533">
        <v>5919</v>
      </c>
      <c r="C4884" s="533" t="s">
        <v>5679</v>
      </c>
      <c r="D4884" s="656" t="s">
        <v>390</v>
      </c>
      <c r="E4884" s="534">
        <v>935.16923199999997</v>
      </c>
    </row>
    <row r="4885" spans="2:5" x14ac:dyDescent="0.2">
      <c r="B4885" s="533">
        <v>5920</v>
      </c>
      <c r="C4885" s="533" t="s">
        <v>6093</v>
      </c>
      <c r="D4885" s="656" t="s">
        <v>390</v>
      </c>
      <c r="E4885" s="534">
        <v>1118.459985</v>
      </c>
    </row>
    <row r="4886" spans="2:5" x14ac:dyDescent="0.2">
      <c r="B4886" s="533">
        <v>5921</v>
      </c>
      <c r="C4886" s="533" t="s">
        <v>5862</v>
      </c>
      <c r="D4886" s="656" t="s">
        <v>390</v>
      </c>
      <c r="E4886" s="534">
        <v>987.50999100000001</v>
      </c>
    </row>
    <row r="4887" spans="2:5" x14ac:dyDescent="0.2">
      <c r="B4887" s="533">
        <v>5922</v>
      </c>
      <c r="C4887" s="533" t="s">
        <v>5909</v>
      </c>
      <c r="D4887" s="656" t="s">
        <v>390</v>
      </c>
      <c r="E4887" s="534">
        <v>1007.783331</v>
      </c>
    </row>
    <row r="4888" spans="2:5" x14ac:dyDescent="0.2">
      <c r="B4888" s="533">
        <v>5923</v>
      </c>
      <c r="C4888" s="533" t="s">
        <v>5771</v>
      </c>
      <c r="D4888" s="656" t="s">
        <v>390</v>
      </c>
      <c r="E4888" s="534">
        <v>960.94999900000005</v>
      </c>
    </row>
    <row r="4889" spans="2:5" x14ac:dyDescent="0.2">
      <c r="B4889" s="533">
        <v>5924</v>
      </c>
      <c r="C4889" s="533" t="s">
        <v>5900</v>
      </c>
      <c r="D4889" s="656" t="s">
        <v>390</v>
      </c>
      <c r="E4889" s="534">
        <v>1005.462502</v>
      </c>
    </row>
    <row r="4890" spans="2:5" x14ac:dyDescent="0.2">
      <c r="B4890" s="533">
        <v>5925</v>
      </c>
      <c r="C4890" s="533" t="s">
        <v>6047</v>
      </c>
      <c r="D4890" s="656" t="s">
        <v>390</v>
      </c>
      <c r="E4890" s="534">
        <v>1081.2200069999999</v>
      </c>
    </row>
    <row r="4891" spans="2:5" x14ac:dyDescent="0.2">
      <c r="B4891" s="533">
        <v>5926</v>
      </c>
      <c r="C4891" s="533" t="s">
        <v>5803</v>
      </c>
      <c r="D4891" s="656" t="s">
        <v>390</v>
      </c>
      <c r="E4891" s="534">
        <v>968.81999499999995</v>
      </c>
    </row>
    <row r="4892" spans="2:5" x14ac:dyDescent="0.2">
      <c r="B4892" s="533">
        <v>5927</v>
      </c>
      <c r="C4892" s="533" t="s">
        <v>5616</v>
      </c>
      <c r="D4892" s="656" t="s">
        <v>390</v>
      </c>
      <c r="E4892" s="534">
        <v>917.64284799999996</v>
      </c>
    </row>
    <row r="4893" spans="2:5" x14ac:dyDescent="0.2">
      <c r="B4893" s="533">
        <v>5928</v>
      </c>
      <c r="C4893" s="533" t="s">
        <v>4549</v>
      </c>
      <c r="D4893" s="656" t="s">
        <v>390</v>
      </c>
      <c r="E4893" s="534">
        <v>784.63000499999998</v>
      </c>
    </row>
    <row r="4894" spans="2:5" x14ac:dyDescent="0.2">
      <c r="B4894" s="533">
        <v>5929</v>
      </c>
      <c r="C4894" s="533" t="s">
        <v>3943</v>
      </c>
      <c r="D4894" s="656" t="s">
        <v>390</v>
      </c>
      <c r="E4894" s="534">
        <v>741.56667100000004</v>
      </c>
    </row>
    <row r="4895" spans="2:5" x14ac:dyDescent="0.2">
      <c r="B4895" s="533">
        <v>5930</v>
      </c>
      <c r="C4895" s="533" t="s">
        <v>3507</v>
      </c>
      <c r="D4895" s="656" t="s">
        <v>390</v>
      </c>
      <c r="E4895" s="534">
        <v>717.15454699999998</v>
      </c>
    </row>
    <row r="4896" spans="2:5" x14ac:dyDescent="0.2">
      <c r="B4896" s="533">
        <v>5931</v>
      </c>
      <c r="C4896" s="533" t="s">
        <v>3277</v>
      </c>
      <c r="D4896" s="656" t="s">
        <v>390</v>
      </c>
      <c r="E4896" s="534">
        <v>704.88181899999995</v>
      </c>
    </row>
    <row r="4897" spans="2:5" x14ac:dyDescent="0.2">
      <c r="B4897" s="533">
        <v>5932</v>
      </c>
      <c r="C4897" s="533" t="s">
        <v>4406</v>
      </c>
      <c r="D4897" s="656" t="s">
        <v>390</v>
      </c>
      <c r="E4897" s="534">
        <v>773.93333600000005</v>
      </c>
    </row>
    <row r="4898" spans="2:5" x14ac:dyDescent="0.2">
      <c r="B4898" s="533">
        <v>5933</v>
      </c>
      <c r="C4898" s="533" t="s">
        <v>4088</v>
      </c>
      <c r="D4898" s="656" t="s">
        <v>390</v>
      </c>
      <c r="E4898" s="534">
        <v>750.63529300000005</v>
      </c>
    </row>
    <row r="4899" spans="2:5" x14ac:dyDescent="0.2">
      <c r="B4899" s="533">
        <v>5934</v>
      </c>
      <c r="C4899" s="533" t="s">
        <v>3794</v>
      </c>
      <c r="D4899" s="656" t="s">
        <v>390</v>
      </c>
      <c r="E4899" s="534">
        <v>733.13334099999997</v>
      </c>
    </row>
    <row r="4900" spans="2:5" x14ac:dyDescent="0.2">
      <c r="B4900" s="533">
        <v>5935</v>
      </c>
      <c r="C4900" s="533" t="s">
        <v>3447</v>
      </c>
      <c r="D4900" s="656" t="s">
        <v>390</v>
      </c>
      <c r="E4900" s="534">
        <v>713.541382</v>
      </c>
    </row>
    <row r="4901" spans="2:5" x14ac:dyDescent="0.2">
      <c r="B4901" s="533">
        <v>5936</v>
      </c>
      <c r="C4901" s="533" t="s">
        <v>4062</v>
      </c>
      <c r="D4901" s="656" t="s">
        <v>390</v>
      </c>
      <c r="E4901" s="534">
        <v>749.44545700000003</v>
      </c>
    </row>
    <row r="4902" spans="2:5" x14ac:dyDescent="0.2">
      <c r="B4902" s="533">
        <v>5937</v>
      </c>
      <c r="C4902" s="533" t="s">
        <v>1276</v>
      </c>
      <c r="D4902" s="656" t="s">
        <v>390</v>
      </c>
      <c r="E4902" s="534">
        <v>768.72499700000003</v>
      </c>
    </row>
    <row r="4903" spans="2:5" x14ac:dyDescent="0.2">
      <c r="B4903" s="533">
        <v>5938</v>
      </c>
      <c r="C4903" s="533" t="s">
        <v>1151</v>
      </c>
      <c r="D4903" s="656" t="s">
        <v>390</v>
      </c>
      <c r="E4903" s="534">
        <v>713.90000199999997</v>
      </c>
    </row>
    <row r="4904" spans="2:5" x14ac:dyDescent="0.2">
      <c r="B4904" s="533">
        <v>5939</v>
      </c>
      <c r="C4904" s="533" t="s">
        <v>2957</v>
      </c>
      <c r="D4904" s="656" t="s">
        <v>390</v>
      </c>
      <c r="E4904" s="534">
        <v>688.84446200000002</v>
      </c>
    </row>
    <row r="4905" spans="2:5" x14ac:dyDescent="0.2">
      <c r="B4905" s="533">
        <v>5940</v>
      </c>
      <c r="C4905" s="533" t="s">
        <v>4777</v>
      </c>
      <c r="D4905" s="656" t="s">
        <v>390</v>
      </c>
      <c r="E4905" s="534">
        <v>802.55833399999995</v>
      </c>
    </row>
    <row r="4906" spans="2:5" x14ac:dyDescent="0.2">
      <c r="B4906" s="533">
        <v>5941</v>
      </c>
      <c r="C4906" s="533" t="s">
        <v>4593</v>
      </c>
      <c r="D4906" s="656" t="s">
        <v>390</v>
      </c>
      <c r="E4906" s="534">
        <v>788.1</v>
      </c>
    </row>
    <row r="4907" spans="2:5" x14ac:dyDescent="0.2">
      <c r="B4907" s="533">
        <v>5942</v>
      </c>
      <c r="C4907" s="533" t="s">
        <v>4975</v>
      </c>
      <c r="D4907" s="656" t="s">
        <v>390</v>
      </c>
      <c r="E4907" s="534">
        <v>820.625</v>
      </c>
    </row>
    <row r="4908" spans="2:5" x14ac:dyDescent="0.2">
      <c r="B4908" s="533">
        <v>5943</v>
      </c>
      <c r="C4908" s="533" t="s">
        <v>5145</v>
      </c>
      <c r="D4908" s="656" t="s">
        <v>390</v>
      </c>
      <c r="E4908" s="534">
        <v>884.43077200000005</v>
      </c>
    </row>
    <row r="4909" spans="2:5" x14ac:dyDescent="0.2">
      <c r="B4909" s="533">
        <v>5944</v>
      </c>
      <c r="C4909" s="533" t="s">
        <v>2338</v>
      </c>
      <c r="D4909" s="656" t="s">
        <v>390</v>
      </c>
      <c r="E4909" s="534">
        <v>948.60909200000003</v>
      </c>
    </row>
    <row r="4910" spans="2:5" x14ac:dyDescent="0.2">
      <c r="B4910" s="533">
        <v>5945</v>
      </c>
      <c r="C4910" s="533" t="s">
        <v>5378</v>
      </c>
      <c r="D4910" s="656" t="s">
        <v>390</v>
      </c>
      <c r="E4910" s="534">
        <v>876.34000200000003</v>
      </c>
    </row>
    <row r="4911" spans="2:5" x14ac:dyDescent="0.2">
      <c r="B4911" s="533">
        <v>5946</v>
      </c>
      <c r="C4911" s="533" t="s">
        <v>4008</v>
      </c>
      <c r="D4911" s="656" t="s">
        <v>390</v>
      </c>
      <c r="E4911" s="534">
        <v>844.94545700000003</v>
      </c>
    </row>
    <row r="4912" spans="2:5" x14ac:dyDescent="0.2">
      <c r="B4912" s="533">
        <v>5947</v>
      </c>
      <c r="C4912" s="533" t="s">
        <v>5196</v>
      </c>
      <c r="D4912" s="656" t="s">
        <v>390</v>
      </c>
      <c r="E4912" s="534">
        <v>846.42666799999995</v>
      </c>
    </row>
    <row r="4913" spans="2:5" x14ac:dyDescent="0.2">
      <c r="B4913" s="533">
        <v>5948</v>
      </c>
      <c r="C4913" s="533" t="s">
        <v>6518</v>
      </c>
      <c r="D4913" s="656" t="s">
        <v>390</v>
      </c>
      <c r="E4913" s="534">
        <v>895.85000600000001</v>
      </c>
    </row>
    <row r="4914" spans="2:5" x14ac:dyDescent="0.2">
      <c r="B4914" s="533">
        <v>5949</v>
      </c>
      <c r="C4914" s="533" t="s">
        <v>5635</v>
      </c>
      <c r="D4914" s="656" t="s">
        <v>390</v>
      </c>
      <c r="E4914" s="534">
        <v>923.54118400000004</v>
      </c>
    </row>
    <row r="4915" spans="2:5" x14ac:dyDescent="0.2">
      <c r="B4915" s="533">
        <v>5950</v>
      </c>
      <c r="C4915" s="533" t="s">
        <v>6002</v>
      </c>
      <c r="D4915" s="656" t="s">
        <v>390</v>
      </c>
      <c r="E4915" s="534">
        <v>1054.5142820000001</v>
      </c>
    </row>
    <row r="4916" spans="2:5" x14ac:dyDescent="0.2">
      <c r="B4916" s="533">
        <v>5951</v>
      </c>
      <c r="C4916" s="533" t="s">
        <v>5507</v>
      </c>
      <c r="D4916" s="656" t="s">
        <v>390</v>
      </c>
      <c r="E4916" s="534">
        <v>897.52631899999994</v>
      </c>
    </row>
    <row r="4917" spans="2:5" x14ac:dyDescent="0.2">
      <c r="B4917" s="533">
        <v>5952</v>
      </c>
      <c r="C4917" s="533" t="s">
        <v>6517</v>
      </c>
      <c r="D4917" s="656" t="s">
        <v>390</v>
      </c>
      <c r="E4917" s="534">
        <v>933.66923899999995</v>
      </c>
    </row>
    <row r="4918" spans="2:5" x14ac:dyDescent="0.2">
      <c r="B4918" s="533">
        <v>5953</v>
      </c>
      <c r="C4918" s="533" t="s">
        <v>2446</v>
      </c>
      <c r="D4918" s="656" t="s">
        <v>390</v>
      </c>
      <c r="E4918" s="534">
        <v>777.87693000000002</v>
      </c>
    </row>
    <row r="4919" spans="2:5" x14ac:dyDescent="0.2">
      <c r="B4919" s="533">
        <v>5954</v>
      </c>
      <c r="C4919" s="533" t="s">
        <v>7226</v>
      </c>
      <c r="D4919" s="656" t="s">
        <v>390</v>
      </c>
      <c r="E4919" s="534">
        <v>802.19230300000004</v>
      </c>
    </row>
    <row r="4920" spans="2:5" x14ac:dyDescent="0.2">
      <c r="B4920" s="533">
        <v>5955</v>
      </c>
      <c r="C4920" s="533" t="s">
        <v>3003</v>
      </c>
      <c r="D4920" s="656" t="s">
        <v>390</v>
      </c>
      <c r="E4920" s="534">
        <v>691.43157299999996</v>
      </c>
    </row>
    <row r="4921" spans="2:5" x14ac:dyDescent="0.2">
      <c r="B4921" s="533">
        <v>5956</v>
      </c>
      <c r="C4921" s="533" t="s">
        <v>2921</v>
      </c>
      <c r="D4921" s="656" t="s">
        <v>390</v>
      </c>
      <c r="E4921" s="534">
        <v>687.116669</v>
      </c>
    </row>
    <row r="4922" spans="2:5" x14ac:dyDescent="0.2">
      <c r="B4922" s="533">
        <v>5957</v>
      </c>
      <c r="C4922" s="533" t="s">
        <v>2833</v>
      </c>
      <c r="D4922" s="656" t="s">
        <v>390</v>
      </c>
      <c r="E4922" s="534">
        <v>683.728568</v>
      </c>
    </row>
    <row r="4923" spans="2:5" x14ac:dyDescent="0.2">
      <c r="B4923" s="533">
        <v>5958</v>
      </c>
      <c r="C4923" s="533" t="s">
        <v>7243</v>
      </c>
      <c r="D4923" s="656" t="s">
        <v>390</v>
      </c>
      <c r="E4923" s="534">
        <v>684.82857000000001</v>
      </c>
    </row>
    <row r="4924" spans="2:5" x14ac:dyDescent="0.2">
      <c r="B4924" s="533">
        <v>5959</v>
      </c>
      <c r="C4924" s="533" t="s">
        <v>7244</v>
      </c>
      <c r="D4924" s="656" t="s">
        <v>390</v>
      </c>
      <c r="E4924" s="534">
        <v>687.20908999999995</v>
      </c>
    </row>
    <row r="4925" spans="2:5" x14ac:dyDescent="0.2">
      <c r="B4925" s="533">
        <v>5960</v>
      </c>
      <c r="C4925" s="533" t="s">
        <v>2567</v>
      </c>
      <c r="D4925" s="656" t="s">
        <v>390</v>
      </c>
      <c r="E4925" s="534">
        <v>669.36665900000003</v>
      </c>
    </row>
    <row r="4926" spans="2:5" x14ac:dyDescent="0.2">
      <c r="B4926" s="533">
        <v>5961</v>
      </c>
      <c r="C4926" s="533" t="s">
        <v>3017</v>
      </c>
      <c r="D4926" s="656" t="s">
        <v>390</v>
      </c>
      <c r="E4926" s="534">
        <v>692.14999899999998</v>
      </c>
    </row>
    <row r="4927" spans="2:5" x14ac:dyDescent="0.2">
      <c r="B4927" s="533">
        <v>5962</v>
      </c>
      <c r="C4927" s="533" t="s">
        <v>3370</v>
      </c>
      <c r="D4927" s="656" t="s">
        <v>390</v>
      </c>
      <c r="E4927" s="534">
        <v>709.82000700000003</v>
      </c>
    </row>
    <row r="4928" spans="2:5" x14ac:dyDescent="0.2">
      <c r="B4928" s="533">
        <v>5963</v>
      </c>
      <c r="C4928" s="533" t="s">
        <v>3951</v>
      </c>
      <c r="D4928" s="656" t="s">
        <v>390</v>
      </c>
      <c r="E4928" s="534">
        <v>742.37368900000001</v>
      </c>
    </row>
    <row r="4929" spans="2:5" x14ac:dyDescent="0.2">
      <c r="B4929" s="533">
        <v>5964</v>
      </c>
      <c r="C4929" s="533" t="s">
        <v>7242</v>
      </c>
      <c r="D4929" s="656" t="s">
        <v>390</v>
      </c>
      <c r="E4929" s="534">
        <v>718.03998999999999</v>
      </c>
    </row>
    <row r="4930" spans="2:5" x14ac:dyDescent="0.2">
      <c r="B4930" s="533">
        <v>5965</v>
      </c>
      <c r="C4930" s="533" t="s">
        <v>3313</v>
      </c>
      <c r="D4930" s="656" t="s">
        <v>390</v>
      </c>
      <c r="E4930" s="534">
        <v>707.14999399999999</v>
      </c>
    </row>
    <row r="4931" spans="2:5" x14ac:dyDescent="0.2">
      <c r="B4931" s="533">
        <v>5966</v>
      </c>
      <c r="C4931" s="533" t="s">
        <v>3566</v>
      </c>
      <c r="D4931" s="656" t="s">
        <v>390</v>
      </c>
      <c r="E4931" s="534">
        <v>719.90000599999996</v>
      </c>
    </row>
    <row r="4932" spans="2:5" x14ac:dyDescent="0.2">
      <c r="B4932" s="533">
        <v>5967</v>
      </c>
      <c r="C4932" s="533" t="s">
        <v>2630</v>
      </c>
      <c r="D4932" s="656" t="s">
        <v>390</v>
      </c>
      <c r="E4932" s="534">
        <v>729.03000199999997</v>
      </c>
    </row>
    <row r="4933" spans="2:5" x14ac:dyDescent="0.2">
      <c r="B4933" s="533">
        <v>5968</v>
      </c>
      <c r="C4933" s="533" t="s">
        <v>3384</v>
      </c>
      <c r="D4933" s="656" t="s">
        <v>390</v>
      </c>
      <c r="E4933" s="534">
        <v>710.59999600000003</v>
      </c>
    </row>
    <row r="4934" spans="2:5" x14ac:dyDescent="0.2">
      <c r="B4934" s="533">
        <v>5969</v>
      </c>
      <c r="C4934" s="533" t="s">
        <v>3762</v>
      </c>
      <c r="D4934" s="656" t="s">
        <v>390</v>
      </c>
      <c r="E4934" s="534">
        <v>731.20000600000003</v>
      </c>
    </row>
    <row r="4935" spans="2:5" x14ac:dyDescent="0.2">
      <c r="B4935" s="533">
        <v>5970</v>
      </c>
      <c r="C4935" s="533" t="s">
        <v>3543</v>
      </c>
      <c r="D4935" s="656" t="s">
        <v>390</v>
      </c>
      <c r="E4935" s="534">
        <v>718.83333600000003</v>
      </c>
    </row>
    <row r="4936" spans="2:5" x14ac:dyDescent="0.2">
      <c r="B4936" s="533">
        <v>5971</v>
      </c>
      <c r="C4936" s="533" t="s">
        <v>6817</v>
      </c>
      <c r="D4936" s="656" t="s">
        <v>390</v>
      </c>
      <c r="E4936" s="534">
        <v>717.633331</v>
      </c>
    </row>
    <row r="4937" spans="2:5" x14ac:dyDescent="0.2">
      <c r="B4937" s="533">
        <v>5972</v>
      </c>
      <c r="C4937" s="533" t="s">
        <v>3351</v>
      </c>
      <c r="D4937" s="656" t="s">
        <v>390</v>
      </c>
      <c r="E4937" s="534">
        <v>708.97500600000001</v>
      </c>
    </row>
    <row r="4938" spans="2:5" x14ac:dyDescent="0.2">
      <c r="B4938" s="533">
        <v>5973</v>
      </c>
      <c r="C4938" s="533" t="s">
        <v>3410</v>
      </c>
      <c r="D4938" s="656" t="s">
        <v>390</v>
      </c>
      <c r="E4938" s="534">
        <v>712.19999700000005</v>
      </c>
    </row>
    <row r="4939" spans="2:5" x14ac:dyDescent="0.2">
      <c r="B4939" s="533">
        <v>5974</v>
      </c>
      <c r="C4939" s="533" t="s">
        <v>3855</v>
      </c>
      <c r="D4939" s="656" t="s">
        <v>390</v>
      </c>
      <c r="E4939" s="534">
        <v>736.48999000000003</v>
      </c>
    </row>
    <row r="4940" spans="2:5" x14ac:dyDescent="0.2">
      <c r="B4940" s="533">
        <v>5975</v>
      </c>
      <c r="C4940" s="533" t="s">
        <v>6739</v>
      </c>
      <c r="D4940" s="656" t="s">
        <v>390</v>
      </c>
      <c r="E4940" s="534">
        <v>731.64999799999998</v>
      </c>
    </row>
    <row r="4941" spans="2:5" x14ac:dyDescent="0.2">
      <c r="B4941" s="533">
        <v>6001</v>
      </c>
      <c r="C4941" s="533" t="s">
        <v>2773</v>
      </c>
      <c r="D4941" s="656" t="s">
        <v>392</v>
      </c>
      <c r="E4941" s="534">
        <v>679.78235600000005</v>
      </c>
    </row>
    <row r="4942" spans="2:5" x14ac:dyDescent="0.2">
      <c r="B4942" s="533">
        <v>6002</v>
      </c>
      <c r="C4942" s="533" t="s">
        <v>3171</v>
      </c>
      <c r="D4942" s="656" t="s">
        <v>392</v>
      </c>
      <c r="E4942" s="534">
        <v>700.24285499999996</v>
      </c>
    </row>
    <row r="4943" spans="2:5" x14ac:dyDescent="0.2">
      <c r="B4943" s="533">
        <v>6003</v>
      </c>
      <c r="C4943" s="533" t="s">
        <v>2330</v>
      </c>
      <c r="D4943" s="656" t="s">
        <v>392</v>
      </c>
      <c r="E4943" s="534">
        <v>659.13334099999997</v>
      </c>
    </row>
    <row r="4944" spans="2:5" x14ac:dyDescent="0.2">
      <c r="B4944" s="533">
        <v>6004</v>
      </c>
      <c r="C4944" s="533" t="s">
        <v>3791</v>
      </c>
      <c r="D4944" s="656" t="s">
        <v>392</v>
      </c>
      <c r="E4944" s="534">
        <v>732.63333</v>
      </c>
    </row>
    <row r="4945" spans="2:5" x14ac:dyDescent="0.2">
      <c r="B4945" s="533">
        <v>6005</v>
      </c>
      <c r="C4945" s="533" t="s">
        <v>6476</v>
      </c>
      <c r="D4945" s="656" t="s">
        <v>392</v>
      </c>
      <c r="E4945" s="534">
        <v>699.919983</v>
      </c>
    </row>
    <row r="4946" spans="2:5" x14ac:dyDescent="0.2">
      <c r="B4946" s="533">
        <v>6006</v>
      </c>
      <c r="C4946" s="533" t="s">
        <v>1438</v>
      </c>
      <c r="D4946" s="656" t="s">
        <v>392</v>
      </c>
      <c r="E4946" s="534">
        <v>617.47999300000004</v>
      </c>
    </row>
    <row r="4947" spans="2:5" x14ac:dyDescent="0.2">
      <c r="B4947" s="533">
        <v>6007</v>
      </c>
      <c r="C4947" s="533" t="s">
        <v>4005</v>
      </c>
      <c r="D4947" s="656" t="s">
        <v>392</v>
      </c>
      <c r="E4947" s="534">
        <v>745.83333300000004</v>
      </c>
    </row>
    <row r="4948" spans="2:5" x14ac:dyDescent="0.2">
      <c r="B4948" s="533">
        <v>6008</v>
      </c>
      <c r="C4948" s="533" t="s">
        <v>1792</v>
      </c>
      <c r="D4948" s="656" t="s">
        <v>392</v>
      </c>
      <c r="E4948" s="534">
        <v>636.12856599999998</v>
      </c>
    </row>
    <row r="4949" spans="2:5" x14ac:dyDescent="0.2">
      <c r="B4949" s="533">
        <v>6009</v>
      </c>
      <c r="C4949" s="533" t="s">
        <v>2218</v>
      </c>
      <c r="D4949" s="656" t="s">
        <v>392</v>
      </c>
      <c r="E4949" s="534">
        <v>654.20001200000002</v>
      </c>
    </row>
    <row r="4950" spans="2:5" x14ac:dyDescent="0.2">
      <c r="B4950" s="533">
        <v>6010</v>
      </c>
      <c r="C4950" s="533" t="s">
        <v>4250</v>
      </c>
      <c r="D4950" s="656" t="s">
        <v>392</v>
      </c>
      <c r="E4950" s="534">
        <v>762.26666799999998</v>
      </c>
    </row>
    <row r="4951" spans="2:5" x14ac:dyDescent="0.2">
      <c r="B4951" s="533">
        <v>6011</v>
      </c>
      <c r="C4951" s="533" t="s">
        <v>2774</v>
      </c>
      <c r="D4951" s="656" t="s">
        <v>392</v>
      </c>
      <c r="E4951" s="534">
        <v>679.94998899999996</v>
      </c>
    </row>
    <row r="4952" spans="2:5" x14ac:dyDescent="0.2">
      <c r="B4952" s="533">
        <v>6012</v>
      </c>
      <c r="C4952" s="533" t="s">
        <v>2582</v>
      </c>
      <c r="D4952" s="656" t="s">
        <v>392</v>
      </c>
      <c r="E4952" s="534">
        <v>670.177775</v>
      </c>
    </row>
    <row r="4953" spans="2:5" x14ac:dyDescent="0.2">
      <c r="B4953" s="533">
        <v>6013</v>
      </c>
      <c r="C4953" s="533" t="s">
        <v>6524</v>
      </c>
      <c r="D4953" s="656" t="s">
        <v>392</v>
      </c>
      <c r="E4953" s="534">
        <v>660.14999399999999</v>
      </c>
    </row>
    <row r="4954" spans="2:5" x14ac:dyDescent="0.2">
      <c r="B4954" s="533">
        <v>6014</v>
      </c>
      <c r="C4954" s="533" t="s">
        <v>2315</v>
      </c>
      <c r="D4954" s="656" t="s">
        <v>392</v>
      </c>
      <c r="E4954" s="534">
        <v>762.16666699999996</v>
      </c>
    </row>
    <row r="4955" spans="2:5" x14ac:dyDescent="0.2">
      <c r="B4955" s="533">
        <v>6015</v>
      </c>
      <c r="C4955" s="533" t="s">
        <v>3275</v>
      </c>
      <c r="D4955" s="656" t="s">
        <v>392</v>
      </c>
      <c r="E4955" s="534">
        <v>704.77000699999996</v>
      </c>
    </row>
    <row r="4956" spans="2:5" x14ac:dyDescent="0.2">
      <c r="B4956" s="533">
        <v>6016</v>
      </c>
      <c r="C4956" s="533" t="s">
        <v>6666</v>
      </c>
      <c r="D4956" s="656" t="s">
        <v>392</v>
      </c>
      <c r="E4956" s="534">
        <v>681.33572000000004</v>
      </c>
    </row>
    <row r="4957" spans="2:5" x14ac:dyDescent="0.2">
      <c r="B4957" s="533">
        <v>6017</v>
      </c>
      <c r="C4957" s="533" t="s">
        <v>6670</v>
      </c>
      <c r="D4957" s="656" t="s">
        <v>392</v>
      </c>
      <c r="E4957" s="534">
        <v>714.17959299999995</v>
      </c>
    </row>
    <row r="4958" spans="2:5" x14ac:dyDescent="0.2">
      <c r="B4958" s="533">
        <v>6018</v>
      </c>
      <c r="C4958" s="533" t="s">
        <v>4765</v>
      </c>
      <c r="D4958" s="656" t="s">
        <v>392</v>
      </c>
      <c r="E4958" s="534">
        <v>802</v>
      </c>
    </row>
    <row r="4959" spans="2:5" x14ac:dyDescent="0.2">
      <c r="B4959" s="533">
        <v>6019</v>
      </c>
      <c r="C4959" s="533" t="s">
        <v>2398</v>
      </c>
      <c r="D4959" s="656" t="s">
        <v>392</v>
      </c>
      <c r="E4959" s="534">
        <v>662.60000600000001</v>
      </c>
    </row>
    <row r="4960" spans="2:5" x14ac:dyDescent="0.2">
      <c r="B4960" s="533">
        <v>6020</v>
      </c>
      <c r="C4960" s="533" t="s">
        <v>6696</v>
      </c>
      <c r="D4960" s="656" t="s">
        <v>392</v>
      </c>
      <c r="E4960" s="534">
        <v>617.69999199999995</v>
      </c>
    </row>
    <row r="4961" spans="2:5" x14ac:dyDescent="0.2">
      <c r="B4961" s="533">
        <v>6021</v>
      </c>
      <c r="C4961" s="533" t="s">
        <v>3635</v>
      </c>
      <c r="D4961" s="656" t="s">
        <v>392</v>
      </c>
      <c r="E4961" s="534">
        <v>724.15714800000001</v>
      </c>
    </row>
    <row r="4962" spans="2:5" x14ac:dyDescent="0.2">
      <c r="B4962" s="533">
        <v>6022</v>
      </c>
      <c r="C4962" s="533" t="s">
        <v>3778</v>
      </c>
      <c r="D4962" s="656" t="s">
        <v>392</v>
      </c>
      <c r="E4962" s="534">
        <v>731.97894299999996</v>
      </c>
    </row>
    <row r="4963" spans="2:5" x14ac:dyDescent="0.2">
      <c r="B4963" s="533">
        <v>6023</v>
      </c>
      <c r="C4963" s="533" t="s">
        <v>4712</v>
      </c>
      <c r="D4963" s="656" t="s">
        <v>392</v>
      </c>
      <c r="E4963" s="534">
        <v>797.60000600000001</v>
      </c>
    </row>
    <row r="4964" spans="2:5" x14ac:dyDescent="0.2">
      <c r="B4964" s="533">
        <v>6024</v>
      </c>
      <c r="C4964" s="533" t="s">
        <v>2710</v>
      </c>
      <c r="D4964" s="656" t="s">
        <v>392</v>
      </c>
      <c r="E4964" s="534">
        <v>676.83331299999998</v>
      </c>
    </row>
    <row r="4965" spans="2:5" x14ac:dyDescent="0.2">
      <c r="B4965" s="533">
        <v>6025</v>
      </c>
      <c r="C4965" s="533" t="s">
        <v>2973</v>
      </c>
      <c r="D4965" s="656" t="s">
        <v>392</v>
      </c>
      <c r="E4965" s="534">
        <v>689.55001800000002</v>
      </c>
    </row>
    <row r="4966" spans="2:5" x14ac:dyDescent="0.2">
      <c r="B4966" s="533">
        <v>6026</v>
      </c>
      <c r="C4966" s="533" t="s">
        <v>6878</v>
      </c>
      <c r="D4966" s="656" t="s">
        <v>392</v>
      </c>
      <c r="E4966" s="534">
        <v>788.42499499999997</v>
      </c>
    </row>
    <row r="4967" spans="2:5" x14ac:dyDescent="0.2">
      <c r="B4967" s="533">
        <v>6027</v>
      </c>
      <c r="C4967" s="533" t="s">
        <v>6899</v>
      </c>
      <c r="D4967" s="656" t="s">
        <v>392</v>
      </c>
      <c r="E4967" s="534">
        <v>641.80000299999995</v>
      </c>
    </row>
    <row r="4968" spans="2:5" x14ac:dyDescent="0.2">
      <c r="B4968" s="533">
        <v>6028</v>
      </c>
      <c r="C4968" s="533" t="s">
        <v>2504</v>
      </c>
      <c r="D4968" s="656" t="s">
        <v>392</v>
      </c>
      <c r="E4968" s="534">
        <v>698.40002400000003</v>
      </c>
    </row>
    <row r="4969" spans="2:5" x14ac:dyDescent="0.2">
      <c r="B4969" s="533">
        <v>6029</v>
      </c>
      <c r="C4969" s="533" t="s">
        <v>954</v>
      </c>
      <c r="D4969" s="656" t="s">
        <v>392</v>
      </c>
      <c r="E4969" s="534">
        <v>678</v>
      </c>
    </row>
    <row r="4970" spans="2:5" x14ac:dyDescent="0.2">
      <c r="B4970" s="533">
        <v>6030</v>
      </c>
      <c r="C4970" s="533" t="s">
        <v>3377</v>
      </c>
      <c r="D4970" s="656" t="s">
        <v>392</v>
      </c>
      <c r="E4970" s="534">
        <v>710.03332499999999</v>
      </c>
    </row>
    <row r="4971" spans="2:5" x14ac:dyDescent="0.2">
      <c r="B4971" s="533">
        <v>6031</v>
      </c>
      <c r="C4971" s="533" t="s">
        <v>3597</v>
      </c>
      <c r="D4971" s="656" t="s">
        <v>392</v>
      </c>
      <c r="E4971" s="534">
        <v>721.77221699999996</v>
      </c>
    </row>
    <row r="4972" spans="2:5" x14ac:dyDescent="0.2">
      <c r="B4972" s="533">
        <v>6032</v>
      </c>
      <c r="C4972" s="533" t="s">
        <v>1827</v>
      </c>
      <c r="D4972" s="656" t="s">
        <v>392</v>
      </c>
      <c r="E4972" s="534">
        <v>637.240002</v>
      </c>
    </row>
    <row r="4973" spans="2:5" x14ac:dyDescent="0.2">
      <c r="B4973" s="533">
        <v>6033</v>
      </c>
      <c r="C4973" s="533" t="s">
        <v>2367</v>
      </c>
      <c r="D4973" s="656" t="s">
        <v>392</v>
      </c>
      <c r="E4973" s="534">
        <v>660.71428600000002</v>
      </c>
    </row>
    <row r="4974" spans="2:5" x14ac:dyDescent="0.2">
      <c r="B4974" s="533">
        <v>6034</v>
      </c>
      <c r="C4974" s="533" t="s">
        <v>2011</v>
      </c>
      <c r="D4974" s="656" t="s">
        <v>392</v>
      </c>
      <c r="E4974" s="534">
        <v>643.95999800000004</v>
      </c>
    </row>
    <row r="4975" spans="2:5" x14ac:dyDescent="0.2">
      <c r="B4975" s="533">
        <v>6035</v>
      </c>
      <c r="C4975" s="533" t="s">
        <v>2849</v>
      </c>
      <c r="D4975" s="656" t="s">
        <v>392</v>
      </c>
      <c r="E4975" s="534">
        <v>684.31481900000006</v>
      </c>
    </row>
    <row r="4976" spans="2:5" x14ac:dyDescent="0.2">
      <c r="B4976" s="533">
        <v>6036</v>
      </c>
      <c r="C4976" s="533" t="s">
        <v>7020</v>
      </c>
      <c r="D4976" s="656" t="s">
        <v>392</v>
      </c>
      <c r="E4976" s="534">
        <v>694.383331</v>
      </c>
    </row>
    <row r="4977" spans="2:5" x14ac:dyDescent="0.2">
      <c r="B4977" s="533">
        <v>6037</v>
      </c>
      <c r="C4977" s="533" t="s">
        <v>3309</v>
      </c>
      <c r="D4977" s="656" t="s">
        <v>392</v>
      </c>
      <c r="E4977" s="534">
        <v>707.06666099999995</v>
      </c>
    </row>
    <row r="4978" spans="2:5" x14ac:dyDescent="0.2">
      <c r="B4978" s="533">
        <v>6038</v>
      </c>
      <c r="C4978" s="533" t="s">
        <v>4481</v>
      </c>
      <c r="D4978" s="656" t="s">
        <v>392</v>
      </c>
      <c r="E4978" s="534">
        <v>779.13334099999997</v>
      </c>
    </row>
    <row r="4979" spans="2:5" x14ac:dyDescent="0.2">
      <c r="B4979" s="533">
        <v>6039</v>
      </c>
      <c r="C4979" s="533" t="s">
        <v>3254</v>
      </c>
      <c r="D4979" s="656" t="s">
        <v>392</v>
      </c>
      <c r="E4979" s="534">
        <v>703.69998199999998</v>
      </c>
    </row>
    <row r="4980" spans="2:5" x14ac:dyDescent="0.2">
      <c r="B4980" s="533">
        <v>6040</v>
      </c>
      <c r="C4980" s="533" t="s">
        <v>3604</v>
      </c>
      <c r="D4980" s="656" t="s">
        <v>392</v>
      </c>
      <c r="E4980" s="534">
        <v>722.5</v>
      </c>
    </row>
    <row r="4981" spans="2:5" x14ac:dyDescent="0.2">
      <c r="B4981" s="533">
        <v>6041</v>
      </c>
      <c r="C4981" s="533" t="s">
        <v>1998</v>
      </c>
      <c r="D4981" s="656" t="s">
        <v>392</v>
      </c>
      <c r="E4981" s="534">
        <v>643.52500399999997</v>
      </c>
    </row>
    <row r="4982" spans="2:5" x14ac:dyDescent="0.2">
      <c r="B4982" s="533">
        <v>6042</v>
      </c>
      <c r="C4982" s="533" t="s">
        <v>2827</v>
      </c>
      <c r="D4982" s="656" t="s">
        <v>392</v>
      </c>
      <c r="E4982" s="534">
        <v>683.17499799999996</v>
      </c>
    </row>
    <row r="4983" spans="2:5" x14ac:dyDescent="0.2">
      <c r="B4983" s="533">
        <v>6043</v>
      </c>
      <c r="C4983" s="533" t="s">
        <v>392</v>
      </c>
      <c r="D4983" s="656" t="s">
        <v>392</v>
      </c>
      <c r="E4983" s="534">
        <v>679.23749499999997</v>
      </c>
    </row>
    <row r="4984" spans="2:5" x14ac:dyDescent="0.2">
      <c r="B4984" s="533">
        <v>6044</v>
      </c>
      <c r="C4984" s="533" t="s">
        <v>3111</v>
      </c>
      <c r="D4984" s="656" t="s">
        <v>392</v>
      </c>
      <c r="E4984" s="534">
        <v>697.21666500000003</v>
      </c>
    </row>
    <row r="4985" spans="2:5" x14ac:dyDescent="0.2">
      <c r="B4985" s="533">
        <v>6045</v>
      </c>
      <c r="C4985" s="533" t="s">
        <v>3599</v>
      </c>
      <c r="D4985" s="656" t="s">
        <v>392</v>
      </c>
      <c r="E4985" s="534">
        <v>721.81999900000005</v>
      </c>
    </row>
    <row r="4986" spans="2:5" x14ac:dyDescent="0.2">
      <c r="B4986" s="533">
        <v>6046</v>
      </c>
      <c r="C4986" s="533" t="s">
        <v>3478</v>
      </c>
      <c r="D4986" s="656" t="s">
        <v>392</v>
      </c>
      <c r="E4986" s="534">
        <v>715.35833200000002</v>
      </c>
    </row>
    <row r="4987" spans="2:5" x14ac:dyDescent="0.2">
      <c r="B4987" s="533">
        <v>6047</v>
      </c>
      <c r="C4987" s="533" t="s">
        <v>3272</v>
      </c>
      <c r="D4987" s="656" t="s">
        <v>392</v>
      </c>
      <c r="E4987" s="534">
        <v>704.69230300000004</v>
      </c>
    </row>
    <row r="4988" spans="2:5" x14ac:dyDescent="0.2">
      <c r="B4988" s="533">
        <v>6048</v>
      </c>
      <c r="C4988" s="533" t="s">
        <v>4559</v>
      </c>
      <c r="D4988" s="656" t="s">
        <v>392</v>
      </c>
      <c r="E4988" s="534">
        <v>785.38888899999995</v>
      </c>
    </row>
    <row r="4989" spans="2:5" x14ac:dyDescent="0.2">
      <c r="B4989" s="533">
        <v>6049</v>
      </c>
      <c r="C4989" s="533" t="s">
        <v>786</v>
      </c>
      <c r="D4989" s="656" t="s">
        <v>392</v>
      </c>
      <c r="E4989" s="534">
        <v>632.16667299999995</v>
      </c>
    </row>
    <row r="4990" spans="2:5" x14ac:dyDescent="0.2">
      <c r="B4990" s="533">
        <v>6050</v>
      </c>
      <c r="C4990" s="533" t="s">
        <v>4172</v>
      </c>
      <c r="D4990" s="656" t="s">
        <v>392</v>
      </c>
      <c r="E4990" s="534">
        <v>756.06154700000002</v>
      </c>
    </row>
    <row r="4991" spans="2:5" x14ac:dyDescent="0.2">
      <c r="B4991" s="533">
        <v>6051</v>
      </c>
      <c r="C4991" s="533" t="s">
        <v>2716</v>
      </c>
      <c r="D4991" s="656" t="s">
        <v>392</v>
      </c>
      <c r="E4991" s="534">
        <v>677.14000199999998</v>
      </c>
    </row>
    <row r="4992" spans="2:5" x14ac:dyDescent="0.2">
      <c r="B4992" s="533">
        <v>6052</v>
      </c>
      <c r="C4992" s="533" t="s">
        <v>4261</v>
      </c>
      <c r="D4992" s="656" t="s">
        <v>392</v>
      </c>
      <c r="E4992" s="534">
        <v>762.77142300000003</v>
      </c>
    </row>
    <row r="4993" spans="2:5" x14ac:dyDescent="0.2">
      <c r="B4993" s="533">
        <v>6053</v>
      </c>
      <c r="C4993" s="533" t="s">
        <v>3588</v>
      </c>
      <c r="D4993" s="656" t="s">
        <v>392</v>
      </c>
      <c r="E4993" s="534">
        <v>721.11999500000002</v>
      </c>
    </row>
    <row r="4994" spans="2:5" x14ac:dyDescent="0.2">
      <c r="B4994" s="533">
        <v>6054</v>
      </c>
      <c r="C4994" s="533" t="s">
        <v>1873</v>
      </c>
      <c r="D4994" s="656" t="s">
        <v>392</v>
      </c>
      <c r="E4994" s="534">
        <v>639.30000299999995</v>
      </c>
    </row>
    <row r="4995" spans="2:5" x14ac:dyDescent="0.2">
      <c r="B4995" s="533">
        <v>6055</v>
      </c>
      <c r="C4995" s="533" t="s">
        <v>2182</v>
      </c>
      <c r="D4995" s="656" t="s">
        <v>392</v>
      </c>
      <c r="E4995" s="534">
        <v>652.50001999999995</v>
      </c>
    </row>
    <row r="4996" spans="2:5" x14ac:dyDescent="0.2">
      <c r="B4996" s="533">
        <v>6056</v>
      </c>
      <c r="C4996" s="533" t="s">
        <v>4697</v>
      </c>
      <c r="D4996" s="656" t="s">
        <v>392</v>
      </c>
      <c r="E4996" s="534">
        <v>796.46667500000001</v>
      </c>
    </row>
    <row r="4997" spans="2:5" x14ac:dyDescent="0.2">
      <c r="B4997" s="533">
        <v>6057</v>
      </c>
      <c r="C4997" s="533" t="s">
        <v>1692</v>
      </c>
      <c r="D4997" s="656" t="s">
        <v>392</v>
      </c>
      <c r="E4997" s="534">
        <v>731.21999500000004</v>
      </c>
    </row>
    <row r="4998" spans="2:5" x14ac:dyDescent="0.2">
      <c r="B4998" s="533">
        <v>6058</v>
      </c>
      <c r="C4998" s="533" t="s">
        <v>1391</v>
      </c>
      <c r="D4998" s="656" t="s">
        <v>392</v>
      </c>
      <c r="E4998" s="534">
        <v>615.04285500000003</v>
      </c>
    </row>
    <row r="4999" spans="2:5" x14ac:dyDescent="0.2">
      <c r="B4999" s="533">
        <v>6059</v>
      </c>
      <c r="C4999" s="533" t="s">
        <v>2996</v>
      </c>
      <c r="D4999" s="656" t="s">
        <v>392</v>
      </c>
      <c r="E4999" s="534">
        <v>690.86999500000002</v>
      </c>
    </row>
    <row r="5000" spans="2:5" x14ac:dyDescent="0.2">
      <c r="B5000" s="533">
        <v>6060</v>
      </c>
      <c r="C5000" s="533" t="s">
        <v>6521</v>
      </c>
      <c r="D5000" s="656" t="s">
        <v>392</v>
      </c>
      <c r="E5000" s="534">
        <v>689.47142699999995</v>
      </c>
    </row>
    <row r="5001" spans="2:5" x14ac:dyDescent="0.2">
      <c r="B5001" s="533">
        <v>6061</v>
      </c>
      <c r="C5001" s="533" t="s">
        <v>2711</v>
      </c>
      <c r="D5001" s="656" t="s">
        <v>392</v>
      </c>
      <c r="E5001" s="534">
        <v>676.93332899999996</v>
      </c>
    </row>
    <row r="5002" spans="2:5" x14ac:dyDescent="0.2">
      <c r="B5002" s="533">
        <v>6062</v>
      </c>
      <c r="C5002" s="533" t="s">
        <v>4152</v>
      </c>
      <c r="D5002" s="656" t="s">
        <v>392</v>
      </c>
      <c r="E5002" s="534">
        <v>754.77999299999999</v>
      </c>
    </row>
    <row r="5003" spans="2:5" x14ac:dyDescent="0.2">
      <c r="B5003" s="533">
        <v>6063</v>
      </c>
      <c r="C5003" s="533" t="s">
        <v>2130</v>
      </c>
      <c r="D5003" s="656" t="s">
        <v>392</v>
      </c>
      <c r="E5003" s="534">
        <v>650.32500700000003</v>
      </c>
    </row>
    <row r="5004" spans="2:5" x14ac:dyDescent="0.2">
      <c r="B5004" s="533">
        <v>6064</v>
      </c>
      <c r="C5004" s="533" t="s">
        <v>2941</v>
      </c>
      <c r="D5004" s="656" t="s">
        <v>392</v>
      </c>
      <c r="E5004" s="534">
        <v>687.77142800000001</v>
      </c>
    </row>
    <row r="5005" spans="2:5" x14ac:dyDescent="0.2">
      <c r="B5005" s="533">
        <v>6065</v>
      </c>
      <c r="C5005" s="533" t="s">
        <v>3620</v>
      </c>
      <c r="D5005" s="656" t="s">
        <v>392</v>
      </c>
      <c r="E5005" s="534">
        <v>723.55000299999995</v>
      </c>
    </row>
    <row r="5006" spans="2:5" x14ac:dyDescent="0.2">
      <c r="B5006" s="533">
        <v>6066</v>
      </c>
      <c r="C5006" s="533" t="s">
        <v>4699</v>
      </c>
      <c r="D5006" s="656" t="s">
        <v>392</v>
      </c>
      <c r="E5006" s="534">
        <v>796.65384100000006</v>
      </c>
    </row>
    <row r="5007" spans="2:5" x14ac:dyDescent="0.2">
      <c r="B5007" s="533">
        <v>6067</v>
      </c>
      <c r="C5007" s="533" t="s">
        <v>4033</v>
      </c>
      <c r="D5007" s="656" t="s">
        <v>392</v>
      </c>
      <c r="E5007" s="534">
        <v>747.741669</v>
      </c>
    </row>
    <row r="5008" spans="2:5" x14ac:dyDescent="0.2">
      <c r="B5008" s="533">
        <v>6068</v>
      </c>
      <c r="C5008" s="533" t="s">
        <v>691</v>
      </c>
      <c r="D5008" s="656" t="s">
        <v>392</v>
      </c>
      <c r="E5008" s="534">
        <v>716.47499100000005</v>
      </c>
    </row>
    <row r="5009" spans="2:5" x14ac:dyDescent="0.2">
      <c r="B5009" s="533">
        <v>6069</v>
      </c>
      <c r="C5009" s="533" t="s">
        <v>4455</v>
      </c>
      <c r="D5009" s="656" t="s">
        <v>392</v>
      </c>
      <c r="E5009" s="534">
        <v>777.633331</v>
      </c>
    </row>
    <row r="5010" spans="2:5" x14ac:dyDescent="0.2">
      <c r="B5010" s="533">
        <v>6070</v>
      </c>
      <c r="C5010" s="533" t="s">
        <v>1557</v>
      </c>
      <c r="D5010" s="656" t="s">
        <v>392</v>
      </c>
      <c r="E5010" s="534">
        <v>624.48571800000002</v>
      </c>
    </row>
    <row r="5011" spans="2:5" x14ac:dyDescent="0.2">
      <c r="B5011" s="533">
        <v>6071</v>
      </c>
      <c r="C5011" s="533" t="s">
        <v>3201</v>
      </c>
      <c r="D5011" s="656" t="s">
        <v>392</v>
      </c>
      <c r="E5011" s="534">
        <v>701.64999399999999</v>
      </c>
    </row>
    <row r="5012" spans="2:5" x14ac:dyDescent="0.2">
      <c r="B5012" s="533">
        <v>6072</v>
      </c>
      <c r="C5012" s="533" t="s">
        <v>3682</v>
      </c>
      <c r="D5012" s="656" t="s">
        <v>392</v>
      </c>
      <c r="E5012" s="534">
        <v>726.69999499999994</v>
      </c>
    </row>
    <row r="5013" spans="2:5" x14ac:dyDescent="0.2">
      <c r="B5013" s="533">
        <v>6073</v>
      </c>
      <c r="C5013" s="533" t="s">
        <v>2393</v>
      </c>
      <c r="D5013" s="656" t="s">
        <v>392</v>
      </c>
      <c r="E5013" s="534">
        <v>662.41665599999999</v>
      </c>
    </row>
    <row r="5014" spans="2:5" x14ac:dyDescent="0.2">
      <c r="B5014" s="533">
        <v>6074</v>
      </c>
      <c r="C5014" s="533" t="s">
        <v>2920</v>
      </c>
      <c r="D5014" s="656" t="s">
        <v>392</v>
      </c>
      <c r="E5014" s="534">
        <v>687.05454299999997</v>
      </c>
    </row>
    <row r="5015" spans="2:5" x14ac:dyDescent="0.2">
      <c r="B5015" s="533">
        <v>6075</v>
      </c>
      <c r="C5015" s="533" t="s">
        <v>2421</v>
      </c>
      <c r="D5015" s="656" t="s">
        <v>392</v>
      </c>
      <c r="E5015" s="534">
        <v>663.57000100000005</v>
      </c>
    </row>
    <row r="5016" spans="2:5" x14ac:dyDescent="0.2">
      <c r="B5016" s="533">
        <v>6076</v>
      </c>
      <c r="C5016" s="533" t="s">
        <v>1563</v>
      </c>
      <c r="D5016" s="656" t="s">
        <v>392</v>
      </c>
      <c r="E5016" s="534">
        <v>624.80000800000005</v>
      </c>
    </row>
    <row r="5017" spans="2:5" x14ac:dyDescent="0.2">
      <c r="B5017" s="533">
        <v>6077</v>
      </c>
      <c r="C5017" s="533" t="s">
        <v>7308</v>
      </c>
      <c r="D5017" s="656" t="s">
        <v>392</v>
      </c>
      <c r="E5017" s="534">
        <v>783.70001200000002</v>
      </c>
    </row>
    <row r="5018" spans="2:5" x14ac:dyDescent="0.2">
      <c r="B5018" s="533">
        <v>6078</v>
      </c>
      <c r="C5018" s="533" t="s">
        <v>7316</v>
      </c>
      <c r="D5018" s="656" t="s">
        <v>392</v>
      </c>
      <c r="E5018" s="534">
        <v>757.89999799999998</v>
      </c>
    </row>
    <row r="5019" spans="2:5" x14ac:dyDescent="0.2">
      <c r="B5019" s="533">
        <v>6079</v>
      </c>
      <c r="C5019" s="533" t="s">
        <v>1852</v>
      </c>
      <c r="D5019" s="656" t="s">
        <v>392</v>
      </c>
      <c r="E5019" s="534">
        <v>638.41999499999997</v>
      </c>
    </row>
    <row r="5020" spans="2:5" x14ac:dyDescent="0.2">
      <c r="B5020" s="533">
        <v>6080</v>
      </c>
      <c r="C5020" s="533" t="s">
        <v>2639</v>
      </c>
      <c r="D5020" s="656" t="s">
        <v>392</v>
      </c>
      <c r="E5020" s="534">
        <v>673.740002</v>
      </c>
    </row>
    <row r="5021" spans="2:5" x14ac:dyDescent="0.2">
      <c r="B5021" s="533">
        <v>6081</v>
      </c>
      <c r="C5021" s="533" t="s">
        <v>3675</v>
      </c>
      <c r="D5021" s="656" t="s">
        <v>392</v>
      </c>
      <c r="E5021" s="534">
        <v>726.39000199999998</v>
      </c>
    </row>
    <row r="5022" spans="2:5" x14ac:dyDescent="0.2">
      <c r="B5022" s="533">
        <v>6082</v>
      </c>
      <c r="C5022" s="533" t="s">
        <v>3683</v>
      </c>
      <c r="D5022" s="656" t="s">
        <v>392</v>
      </c>
      <c r="E5022" s="534">
        <v>726.74999200000002</v>
      </c>
    </row>
    <row r="5023" spans="2:5" x14ac:dyDescent="0.2">
      <c r="B5023" s="533">
        <v>6083</v>
      </c>
      <c r="C5023" s="533" t="s">
        <v>7340</v>
      </c>
      <c r="D5023" s="656" t="s">
        <v>392</v>
      </c>
      <c r="E5023" s="534">
        <v>623.46666500000003</v>
      </c>
    </row>
    <row r="5024" spans="2:5" x14ac:dyDescent="0.2">
      <c r="B5024" s="533">
        <v>6084</v>
      </c>
      <c r="C5024" s="533" t="s">
        <v>3818</v>
      </c>
      <c r="D5024" s="656" t="s">
        <v>392</v>
      </c>
      <c r="E5024" s="534">
        <v>734.22000100000002</v>
      </c>
    </row>
    <row r="5025" spans="2:5" x14ac:dyDescent="0.2">
      <c r="B5025" s="533">
        <v>6085</v>
      </c>
      <c r="C5025" s="533" t="s">
        <v>1765</v>
      </c>
      <c r="D5025" s="656" t="s">
        <v>392</v>
      </c>
      <c r="E5025" s="534">
        <v>635.17692699999998</v>
      </c>
    </row>
    <row r="5026" spans="2:5" x14ac:dyDescent="0.2">
      <c r="B5026" s="533">
        <v>6086</v>
      </c>
      <c r="C5026" s="533" t="s">
        <v>2653</v>
      </c>
      <c r="D5026" s="656" t="s">
        <v>392</v>
      </c>
      <c r="E5026" s="534">
        <v>674.34001499999999</v>
      </c>
    </row>
    <row r="5027" spans="2:5" x14ac:dyDescent="0.2">
      <c r="B5027" s="533">
        <v>6087</v>
      </c>
      <c r="C5027" s="533" t="s">
        <v>3295</v>
      </c>
      <c r="D5027" s="656" t="s">
        <v>392</v>
      </c>
      <c r="E5027" s="534">
        <v>706.15714800000001</v>
      </c>
    </row>
    <row r="5028" spans="2:5" x14ac:dyDescent="0.2">
      <c r="B5028" s="533">
        <v>6088</v>
      </c>
      <c r="C5028" s="533" t="s">
        <v>4287</v>
      </c>
      <c r="D5028" s="656" t="s">
        <v>392</v>
      </c>
      <c r="E5028" s="534">
        <v>764.2</v>
      </c>
    </row>
    <row r="5029" spans="2:5" x14ac:dyDescent="0.2">
      <c r="B5029" s="533">
        <v>6089</v>
      </c>
      <c r="C5029" s="533" t="s">
        <v>3192</v>
      </c>
      <c r="D5029" s="656" t="s">
        <v>392</v>
      </c>
      <c r="E5029" s="534">
        <v>701.14999399999999</v>
      </c>
    </row>
    <row r="5030" spans="2:5" x14ac:dyDescent="0.2">
      <c r="B5030" s="533">
        <v>6090</v>
      </c>
      <c r="C5030" s="533" t="s">
        <v>2989</v>
      </c>
      <c r="D5030" s="656" t="s">
        <v>392</v>
      </c>
      <c r="E5030" s="534">
        <v>690.62222599999996</v>
      </c>
    </row>
    <row r="5031" spans="2:5" x14ac:dyDescent="0.2">
      <c r="B5031" s="533">
        <v>6091</v>
      </c>
      <c r="C5031" s="533" t="s">
        <v>2158</v>
      </c>
      <c r="D5031" s="656" t="s">
        <v>392</v>
      </c>
      <c r="E5031" s="534">
        <v>651.59999600000003</v>
      </c>
    </row>
    <row r="5032" spans="2:5" x14ac:dyDescent="0.2">
      <c r="B5032" s="533">
        <v>6092</v>
      </c>
      <c r="C5032" s="533" t="s">
        <v>3665</v>
      </c>
      <c r="D5032" s="656" t="s">
        <v>392</v>
      </c>
      <c r="E5032" s="534">
        <v>725.74999500000001</v>
      </c>
    </row>
    <row r="5033" spans="2:5" x14ac:dyDescent="0.2">
      <c r="B5033" s="533">
        <v>6093</v>
      </c>
      <c r="C5033" s="533" t="s">
        <v>3472</v>
      </c>
      <c r="D5033" s="656" t="s">
        <v>392</v>
      </c>
      <c r="E5033" s="534">
        <v>715.03332499999999</v>
      </c>
    </row>
    <row r="5034" spans="2:5" x14ac:dyDescent="0.2">
      <c r="B5034" s="533">
        <v>6094</v>
      </c>
      <c r="C5034" s="533" t="s">
        <v>2718</v>
      </c>
      <c r="D5034" s="656" t="s">
        <v>392</v>
      </c>
      <c r="E5034" s="534">
        <v>677.23750299999995</v>
      </c>
    </row>
    <row r="5035" spans="2:5" x14ac:dyDescent="0.2">
      <c r="B5035" s="533">
        <v>6095</v>
      </c>
      <c r="C5035" s="533" t="s">
        <v>2061</v>
      </c>
      <c r="D5035" s="656" t="s">
        <v>392</v>
      </c>
      <c r="E5035" s="534">
        <v>646.41249800000003</v>
      </c>
    </row>
    <row r="5036" spans="2:5" x14ac:dyDescent="0.2">
      <c r="B5036" s="533">
        <v>6096</v>
      </c>
      <c r="C5036" s="533" t="s">
        <v>1033</v>
      </c>
      <c r="D5036" s="656" t="s">
        <v>392</v>
      </c>
      <c r="E5036" s="534">
        <v>772.84545300000002</v>
      </c>
    </row>
    <row r="5037" spans="2:5" x14ac:dyDescent="0.2">
      <c r="B5037" s="533">
        <v>6097</v>
      </c>
      <c r="C5037" s="533" t="s">
        <v>1785</v>
      </c>
      <c r="D5037" s="656" t="s">
        <v>392</v>
      </c>
      <c r="E5037" s="534">
        <v>635.82000700000003</v>
      </c>
    </row>
    <row r="5038" spans="2:5" x14ac:dyDescent="0.2">
      <c r="B5038" s="533">
        <v>6098</v>
      </c>
      <c r="C5038" s="533" t="s">
        <v>2384</v>
      </c>
      <c r="D5038" s="656" t="s">
        <v>392</v>
      </c>
      <c r="E5038" s="534">
        <v>661.79411800000003</v>
      </c>
    </row>
    <row r="5039" spans="2:5" x14ac:dyDescent="0.2">
      <c r="B5039" s="533">
        <v>6099</v>
      </c>
      <c r="C5039" s="533" t="s">
        <v>1829</v>
      </c>
      <c r="D5039" s="656" t="s">
        <v>392</v>
      </c>
      <c r="E5039" s="534">
        <v>637.26363300000003</v>
      </c>
    </row>
    <row r="5040" spans="2:5" x14ac:dyDescent="0.2">
      <c r="B5040" s="533">
        <v>6100</v>
      </c>
      <c r="C5040" s="533" t="s">
        <v>3535</v>
      </c>
      <c r="D5040" s="656" t="s">
        <v>392</v>
      </c>
      <c r="E5040" s="534">
        <v>718.58333300000004</v>
      </c>
    </row>
    <row r="5041" spans="2:5" x14ac:dyDescent="0.2">
      <c r="B5041" s="533">
        <v>6101</v>
      </c>
      <c r="C5041" s="533" t="s">
        <v>3531</v>
      </c>
      <c r="D5041" s="656" t="s">
        <v>392</v>
      </c>
      <c r="E5041" s="534">
        <v>718.41666699999996</v>
      </c>
    </row>
    <row r="5042" spans="2:5" x14ac:dyDescent="0.2">
      <c r="B5042" s="533">
        <v>6102</v>
      </c>
      <c r="C5042" s="533" t="s">
        <v>4548</v>
      </c>
      <c r="D5042" s="656" t="s">
        <v>392</v>
      </c>
      <c r="E5042" s="534">
        <v>784.48182299999996</v>
      </c>
    </row>
    <row r="5043" spans="2:5" x14ac:dyDescent="0.2">
      <c r="B5043" s="533">
        <v>6103</v>
      </c>
      <c r="C5043" s="533" t="s">
        <v>3787</v>
      </c>
      <c r="D5043" s="656" t="s">
        <v>392</v>
      </c>
      <c r="E5043" s="534">
        <v>732.4</v>
      </c>
    </row>
    <row r="5044" spans="2:5" x14ac:dyDescent="0.2">
      <c r="B5044" s="533">
        <v>6104</v>
      </c>
      <c r="C5044" s="533" t="s">
        <v>4041</v>
      </c>
      <c r="D5044" s="656" t="s">
        <v>392</v>
      </c>
      <c r="E5044" s="534">
        <v>748.14545199999998</v>
      </c>
    </row>
    <row r="5045" spans="2:5" x14ac:dyDescent="0.2">
      <c r="B5045" s="533">
        <v>6105</v>
      </c>
      <c r="C5045" s="533" t="s">
        <v>2858</v>
      </c>
      <c r="D5045" s="656" t="s">
        <v>392</v>
      </c>
      <c r="E5045" s="534">
        <v>684.67500299999995</v>
      </c>
    </row>
    <row r="5046" spans="2:5" x14ac:dyDescent="0.2">
      <c r="B5046" s="533">
        <v>6106</v>
      </c>
      <c r="C5046" s="533" t="s">
        <v>3359</v>
      </c>
      <c r="D5046" s="656" t="s">
        <v>392</v>
      </c>
      <c r="E5046" s="534">
        <v>709.31111299999998</v>
      </c>
    </row>
    <row r="5047" spans="2:5" x14ac:dyDescent="0.2">
      <c r="B5047" s="533">
        <v>6151</v>
      </c>
      <c r="C5047" s="533" t="s">
        <v>3138</v>
      </c>
      <c r="D5047" s="656" t="s">
        <v>396</v>
      </c>
      <c r="E5047" s="534">
        <v>698.64499799999999</v>
      </c>
    </row>
    <row r="5048" spans="2:5" x14ac:dyDescent="0.2">
      <c r="B5048" s="533">
        <v>6152</v>
      </c>
      <c r="C5048" s="533" t="s">
        <v>4547</v>
      </c>
      <c r="D5048" s="656" t="s">
        <v>396</v>
      </c>
      <c r="E5048" s="534">
        <v>784.40476200000001</v>
      </c>
    </row>
    <row r="5049" spans="2:5" x14ac:dyDescent="0.2">
      <c r="B5049" s="533">
        <v>6153</v>
      </c>
      <c r="C5049" s="533" t="s">
        <v>2859</v>
      </c>
      <c r="D5049" s="656" t="s">
        <v>396</v>
      </c>
      <c r="E5049" s="534">
        <v>684.6875</v>
      </c>
    </row>
    <row r="5050" spans="2:5" x14ac:dyDescent="0.2">
      <c r="B5050" s="533">
        <v>6154</v>
      </c>
      <c r="C5050" s="533" t="s">
        <v>2681</v>
      </c>
      <c r="D5050" s="656" t="s">
        <v>396</v>
      </c>
      <c r="E5050" s="534">
        <v>675.45714899999996</v>
      </c>
    </row>
    <row r="5051" spans="2:5" x14ac:dyDescent="0.2">
      <c r="B5051" s="533">
        <v>6155</v>
      </c>
      <c r="C5051" s="533" t="s">
        <v>2438</v>
      </c>
      <c r="D5051" s="656" t="s">
        <v>396</v>
      </c>
      <c r="E5051" s="534">
        <v>704.95713599999999</v>
      </c>
    </row>
    <row r="5052" spans="2:5" x14ac:dyDescent="0.2">
      <c r="B5052" s="533">
        <v>6156</v>
      </c>
      <c r="C5052" s="533" t="s">
        <v>2951</v>
      </c>
      <c r="D5052" s="656" t="s">
        <v>396</v>
      </c>
      <c r="E5052" s="534">
        <v>688.35238200000003</v>
      </c>
    </row>
    <row r="5053" spans="2:5" x14ac:dyDescent="0.2">
      <c r="B5053" s="533">
        <v>6157</v>
      </c>
      <c r="C5053" s="533" t="s">
        <v>2505</v>
      </c>
      <c r="D5053" s="656" t="s">
        <v>396</v>
      </c>
      <c r="E5053" s="534">
        <v>666.52000699999996</v>
      </c>
    </row>
    <row r="5054" spans="2:5" x14ac:dyDescent="0.2">
      <c r="B5054" s="533">
        <v>6158</v>
      </c>
      <c r="C5054" s="533" t="s">
        <v>2467</v>
      </c>
      <c r="D5054" s="656" t="s">
        <v>396</v>
      </c>
      <c r="E5054" s="534">
        <v>709.22352899999998</v>
      </c>
    </row>
    <row r="5055" spans="2:5" x14ac:dyDescent="0.2">
      <c r="B5055" s="533">
        <v>6159</v>
      </c>
      <c r="C5055" s="533" t="s">
        <v>2977</v>
      </c>
      <c r="D5055" s="656" t="s">
        <v>396</v>
      </c>
      <c r="E5055" s="534">
        <v>689.85556399999996</v>
      </c>
    </row>
    <row r="5056" spans="2:5" x14ac:dyDescent="0.2">
      <c r="B5056" s="533">
        <v>6160</v>
      </c>
      <c r="C5056" s="533" t="s">
        <v>3000</v>
      </c>
      <c r="D5056" s="656" t="s">
        <v>396</v>
      </c>
      <c r="E5056" s="534">
        <v>691.21818399999995</v>
      </c>
    </row>
    <row r="5057" spans="2:5" x14ac:dyDescent="0.2">
      <c r="B5057" s="533">
        <v>6161</v>
      </c>
      <c r="C5057" s="533" t="s">
        <v>3210</v>
      </c>
      <c r="D5057" s="656" t="s">
        <v>396</v>
      </c>
      <c r="E5057" s="534">
        <v>702.17778899999996</v>
      </c>
    </row>
    <row r="5058" spans="2:5" x14ac:dyDescent="0.2">
      <c r="B5058" s="533">
        <v>6162</v>
      </c>
      <c r="C5058" s="533" t="s">
        <v>3587</v>
      </c>
      <c r="D5058" s="656" t="s">
        <v>396</v>
      </c>
      <c r="E5058" s="534">
        <v>721.02941499999997</v>
      </c>
    </row>
    <row r="5059" spans="2:5" x14ac:dyDescent="0.2">
      <c r="B5059" s="533">
        <v>6163</v>
      </c>
      <c r="C5059" s="533" t="s">
        <v>3690</v>
      </c>
      <c r="D5059" s="656" t="s">
        <v>396</v>
      </c>
      <c r="E5059" s="534">
        <v>727.10001199999999</v>
      </c>
    </row>
    <row r="5060" spans="2:5" x14ac:dyDescent="0.2">
      <c r="B5060" s="533">
        <v>6164</v>
      </c>
      <c r="C5060" s="533" t="s">
        <v>3475</v>
      </c>
      <c r="D5060" s="656" t="s">
        <v>396</v>
      </c>
      <c r="E5060" s="534">
        <v>715.22500600000001</v>
      </c>
    </row>
    <row r="5061" spans="2:5" x14ac:dyDescent="0.2">
      <c r="B5061" s="533">
        <v>6165</v>
      </c>
      <c r="C5061" s="533" t="s">
        <v>4561</v>
      </c>
      <c r="D5061" s="656" t="s">
        <v>396</v>
      </c>
      <c r="E5061" s="534">
        <v>785.90999799999997</v>
      </c>
    </row>
    <row r="5062" spans="2:5" x14ac:dyDescent="0.2">
      <c r="B5062" s="533">
        <v>6166</v>
      </c>
      <c r="C5062" s="533" t="s">
        <v>4128</v>
      </c>
      <c r="D5062" s="656" t="s">
        <v>396</v>
      </c>
      <c r="E5062" s="534">
        <v>753.18667000000005</v>
      </c>
    </row>
    <row r="5063" spans="2:5" x14ac:dyDescent="0.2">
      <c r="B5063" s="533">
        <v>6167</v>
      </c>
      <c r="C5063" s="533" t="s">
        <v>4197</v>
      </c>
      <c r="D5063" s="656" t="s">
        <v>396</v>
      </c>
      <c r="E5063" s="534">
        <v>757.98999600000002</v>
      </c>
    </row>
    <row r="5064" spans="2:5" x14ac:dyDescent="0.2">
      <c r="B5064" s="533">
        <v>6168</v>
      </c>
      <c r="C5064" s="533" t="s">
        <v>4916</v>
      </c>
      <c r="D5064" s="656" t="s">
        <v>396</v>
      </c>
      <c r="E5064" s="534">
        <v>814.6</v>
      </c>
    </row>
    <row r="5065" spans="2:5" x14ac:dyDescent="0.2">
      <c r="B5065" s="533">
        <v>6169</v>
      </c>
      <c r="C5065" s="533" t="s">
        <v>2375</v>
      </c>
      <c r="D5065" s="656" t="s">
        <v>396</v>
      </c>
      <c r="E5065" s="534">
        <v>751.79999799999996</v>
      </c>
    </row>
    <row r="5066" spans="2:5" x14ac:dyDescent="0.2">
      <c r="B5066" s="533">
        <v>6170</v>
      </c>
      <c r="C5066" s="533" t="s">
        <v>1562</v>
      </c>
      <c r="D5066" s="656" t="s">
        <v>396</v>
      </c>
      <c r="E5066" s="534">
        <v>739.98751100000004</v>
      </c>
    </row>
    <row r="5067" spans="2:5" x14ac:dyDescent="0.2">
      <c r="B5067" s="533">
        <v>6171</v>
      </c>
      <c r="C5067" s="533" t="s">
        <v>3226</v>
      </c>
      <c r="D5067" s="656" t="s">
        <v>396</v>
      </c>
      <c r="E5067" s="534">
        <v>702.733341</v>
      </c>
    </row>
    <row r="5068" spans="2:5" x14ac:dyDescent="0.2">
      <c r="B5068" s="533">
        <v>6172</v>
      </c>
      <c r="C5068" s="533" t="s">
        <v>6987</v>
      </c>
      <c r="D5068" s="656" t="s">
        <v>396</v>
      </c>
      <c r="E5068" s="534">
        <v>706.82631600000002</v>
      </c>
    </row>
    <row r="5069" spans="2:5" x14ac:dyDescent="0.2">
      <c r="B5069" s="533">
        <v>6173</v>
      </c>
      <c r="C5069" s="533" t="s">
        <v>2516</v>
      </c>
      <c r="D5069" s="656" t="s">
        <v>396</v>
      </c>
      <c r="E5069" s="534">
        <v>667.43332899999996</v>
      </c>
    </row>
    <row r="5070" spans="2:5" x14ac:dyDescent="0.2">
      <c r="B5070" s="533">
        <v>6174</v>
      </c>
      <c r="C5070" s="533" t="s">
        <v>3334</v>
      </c>
      <c r="D5070" s="656" t="s">
        <v>396</v>
      </c>
      <c r="E5070" s="534">
        <v>707.85000600000001</v>
      </c>
    </row>
    <row r="5071" spans="2:5" x14ac:dyDescent="0.2">
      <c r="B5071" s="533">
        <v>6175</v>
      </c>
      <c r="C5071" s="533" t="s">
        <v>3325</v>
      </c>
      <c r="D5071" s="656" t="s">
        <v>396</v>
      </c>
      <c r="E5071" s="534">
        <v>707.56001000000003</v>
      </c>
    </row>
    <row r="5072" spans="2:5" x14ac:dyDescent="0.2">
      <c r="B5072" s="533">
        <v>6176</v>
      </c>
      <c r="C5072" s="533" t="s">
        <v>3258</v>
      </c>
      <c r="D5072" s="656" t="s">
        <v>396</v>
      </c>
      <c r="E5072" s="534">
        <v>703.79375100000004</v>
      </c>
    </row>
    <row r="5073" spans="2:5" x14ac:dyDescent="0.2">
      <c r="B5073" s="533">
        <v>6177</v>
      </c>
      <c r="C5073" s="533" t="s">
        <v>3547</v>
      </c>
      <c r="D5073" s="656" t="s">
        <v>396</v>
      </c>
      <c r="E5073" s="534">
        <v>718.96666700000003</v>
      </c>
    </row>
    <row r="5074" spans="2:5" x14ac:dyDescent="0.2">
      <c r="B5074" s="533">
        <v>6178</v>
      </c>
      <c r="C5074" s="533" t="s">
        <v>3912</v>
      </c>
      <c r="D5074" s="656" t="s">
        <v>396</v>
      </c>
      <c r="E5074" s="534">
        <v>740.09599600000001</v>
      </c>
    </row>
    <row r="5075" spans="2:5" x14ac:dyDescent="0.2">
      <c r="B5075" s="533">
        <v>6179</v>
      </c>
      <c r="C5075" s="533" t="s">
        <v>4362</v>
      </c>
      <c r="D5075" s="656" t="s">
        <v>396</v>
      </c>
      <c r="E5075" s="534">
        <v>769.90999799999997</v>
      </c>
    </row>
    <row r="5076" spans="2:5" x14ac:dyDescent="0.2">
      <c r="B5076" s="533">
        <v>6180</v>
      </c>
      <c r="C5076" s="533" t="s">
        <v>2914</v>
      </c>
      <c r="D5076" s="656" t="s">
        <v>396</v>
      </c>
      <c r="E5076" s="534">
        <v>686.87142700000004</v>
      </c>
    </row>
    <row r="5077" spans="2:5" x14ac:dyDescent="0.2">
      <c r="B5077" s="533">
        <v>6181</v>
      </c>
      <c r="C5077" s="533" t="s">
        <v>2293</v>
      </c>
      <c r="D5077" s="656" t="s">
        <v>396</v>
      </c>
      <c r="E5077" s="534">
        <v>720.278953</v>
      </c>
    </row>
    <row r="5078" spans="2:5" x14ac:dyDescent="0.2">
      <c r="B5078" s="533">
        <v>6182</v>
      </c>
      <c r="C5078" s="533" t="s">
        <v>7037</v>
      </c>
      <c r="D5078" s="656" t="s">
        <v>396</v>
      </c>
      <c r="E5078" s="534">
        <v>682.240002</v>
      </c>
    </row>
    <row r="5079" spans="2:5" x14ac:dyDescent="0.2">
      <c r="B5079" s="533">
        <v>6183</v>
      </c>
      <c r="C5079" s="533" t="s">
        <v>3634</v>
      </c>
      <c r="D5079" s="656" t="s">
        <v>396</v>
      </c>
      <c r="E5079" s="534">
        <v>724.15455199999997</v>
      </c>
    </row>
    <row r="5080" spans="2:5" x14ac:dyDescent="0.2">
      <c r="B5080" s="533">
        <v>6184</v>
      </c>
      <c r="C5080" s="533" t="s">
        <v>6521</v>
      </c>
      <c r="D5080" s="656" t="s">
        <v>396</v>
      </c>
      <c r="E5080" s="534">
        <v>709.11364200000003</v>
      </c>
    </row>
    <row r="5081" spans="2:5" x14ac:dyDescent="0.2">
      <c r="B5081" s="533">
        <v>6185</v>
      </c>
      <c r="C5081" s="533" t="s">
        <v>3771</v>
      </c>
      <c r="D5081" s="656" t="s">
        <v>396</v>
      </c>
      <c r="E5081" s="534">
        <v>731.69412399999999</v>
      </c>
    </row>
    <row r="5082" spans="2:5" x14ac:dyDescent="0.2">
      <c r="B5082" s="533">
        <v>6186</v>
      </c>
      <c r="C5082" s="533" t="s">
        <v>2717</v>
      </c>
      <c r="D5082" s="656" t="s">
        <v>396</v>
      </c>
      <c r="E5082" s="534">
        <v>677.17776800000001</v>
      </c>
    </row>
    <row r="5083" spans="2:5" x14ac:dyDescent="0.2">
      <c r="B5083" s="533">
        <v>6187</v>
      </c>
      <c r="C5083" s="533" t="s">
        <v>3622</v>
      </c>
      <c r="D5083" s="656" t="s">
        <v>396</v>
      </c>
      <c r="E5083" s="534">
        <v>723.62778000000003</v>
      </c>
    </row>
    <row r="5084" spans="2:5" x14ac:dyDescent="0.2">
      <c r="B5084" s="533">
        <v>6188</v>
      </c>
      <c r="C5084" s="533" t="s">
        <v>3068</v>
      </c>
      <c r="D5084" s="656" t="s">
        <v>396</v>
      </c>
      <c r="E5084" s="534">
        <v>694.92000700000006</v>
      </c>
    </row>
    <row r="5085" spans="2:5" x14ac:dyDescent="0.2">
      <c r="B5085" s="533">
        <v>6189</v>
      </c>
      <c r="C5085" s="533" t="s">
        <v>3445</v>
      </c>
      <c r="D5085" s="656" t="s">
        <v>396</v>
      </c>
      <c r="E5085" s="534">
        <v>713.45332800000006</v>
      </c>
    </row>
    <row r="5086" spans="2:5" x14ac:dyDescent="0.2">
      <c r="B5086" s="533">
        <v>6190</v>
      </c>
      <c r="C5086" s="533" t="s">
        <v>775</v>
      </c>
      <c r="D5086" s="656" t="s">
        <v>396</v>
      </c>
      <c r="E5086" s="534">
        <v>682.38749700000005</v>
      </c>
    </row>
    <row r="5087" spans="2:5" x14ac:dyDescent="0.2">
      <c r="B5087" s="533">
        <v>6191</v>
      </c>
      <c r="C5087" s="533" t="s">
        <v>7509</v>
      </c>
      <c r="D5087" s="656" t="s">
        <v>396</v>
      </c>
      <c r="E5087" s="534">
        <v>731.96153800000002</v>
      </c>
    </row>
    <row r="5088" spans="2:5" x14ac:dyDescent="0.2">
      <c r="B5088" s="533">
        <v>6192</v>
      </c>
      <c r="C5088" s="533" t="s">
        <v>3205</v>
      </c>
      <c r="D5088" s="656" t="s">
        <v>396</v>
      </c>
      <c r="E5088" s="534">
        <v>701.82500200000004</v>
      </c>
    </row>
    <row r="5089" spans="2:5" x14ac:dyDescent="0.2">
      <c r="B5089" s="533">
        <v>6193</v>
      </c>
      <c r="C5089" s="533" t="s">
        <v>3766</v>
      </c>
      <c r="D5089" s="656" t="s">
        <v>396</v>
      </c>
      <c r="E5089" s="534">
        <v>731.55238299999996</v>
      </c>
    </row>
    <row r="5090" spans="2:5" x14ac:dyDescent="0.2">
      <c r="B5090" s="533">
        <v>6194</v>
      </c>
      <c r="C5090" s="533" t="s">
        <v>3645</v>
      </c>
      <c r="D5090" s="656" t="s">
        <v>396</v>
      </c>
      <c r="E5090" s="534">
        <v>724.46154300000001</v>
      </c>
    </row>
    <row r="5091" spans="2:5" x14ac:dyDescent="0.2">
      <c r="B5091" s="533">
        <v>6195</v>
      </c>
      <c r="C5091" s="533" t="s">
        <v>3730</v>
      </c>
      <c r="D5091" s="656" t="s">
        <v>396</v>
      </c>
      <c r="E5091" s="534">
        <v>770.77307399999995</v>
      </c>
    </row>
    <row r="5092" spans="2:5" x14ac:dyDescent="0.2">
      <c r="B5092" s="533">
        <v>6196</v>
      </c>
      <c r="C5092" s="533" t="s">
        <v>2634</v>
      </c>
      <c r="D5092" s="656" t="s">
        <v>396</v>
      </c>
      <c r="E5092" s="534">
        <v>673.51874499999997</v>
      </c>
    </row>
    <row r="5093" spans="2:5" x14ac:dyDescent="0.2">
      <c r="B5093" s="533">
        <v>6197</v>
      </c>
      <c r="C5093" s="533" t="s">
        <v>6892</v>
      </c>
      <c r="D5093" s="656" t="s">
        <v>396</v>
      </c>
      <c r="E5093" s="534">
        <v>684.741669</v>
      </c>
    </row>
    <row r="5094" spans="2:5" x14ac:dyDescent="0.2">
      <c r="B5094" s="533">
        <v>6198</v>
      </c>
      <c r="C5094" s="533" t="s">
        <v>2206</v>
      </c>
      <c r="D5094" s="656" t="s">
        <v>396</v>
      </c>
      <c r="E5094" s="534">
        <v>653.59999100000005</v>
      </c>
    </row>
    <row r="5095" spans="2:5" x14ac:dyDescent="0.2">
      <c r="B5095" s="533">
        <v>6199</v>
      </c>
      <c r="C5095" s="533" t="s">
        <v>2207</v>
      </c>
      <c r="D5095" s="656" t="s">
        <v>396</v>
      </c>
      <c r="E5095" s="534">
        <v>653.67999299999997</v>
      </c>
    </row>
    <row r="5096" spans="2:5" x14ac:dyDescent="0.2">
      <c r="B5096" s="533">
        <v>6200</v>
      </c>
      <c r="C5096" s="533" t="s">
        <v>2472</v>
      </c>
      <c r="D5096" s="656" t="s">
        <v>396</v>
      </c>
      <c r="E5096" s="534">
        <v>665.069569</v>
      </c>
    </row>
    <row r="5097" spans="2:5" x14ac:dyDescent="0.2">
      <c r="B5097" s="533">
        <v>6201</v>
      </c>
      <c r="C5097" s="533" t="s">
        <v>3802</v>
      </c>
      <c r="D5097" s="656" t="s">
        <v>396</v>
      </c>
      <c r="E5097" s="534">
        <v>733.44999700000005</v>
      </c>
    </row>
    <row r="5098" spans="2:5" x14ac:dyDescent="0.2">
      <c r="B5098" s="533">
        <v>6202</v>
      </c>
      <c r="C5098" s="533" t="s">
        <v>4330</v>
      </c>
      <c r="D5098" s="656" t="s">
        <v>396</v>
      </c>
      <c r="E5098" s="534">
        <v>767.37222299999996</v>
      </c>
    </row>
    <row r="5099" spans="2:5" x14ac:dyDescent="0.2">
      <c r="B5099" s="533">
        <v>6203</v>
      </c>
      <c r="C5099" s="533" t="s">
        <v>4234</v>
      </c>
      <c r="D5099" s="656" t="s">
        <v>396</v>
      </c>
      <c r="E5099" s="534">
        <v>760.49047900000005</v>
      </c>
    </row>
    <row r="5100" spans="2:5" x14ac:dyDescent="0.2">
      <c r="B5100" s="533">
        <v>6204</v>
      </c>
      <c r="C5100" s="533" t="s">
        <v>3549</v>
      </c>
      <c r="D5100" s="656" t="s">
        <v>396</v>
      </c>
      <c r="E5100" s="534">
        <v>719.01665800000001</v>
      </c>
    </row>
    <row r="5101" spans="2:5" x14ac:dyDescent="0.2">
      <c r="B5101" s="533">
        <v>6205</v>
      </c>
      <c r="C5101" s="533" t="s">
        <v>4145</v>
      </c>
      <c r="D5101" s="656" t="s">
        <v>396</v>
      </c>
      <c r="E5101" s="534">
        <v>754.08181500000001</v>
      </c>
    </row>
    <row r="5102" spans="2:5" x14ac:dyDescent="0.2">
      <c r="B5102" s="533">
        <v>6206</v>
      </c>
      <c r="C5102" s="533" t="s">
        <v>3035</v>
      </c>
      <c r="D5102" s="656" t="s">
        <v>396</v>
      </c>
      <c r="E5102" s="534">
        <v>731.64374499999997</v>
      </c>
    </row>
    <row r="5103" spans="2:5" x14ac:dyDescent="0.2">
      <c r="B5103" s="533">
        <v>6207</v>
      </c>
      <c r="C5103" s="533" t="s">
        <v>3515</v>
      </c>
      <c r="D5103" s="656" t="s">
        <v>396</v>
      </c>
      <c r="E5103" s="534">
        <v>717.59997599999997</v>
      </c>
    </row>
    <row r="5104" spans="2:5" x14ac:dyDescent="0.2">
      <c r="B5104" s="533">
        <v>6208</v>
      </c>
      <c r="C5104" s="533" t="s">
        <v>2921</v>
      </c>
      <c r="D5104" s="656" t="s">
        <v>396</v>
      </c>
      <c r="E5104" s="534">
        <v>715.91428900000005</v>
      </c>
    </row>
    <row r="5105" spans="2:5" x14ac:dyDescent="0.2">
      <c r="B5105" s="533">
        <v>6209</v>
      </c>
      <c r="C5105" s="533" t="s">
        <v>3731</v>
      </c>
      <c r="D5105" s="656" t="s">
        <v>396</v>
      </c>
      <c r="E5105" s="534">
        <v>729.16428499999995</v>
      </c>
    </row>
    <row r="5106" spans="2:5" x14ac:dyDescent="0.2">
      <c r="B5106" s="533">
        <v>6210</v>
      </c>
      <c r="C5106" s="533" t="s">
        <v>4083</v>
      </c>
      <c r="D5106" s="656" t="s">
        <v>396</v>
      </c>
      <c r="E5106" s="534">
        <v>750.55001800000002</v>
      </c>
    </row>
    <row r="5107" spans="2:5" x14ac:dyDescent="0.2">
      <c r="B5107" s="533">
        <v>6211</v>
      </c>
      <c r="C5107" s="533" t="s">
        <v>3438</v>
      </c>
      <c r="D5107" s="656" t="s">
        <v>396</v>
      </c>
      <c r="E5107" s="534">
        <v>713.16666699999996</v>
      </c>
    </row>
    <row r="5108" spans="2:5" x14ac:dyDescent="0.2">
      <c r="B5108" s="533">
        <v>6212</v>
      </c>
      <c r="C5108" s="533" t="s">
        <v>4132</v>
      </c>
      <c r="D5108" s="656" t="s">
        <v>396</v>
      </c>
      <c r="E5108" s="534">
        <v>753.57692299999997</v>
      </c>
    </row>
    <row r="5109" spans="2:5" x14ac:dyDescent="0.2">
      <c r="B5109" s="533">
        <v>6213</v>
      </c>
      <c r="C5109" s="533" t="s">
        <v>3785</v>
      </c>
      <c r="D5109" s="656" t="s">
        <v>396</v>
      </c>
      <c r="E5109" s="534">
        <v>732.25</v>
      </c>
    </row>
    <row r="5110" spans="2:5" x14ac:dyDescent="0.2">
      <c r="B5110" s="533">
        <v>6214</v>
      </c>
      <c r="C5110" s="533" t="s">
        <v>3066</v>
      </c>
      <c r="D5110" s="656" t="s">
        <v>396</v>
      </c>
      <c r="E5110" s="534">
        <v>694.75453900000002</v>
      </c>
    </row>
    <row r="5111" spans="2:5" x14ac:dyDescent="0.2">
      <c r="B5111" s="533">
        <v>6215</v>
      </c>
      <c r="C5111" s="533" t="s">
        <v>2489</v>
      </c>
      <c r="D5111" s="656" t="s">
        <v>396</v>
      </c>
      <c r="E5111" s="534">
        <v>672</v>
      </c>
    </row>
    <row r="5112" spans="2:5" x14ac:dyDescent="0.2">
      <c r="B5112" s="533">
        <v>6216</v>
      </c>
      <c r="C5112" s="533" t="s">
        <v>2612</v>
      </c>
      <c r="D5112" s="656" t="s">
        <v>396</v>
      </c>
      <c r="E5112" s="534">
        <v>672.258825</v>
      </c>
    </row>
    <row r="5113" spans="2:5" x14ac:dyDescent="0.2">
      <c r="B5113" s="533">
        <v>6217</v>
      </c>
      <c r="C5113" s="533" t="s">
        <v>2873</v>
      </c>
      <c r="D5113" s="656" t="s">
        <v>396</v>
      </c>
      <c r="E5113" s="534">
        <v>685.38929099999996</v>
      </c>
    </row>
    <row r="5114" spans="2:5" x14ac:dyDescent="0.2">
      <c r="B5114" s="533">
        <v>6251</v>
      </c>
      <c r="C5114" s="533" t="s">
        <v>5667</v>
      </c>
      <c r="D5114" s="656" t="s">
        <v>388</v>
      </c>
      <c r="E5114" s="534">
        <v>932.41250200000002</v>
      </c>
    </row>
    <row r="5115" spans="2:5" x14ac:dyDescent="0.2">
      <c r="B5115" s="533">
        <v>6252</v>
      </c>
      <c r="C5115" s="533" t="s">
        <v>5497</v>
      </c>
      <c r="D5115" s="656" t="s">
        <v>388</v>
      </c>
      <c r="E5115" s="534">
        <v>896.48332400000004</v>
      </c>
    </row>
    <row r="5116" spans="2:5" x14ac:dyDescent="0.2">
      <c r="B5116" s="533">
        <v>6253</v>
      </c>
      <c r="C5116" s="533" t="s">
        <v>3178</v>
      </c>
      <c r="D5116" s="656" t="s">
        <v>388</v>
      </c>
      <c r="E5116" s="534">
        <v>752.69998199999998</v>
      </c>
    </row>
    <row r="5117" spans="2:5" x14ac:dyDescent="0.2">
      <c r="B5117" s="533">
        <v>6254</v>
      </c>
      <c r="C5117" s="533" t="s">
        <v>4824</v>
      </c>
      <c r="D5117" s="656" t="s">
        <v>388</v>
      </c>
      <c r="E5117" s="534">
        <v>806.357891</v>
      </c>
    </row>
    <row r="5118" spans="2:5" x14ac:dyDescent="0.2">
      <c r="B5118" s="533">
        <v>6255</v>
      </c>
      <c r="C5118" s="533" t="s">
        <v>5520</v>
      </c>
      <c r="D5118" s="656" t="s">
        <v>388</v>
      </c>
      <c r="E5118" s="534">
        <v>900.95714499999997</v>
      </c>
    </row>
    <row r="5119" spans="2:5" x14ac:dyDescent="0.2">
      <c r="B5119" s="533">
        <v>6256</v>
      </c>
      <c r="C5119" s="533" t="s">
        <v>2462</v>
      </c>
      <c r="D5119" s="656" t="s">
        <v>388</v>
      </c>
      <c r="E5119" s="534">
        <v>828.32500000000005</v>
      </c>
    </row>
    <row r="5120" spans="2:5" x14ac:dyDescent="0.2">
      <c r="B5120" s="533">
        <v>6257</v>
      </c>
      <c r="C5120" s="533" t="s">
        <v>5478</v>
      </c>
      <c r="D5120" s="656" t="s">
        <v>388</v>
      </c>
      <c r="E5120" s="534">
        <v>893.96499900000003</v>
      </c>
    </row>
    <row r="5121" spans="2:5" x14ac:dyDescent="0.2">
      <c r="B5121" s="533">
        <v>6258</v>
      </c>
      <c r="C5121" s="533" t="s">
        <v>5260</v>
      </c>
      <c r="D5121" s="656" t="s">
        <v>388</v>
      </c>
      <c r="E5121" s="534">
        <v>856.764996</v>
      </c>
    </row>
    <row r="5122" spans="2:5" x14ac:dyDescent="0.2">
      <c r="B5122" s="533">
        <v>6259</v>
      </c>
      <c r="C5122" s="533" t="s">
        <v>4844</v>
      </c>
      <c r="D5122" s="656" t="s">
        <v>388</v>
      </c>
      <c r="E5122" s="534">
        <v>807.57999299999994</v>
      </c>
    </row>
    <row r="5123" spans="2:5" x14ac:dyDescent="0.2">
      <c r="B5123" s="533">
        <v>6260</v>
      </c>
      <c r="C5123" s="533" t="s">
        <v>4226</v>
      </c>
      <c r="D5123" s="656" t="s">
        <v>388</v>
      </c>
      <c r="E5123" s="534">
        <v>760.17498799999998</v>
      </c>
    </row>
    <row r="5124" spans="2:5" x14ac:dyDescent="0.2">
      <c r="B5124" s="533">
        <v>6261</v>
      </c>
      <c r="C5124" s="533" t="s">
        <v>4639</v>
      </c>
      <c r="D5124" s="656" t="s">
        <v>388</v>
      </c>
      <c r="E5124" s="534">
        <v>792.363159</v>
      </c>
    </row>
    <row r="5125" spans="2:5" x14ac:dyDescent="0.2">
      <c r="B5125" s="533">
        <v>6262</v>
      </c>
      <c r="C5125" s="533" t="s">
        <v>4464</v>
      </c>
      <c r="D5125" s="656" t="s">
        <v>388</v>
      </c>
      <c r="E5125" s="534">
        <v>778.22857699999997</v>
      </c>
    </row>
    <row r="5126" spans="2:5" x14ac:dyDescent="0.2">
      <c r="B5126" s="533">
        <v>6263</v>
      </c>
      <c r="C5126" s="533" t="s">
        <v>4124</v>
      </c>
      <c r="D5126" s="656" t="s">
        <v>388</v>
      </c>
      <c r="E5126" s="534">
        <v>752.82273199999997</v>
      </c>
    </row>
    <row r="5127" spans="2:5" x14ac:dyDescent="0.2">
      <c r="B5127" s="533">
        <v>6264</v>
      </c>
      <c r="C5127" s="533" t="s">
        <v>2144</v>
      </c>
      <c r="D5127" s="656" t="s">
        <v>388</v>
      </c>
      <c r="E5127" s="534">
        <v>803.29375100000004</v>
      </c>
    </row>
    <row r="5128" spans="2:5" x14ac:dyDescent="0.2">
      <c r="B5128" s="533">
        <v>6265</v>
      </c>
      <c r="C5128" s="533" t="s">
        <v>4757</v>
      </c>
      <c r="D5128" s="656" t="s">
        <v>388</v>
      </c>
      <c r="E5128" s="534">
        <v>801.49231399999996</v>
      </c>
    </row>
    <row r="5129" spans="2:5" x14ac:dyDescent="0.2">
      <c r="B5129" s="533">
        <v>6266</v>
      </c>
      <c r="C5129" s="533" t="s">
        <v>3538</v>
      </c>
      <c r="D5129" s="656" t="s">
        <v>388</v>
      </c>
      <c r="E5129" s="534">
        <v>718.69999900000005</v>
      </c>
    </row>
    <row r="5130" spans="2:5" x14ac:dyDescent="0.2">
      <c r="B5130" s="533">
        <v>6267</v>
      </c>
      <c r="C5130" s="533" t="s">
        <v>7314</v>
      </c>
      <c r="D5130" s="656" t="s">
        <v>388</v>
      </c>
      <c r="E5130" s="534">
        <v>703.35999800000002</v>
      </c>
    </row>
    <row r="5131" spans="2:5" x14ac:dyDescent="0.2">
      <c r="B5131" s="533">
        <v>6268</v>
      </c>
      <c r="C5131" s="533" t="s">
        <v>3505</v>
      </c>
      <c r="D5131" s="656" t="s">
        <v>388</v>
      </c>
      <c r="E5131" s="534">
        <v>717.10587799999996</v>
      </c>
    </row>
    <row r="5132" spans="2:5" x14ac:dyDescent="0.2">
      <c r="B5132" s="533">
        <v>6269</v>
      </c>
      <c r="C5132" s="533" t="s">
        <v>3709</v>
      </c>
      <c r="D5132" s="656" t="s">
        <v>388</v>
      </c>
      <c r="E5132" s="534">
        <v>728.26841999999999</v>
      </c>
    </row>
    <row r="5133" spans="2:5" x14ac:dyDescent="0.2">
      <c r="B5133" s="533">
        <v>6270</v>
      </c>
      <c r="C5133" s="533" t="s">
        <v>3765</v>
      </c>
      <c r="D5133" s="656" t="s">
        <v>388</v>
      </c>
      <c r="E5133" s="534">
        <v>731.35000600000001</v>
      </c>
    </row>
    <row r="5134" spans="2:5" x14ac:dyDescent="0.2">
      <c r="B5134" s="533">
        <v>6271</v>
      </c>
      <c r="C5134" s="533" t="s">
        <v>4165</v>
      </c>
      <c r="D5134" s="656" t="s">
        <v>388</v>
      </c>
      <c r="E5134" s="534">
        <v>755.62105199999996</v>
      </c>
    </row>
    <row r="5135" spans="2:5" x14ac:dyDescent="0.2">
      <c r="B5135" s="533">
        <v>6272</v>
      </c>
      <c r="C5135" s="533" t="s">
        <v>4403</v>
      </c>
      <c r="D5135" s="656" t="s">
        <v>388</v>
      </c>
      <c r="E5135" s="534">
        <v>773.77083100000004</v>
      </c>
    </row>
    <row r="5136" spans="2:5" x14ac:dyDescent="0.2">
      <c r="B5136" s="533">
        <v>6273</v>
      </c>
      <c r="C5136" s="533" t="s">
        <v>7463</v>
      </c>
      <c r="D5136" s="656" t="s">
        <v>388</v>
      </c>
      <c r="E5136" s="534">
        <v>811.635716</v>
      </c>
    </row>
    <row r="5137" spans="2:5" x14ac:dyDescent="0.2">
      <c r="B5137" s="533">
        <v>6274</v>
      </c>
      <c r="C5137" s="533" t="s">
        <v>4513</v>
      </c>
      <c r="D5137" s="656" t="s">
        <v>388</v>
      </c>
      <c r="E5137" s="534">
        <v>781.05000299999995</v>
      </c>
    </row>
    <row r="5138" spans="2:5" x14ac:dyDescent="0.2">
      <c r="B5138" s="533">
        <v>6275</v>
      </c>
      <c r="C5138" s="533" t="s">
        <v>7075</v>
      </c>
      <c r="D5138" s="656" t="s">
        <v>388</v>
      </c>
      <c r="E5138" s="534">
        <v>781.19999199999995</v>
      </c>
    </row>
    <row r="5139" spans="2:5" x14ac:dyDescent="0.2">
      <c r="B5139" s="533">
        <v>6276</v>
      </c>
      <c r="C5139" s="533" t="s">
        <v>4553</v>
      </c>
      <c r="D5139" s="656" t="s">
        <v>388</v>
      </c>
      <c r="E5139" s="534">
        <v>785.02499399999999</v>
      </c>
    </row>
    <row r="5140" spans="2:5" x14ac:dyDescent="0.2">
      <c r="B5140" s="533">
        <v>6301</v>
      </c>
      <c r="C5140" s="533" t="s">
        <v>6761</v>
      </c>
      <c r="D5140" s="656" t="s">
        <v>388</v>
      </c>
      <c r="E5140" s="534">
        <v>966.03158399999995</v>
      </c>
    </row>
    <row r="5141" spans="2:5" x14ac:dyDescent="0.2">
      <c r="B5141" s="533">
        <v>6302</v>
      </c>
      <c r="C5141" s="533" t="s">
        <v>5821</v>
      </c>
      <c r="D5141" s="656" t="s">
        <v>388</v>
      </c>
      <c r="E5141" s="534">
        <v>975.581818</v>
      </c>
    </row>
    <row r="5142" spans="2:5" x14ac:dyDescent="0.2">
      <c r="B5142" s="533">
        <v>6303</v>
      </c>
      <c r="C5142" s="533" t="s">
        <v>2881</v>
      </c>
      <c r="D5142" s="656" t="s">
        <v>388</v>
      </c>
      <c r="E5142" s="534">
        <v>926.48421099999996</v>
      </c>
    </row>
    <row r="5143" spans="2:5" x14ac:dyDescent="0.2">
      <c r="B5143" s="533">
        <v>6304</v>
      </c>
      <c r="C5143" s="533" t="s">
        <v>5565</v>
      </c>
      <c r="D5143" s="656" t="s">
        <v>388</v>
      </c>
      <c r="E5143" s="534">
        <v>907.37727199999995</v>
      </c>
    </row>
    <row r="5144" spans="2:5" x14ac:dyDescent="0.2">
      <c r="B5144" s="533">
        <v>6305</v>
      </c>
      <c r="C5144" s="533" t="s">
        <v>362</v>
      </c>
      <c r="D5144" s="656" t="s">
        <v>388</v>
      </c>
      <c r="E5144" s="534">
        <v>852.77272700000003</v>
      </c>
    </row>
    <row r="5145" spans="2:5" x14ac:dyDescent="0.2">
      <c r="B5145" s="533">
        <v>6306</v>
      </c>
      <c r="C5145" s="533" t="s">
        <v>5427</v>
      </c>
      <c r="D5145" s="656" t="s">
        <v>388</v>
      </c>
      <c r="E5145" s="534">
        <v>885.06428700000004</v>
      </c>
    </row>
    <row r="5146" spans="2:5" x14ac:dyDescent="0.2">
      <c r="B5146" s="533">
        <v>6307</v>
      </c>
      <c r="C5146" s="533" t="s">
        <v>5233</v>
      </c>
      <c r="D5146" s="656" t="s">
        <v>388</v>
      </c>
      <c r="E5146" s="534">
        <v>852.88888899999995</v>
      </c>
    </row>
    <row r="5147" spans="2:5" x14ac:dyDescent="0.2">
      <c r="B5147" s="533">
        <v>6308</v>
      </c>
      <c r="C5147" s="533" t="s">
        <v>5321</v>
      </c>
      <c r="D5147" s="656" t="s">
        <v>388</v>
      </c>
      <c r="E5147" s="534">
        <v>867.63332800000001</v>
      </c>
    </row>
    <row r="5148" spans="2:5" x14ac:dyDescent="0.2">
      <c r="B5148" s="533">
        <v>6309</v>
      </c>
      <c r="C5148" s="533" t="s">
        <v>5488</v>
      </c>
      <c r="D5148" s="656" t="s">
        <v>388</v>
      </c>
      <c r="E5148" s="534">
        <v>895.31110999999999</v>
      </c>
    </row>
    <row r="5149" spans="2:5" x14ac:dyDescent="0.2">
      <c r="B5149" s="533">
        <v>6310</v>
      </c>
      <c r="C5149" s="533" t="s">
        <v>7335</v>
      </c>
      <c r="D5149" s="656" t="s">
        <v>388</v>
      </c>
      <c r="E5149" s="534">
        <v>928.11999900000001</v>
      </c>
    </row>
    <row r="5150" spans="2:5" x14ac:dyDescent="0.2">
      <c r="B5150" s="533">
        <v>6311</v>
      </c>
      <c r="C5150" s="533" t="s">
        <v>5687</v>
      </c>
      <c r="D5150" s="656" t="s">
        <v>388</v>
      </c>
      <c r="E5150" s="534">
        <v>937.73637299999996</v>
      </c>
    </row>
    <row r="5151" spans="2:5" x14ac:dyDescent="0.2">
      <c r="B5151" s="533">
        <v>6312</v>
      </c>
      <c r="C5151" s="533" t="s">
        <v>5668</v>
      </c>
      <c r="D5151" s="656" t="s">
        <v>388</v>
      </c>
      <c r="E5151" s="534">
        <v>932.53332499999999</v>
      </c>
    </row>
    <row r="5152" spans="2:5" x14ac:dyDescent="0.2">
      <c r="B5152" s="533">
        <v>6313</v>
      </c>
      <c r="C5152" s="533" t="s">
        <v>7336</v>
      </c>
      <c r="D5152" s="656" t="s">
        <v>388</v>
      </c>
      <c r="E5152" s="534">
        <v>891.29999899999996</v>
      </c>
    </row>
    <row r="5153" spans="2:5" x14ac:dyDescent="0.2">
      <c r="B5153" s="533">
        <v>6314</v>
      </c>
      <c r="C5153" s="533" t="s">
        <v>5352</v>
      </c>
      <c r="D5153" s="656" t="s">
        <v>388</v>
      </c>
      <c r="E5153" s="534">
        <v>873.15000399999997</v>
      </c>
    </row>
    <row r="5154" spans="2:5" x14ac:dyDescent="0.2">
      <c r="B5154" s="533">
        <v>6315</v>
      </c>
      <c r="C5154" s="533" t="s">
        <v>5611</v>
      </c>
      <c r="D5154" s="656" t="s">
        <v>388</v>
      </c>
      <c r="E5154" s="534">
        <v>916.28999599999997</v>
      </c>
    </row>
    <row r="5155" spans="2:5" x14ac:dyDescent="0.2">
      <c r="B5155" s="533">
        <v>6316</v>
      </c>
      <c r="C5155" s="533" t="s">
        <v>5888</v>
      </c>
      <c r="D5155" s="656" t="s">
        <v>388</v>
      </c>
      <c r="E5155" s="534">
        <v>997.03889300000003</v>
      </c>
    </row>
    <row r="5156" spans="2:5" x14ac:dyDescent="0.2">
      <c r="B5156" s="533">
        <v>6317</v>
      </c>
      <c r="C5156" s="533" t="s">
        <v>5648</v>
      </c>
      <c r="D5156" s="656" t="s">
        <v>388</v>
      </c>
      <c r="E5156" s="534">
        <v>926.92856300000005</v>
      </c>
    </row>
    <row r="5157" spans="2:5" x14ac:dyDescent="0.2">
      <c r="B5157" s="533">
        <v>6318</v>
      </c>
      <c r="C5157" s="533" t="s">
        <v>5925</v>
      </c>
      <c r="D5157" s="656" t="s">
        <v>388</v>
      </c>
      <c r="E5157" s="534">
        <v>1016.943745</v>
      </c>
    </row>
    <row r="5158" spans="2:5" x14ac:dyDescent="0.2">
      <c r="B5158" s="533">
        <v>6319</v>
      </c>
      <c r="C5158" s="533" t="s">
        <v>5953</v>
      </c>
      <c r="D5158" s="656" t="s">
        <v>388</v>
      </c>
      <c r="E5158" s="534">
        <v>1033.7199949999999</v>
      </c>
    </row>
    <row r="5159" spans="2:5" x14ac:dyDescent="0.2">
      <c r="B5159" s="533">
        <v>6320</v>
      </c>
      <c r="C5159" s="533" t="s">
        <v>5912</v>
      </c>
      <c r="D5159" s="656" t="s">
        <v>388</v>
      </c>
      <c r="E5159" s="534">
        <v>1009.213338</v>
      </c>
    </row>
    <row r="5160" spans="2:5" x14ac:dyDescent="0.2">
      <c r="B5160" s="533">
        <v>6321</v>
      </c>
      <c r="C5160" s="533" t="s">
        <v>5867</v>
      </c>
      <c r="D5160" s="656" t="s">
        <v>388</v>
      </c>
      <c r="E5160" s="534">
        <v>991.41666699999996</v>
      </c>
    </row>
    <row r="5161" spans="2:5" x14ac:dyDescent="0.2">
      <c r="B5161" s="533">
        <v>6322</v>
      </c>
      <c r="C5161" s="533" t="s">
        <v>6505</v>
      </c>
      <c r="D5161" s="656" t="s">
        <v>388</v>
      </c>
      <c r="E5161" s="534">
        <v>1036.5</v>
      </c>
    </row>
    <row r="5162" spans="2:5" x14ac:dyDescent="0.2">
      <c r="B5162" s="533">
        <v>6323</v>
      </c>
      <c r="C5162" s="533" t="s">
        <v>5968</v>
      </c>
      <c r="D5162" s="656" t="s">
        <v>388</v>
      </c>
      <c r="E5162" s="534">
        <v>1037.3500160000001</v>
      </c>
    </row>
    <row r="5163" spans="2:5" x14ac:dyDescent="0.2">
      <c r="B5163" s="533">
        <v>6324</v>
      </c>
      <c r="C5163" s="533" t="s">
        <v>5396</v>
      </c>
      <c r="D5163" s="656" t="s">
        <v>388</v>
      </c>
      <c r="E5163" s="534">
        <v>880.07692799999995</v>
      </c>
    </row>
    <row r="5164" spans="2:5" x14ac:dyDescent="0.2">
      <c r="B5164" s="533">
        <v>6325</v>
      </c>
      <c r="C5164" s="533" t="s">
        <v>1318</v>
      </c>
      <c r="D5164" s="656" t="s">
        <v>388</v>
      </c>
      <c r="E5164" s="534">
        <v>861.79999899999996</v>
      </c>
    </row>
    <row r="5165" spans="2:5" x14ac:dyDescent="0.2">
      <c r="B5165" s="533">
        <v>6326</v>
      </c>
      <c r="C5165" s="533" t="s">
        <v>2537</v>
      </c>
      <c r="D5165" s="656" t="s">
        <v>388</v>
      </c>
      <c r="E5165" s="534">
        <v>851.815383</v>
      </c>
    </row>
    <row r="5166" spans="2:5" x14ac:dyDescent="0.2">
      <c r="B5166" s="533">
        <v>6327</v>
      </c>
      <c r="C5166" s="533" t="s">
        <v>2319</v>
      </c>
      <c r="D5166" s="656" t="s">
        <v>388</v>
      </c>
      <c r="E5166" s="534">
        <v>853.42999299999997</v>
      </c>
    </row>
    <row r="5167" spans="2:5" x14ac:dyDescent="0.2">
      <c r="B5167" s="533">
        <v>6328</v>
      </c>
      <c r="C5167" s="533" t="s">
        <v>6829</v>
      </c>
      <c r="D5167" s="656" t="s">
        <v>388</v>
      </c>
      <c r="E5167" s="534">
        <v>853.45332399999995</v>
      </c>
    </row>
    <row r="5168" spans="2:5" x14ac:dyDescent="0.2">
      <c r="B5168" s="533">
        <v>6329</v>
      </c>
      <c r="C5168" s="533" t="s">
        <v>5243</v>
      </c>
      <c r="D5168" s="656" t="s">
        <v>388</v>
      </c>
      <c r="E5168" s="534">
        <v>853.9375</v>
      </c>
    </row>
    <row r="5169" spans="2:5" x14ac:dyDescent="0.2">
      <c r="B5169" s="533">
        <v>6330</v>
      </c>
      <c r="C5169" s="533" t="s">
        <v>5359</v>
      </c>
      <c r="D5169" s="656" t="s">
        <v>388</v>
      </c>
      <c r="E5169" s="534">
        <v>873.75</v>
      </c>
    </row>
    <row r="5170" spans="2:5" x14ac:dyDescent="0.2">
      <c r="B5170" s="533">
        <v>6331</v>
      </c>
      <c r="C5170" s="533" t="s">
        <v>5322</v>
      </c>
      <c r="D5170" s="656" t="s">
        <v>388</v>
      </c>
      <c r="E5170" s="534">
        <v>867.75834099999997</v>
      </c>
    </row>
    <row r="5171" spans="2:5" x14ac:dyDescent="0.2">
      <c r="B5171" s="533">
        <v>6332</v>
      </c>
      <c r="C5171" s="533" t="s">
        <v>5379</v>
      </c>
      <c r="D5171" s="656" t="s">
        <v>388</v>
      </c>
      <c r="E5171" s="534">
        <v>876.62306999999998</v>
      </c>
    </row>
    <row r="5172" spans="2:5" x14ac:dyDescent="0.2">
      <c r="B5172" s="533">
        <v>6333</v>
      </c>
      <c r="C5172" s="533" t="s">
        <v>5762</v>
      </c>
      <c r="D5172" s="656" t="s">
        <v>388</v>
      </c>
      <c r="E5172" s="534">
        <v>959.06667100000004</v>
      </c>
    </row>
    <row r="5173" spans="2:5" x14ac:dyDescent="0.2">
      <c r="B5173" s="533">
        <v>6334</v>
      </c>
      <c r="C5173" s="533" t="s">
        <v>7273</v>
      </c>
      <c r="D5173" s="656" t="s">
        <v>388</v>
      </c>
      <c r="E5173" s="534">
        <v>1036.3533279999999</v>
      </c>
    </row>
    <row r="5174" spans="2:5" x14ac:dyDescent="0.2">
      <c r="B5174" s="533">
        <v>6335</v>
      </c>
      <c r="C5174" s="533" t="s">
        <v>4745</v>
      </c>
      <c r="D5174" s="656" t="s">
        <v>388</v>
      </c>
      <c r="E5174" s="534">
        <v>986.639996</v>
      </c>
    </row>
    <row r="5175" spans="2:5" x14ac:dyDescent="0.2">
      <c r="B5175" s="533">
        <v>6336</v>
      </c>
      <c r="C5175" s="533" t="s">
        <v>7114</v>
      </c>
      <c r="D5175" s="656" t="s">
        <v>388</v>
      </c>
      <c r="E5175" s="534">
        <v>976.81000100000006</v>
      </c>
    </row>
    <row r="5176" spans="2:5" x14ac:dyDescent="0.2">
      <c r="B5176" s="533">
        <v>6337</v>
      </c>
      <c r="C5176" s="533" t="s">
        <v>5764</v>
      </c>
      <c r="D5176" s="656" t="s">
        <v>388</v>
      </c>
      <c r="E5176" s="534">
        <v>959.83333300000004</v>
      </c>
    </row>
    <row r="5177" spans="2:5" x14ac:dyDescent="0.2">
      <c r="B5177" s="533">
        <v>6338</v>
      </c>
      <c r="C5177" s="533" t="s">
        <v>6072</v>
      </c>
      <c r="D5177" s="656" t="s">
        <v>388</v>
      </c>
      <c r="E5177" s="534">
        <v>1099.080013</v>
      </c>
    </row>
    <row r="5178" spans="2:5" x14ac:dyDescent="0.2">
      <c r="B5178" s="533">
        <v>6339</v>
      </c>
      <c r="C5178" s="533" t="s">
        <v>7187</v>
      </c>
      <c r="D5178" s="656" t="s">
        <v>388</v>
      </c>
      <c r="E5178" s="534">
        <v>1085.3916630000001</v>
      </c>
    </row>
    <row r="5179" spans="2:5" x14ac:dyDescent="0.2">
      <c r="B5179" s="533">
        <v>6340</v>
      </c>
      <c r="C5179" s="533" t="s">
        <v>5592</v>
      </c>
      <c r="D5179" s="656" t="s">
        <v>388</v>
      </c>
      <c r="E5179" s="534">
        <v>1094.2285850000001</v>
      </c>
    </row>
    <row r="5180" spans="2:5" x14ac:dyDescent="0.2">
      <c r="B5180" s="533">
        <v>6341</v>
      </c>
      <c r="C5180" s="533" t="s">
        <v>7160</v>
      </c>
      <c r="D5180" s="656" t="s">
        <v>388</v>
      </c>
      <c r="E5180" s="534">
        <v>1099.2749940000001</v>
      </c>
    </row>
    <row r="5181" spans="2:5" x14ac:dyDescent="0.2">
      <c r="B5181" s="533">
        <v>6342</v>
      </c>
      <c r="C5181" s="533" t="s">
        <v>6076</v>
      </c>
      <c r="D5181" s="656" t="s">
        <v>388</v>
      </c>
      <c r="E5181" s="534">
        <v>1100.9666340000001</v>
      </c>
    </row>
    <row r="5182" spans="2:5" x14ac:dyDescent="0.2">
      <c r="B5182" s="533">
        <v>6343</v>
      </c>
      <c r="C5182" s="533" t="s">
        <v>5947</v>
      </c>
      <c r="D5182" s="656" t="s">
        <v>388</v>
      </c>
      <c r="E5182" s="534">
        <v>1028.8611249999999</v>
      </c>
    </row>
    <row r="5183" spans="2:5" x14ac:dyDescent="0.2">
      <c r="B5183" s="533">
        <v>6344</v>
      </c>
      <c r="C5183" s="533" t="s">
        <v>6045</v>
      </c>
      <c r="D5183" s="656" t="s">
        <v>388</v>
      </c>
      <c r="E5183" s="534">
        <v>1080.8875049999999</v>
      </c>
    </row>
    <row r="5184" spans="2:5" x14ac:dyDescent="0.2">
      <c r="B5184" s="533">
        <v>6345</v>
      </c>
      <c r="C5184" s="533" t="s">
        <v>5967</v>
      </c>
      <c r="D5184" s="656" t="s">
        <v>388</v>
      </c>
      <c r="E5184" s="534">
        <v>1037.0249940000001</v>
      </c>
    </row>
    <row r="5185" spans="2:5" x14ac:dyDescent="0.2">
      <c r="B5185" s="533">
        <v>6346</v>
      </c>
      <c r="C5185" s="533" t="s">
        <v>5675</v>
      </c>
      <c r="D5185" s="656" t="s">
        <v>388</v>
      </c>
      <c r="E5185" s="534">
        <v>934.57857000000001</v>
      </c>
    </row>
    <row r="5186" spans="2:5" x14ac:dyDescent="0.2">
      <c r="B5186" s="533">
        <v>6347</v>
      </c>
      <c r="C5186" s="533" t="s">
        <v>5659</v>
      </c>
      <c r="D5186" s="656" t="s">
        <v>388</v>
      </c>
      <c r="E5186" s="534">
        <v>930.39998800000001</v>
      </c>
    </row>
    <row r="5187" spans="2:5" x14ac:dyDescent="0.2">
      <c r="B5187" s="533">
        <v>6348</v>
      </c>
      <c r="C5187" s="533" t="s">
        <v>4591</v>
      </c>
      <c r="D5187" s="656" t="s">
        <v>388</v>
      </c>
      <c r="E5187" s="534">
        <v>787.86521800000003</v>
      </c>
    </row>
    <row r="5188" spans="2:5" x14ac:dyDescent="0.2">
      <c r="B5188" s="533">
        <v>6349</v>
      </c>
      <c r="C5188" s="533" t="s">
        <v>5017</v>
      </c>
      <c r="D5188" s="656" t="s">
        <v>388</v>
      </c>
      <c r="E5188" s="534">
        <v>825.64666699999998</v>
      </c>
    </row>
    <row r="5189" spans="2:5" x14ac:dyDescent="0.2">
      <c r="B5189" s="533">
        <v>6350</v>
      </c>
      <c r="C5189" s="533" t="s">
        <v>5056</v>
      </c>
      <c r="D5189" s="656" t="s">
        <v>388</v>
      </c>
      <c r="E5189" s="534">
        <v>829.85000600000001</v>
      </c>
    </row>
    <row r="5190" spans="2:5" x14ac:dyDescent="0.2">
      <c r="B5190" s="533">
        <v>6351</v>
      </c>
      <c r="C5190" s="533" t="s">
        <v>5149</v>
      </c>
      <c r="D5190" s="656" t="s">
        <v>388</v>
      </c>
      <c r="E5190" s="534">
        <v>839.5</v>
      </c>
    </row>
    <row r="5191" spans="2:5" x14ac:dyDescent="0.2">
      <c r="B5191" s="533">
        <v>6352</v>
      </c>
      <c r="C5191" s="533" t="s">
        <v>5198</v>
      </c>
      <c r="D5191" s="656" t="s">
        <v>388</v>
      </c>
      <c r="E5191" s="534">
        <v>846.58570199999997</v>
      </c>
    </row>
    <row r="5192" spans="2:5" x14ac:dyDescent="0.2">
      <c r="B5192" s="533">
        <v>6353</v>
      </c>
      <c r="C5192" s="533" t="s">
        <v>388</v>
      </c>
      <c r="D5192" s="656" t="s">
        <v>388</v>
      </c>
      <c r="E5192" s="534">
        <v>809.59997599999997</v>
      </c>
    </row>
    <row r="5193" spans="2:5" x14ac:dyDescent="0.2">
      <c r="B5193" s="533">
        <v>6354</v>
      </c>
      <c r="C5193" s="533" t="s">
        <v>4642</v>
      </c>
      <c r="D5193" s="656" t="s">
        <v>388</v>
      </c>
      <c r="E5193" s="534">
        <v>792.50770499999999</v>
      </c>
    </row>
    <row r="5194" spans="2:5" x14ac:dyDescent="0.2">
      <c r="B5194" s="533">
        <v>6355</v>
      </c>
      <c r="C5194" s="533" t="s">
        <v>5150</v>
      </c>
      <c r="D5194" s="656" t="s">
        <v>388</v>
      </c>
      <c r="E5194" s="534">
        <v>839.5</v>
      </c>
    </row>
    <row r="5195" spans="2:5" x14ac:dyDescent="0.2">
      <c r="B5195" s="533">
        <v>6356</v>
      </c>
      <c r="C5195" s="533" t="s">
        <v>5223</v>
      </c>
      <c r="D5195" s="656" t="s">
        <v>388</v>
      </c>
      <c r="E5195" s="534">
        <v>851.14999399999999</v>
      </c>
    </row>
    <row r="5196" spans="2:5" x14ac:dyDescent="0.2">
      <c r="B5196" s="533">
        <v>6357</v>
      </c>
      <c r="C5196" s="533" t="s">
        <v>4946</v>
      </c>
      <c r="D5196" s="656" t="s">
        <v>388</v>
      </c>
      <c r="E5196" s="534">
        <v>816.81667100000004</v>
      </c>
    </row>
    <row r="5197" spans="2:5" x14ac:dyDescent="0.2">
      <c r="B5197" s="533">
        <v>6358</v>
      </c>
      <c r="C5197" s="533" t="s">
        <v>2630</v>
      </c>
      <c r="D5197" s="656" t="s">
        <v>388</v>
      </c>
      <c r="E5197" s="534">
        <v>824.20000300000004</v>
      </c>
    </row>
    <row r="5198" spans="2:5" x14ac:dyDescent="0.2">
      <c r="B5198" s="533">
        <v>6359</v>
      </c>
      <c r="C5198" s="533" t="s">
        <v>6479</v>
      </c>
      <c r="D5198" s="656" t="s">
        <v>388</v>
      </c>
      <c r="E5198" s="534">
        <v>807.7</v>
      </c>
    </row>
    <row r="5199" spans="2:5" x14ac:dyDescent="0.2">
      <c r="B5199" s="533">
        <v>6360</v>
      </c>
      <c r="C5199" s="533" t="s">
        <v>6526</v>
      </c>
      <c r="D5199" s="656" t="s">
        <v>388</v>
      </c>
      <c r="E5199" s="534">
        <v>783.30000099999995</v>
      </c>
    </row>
    <row r="5200" spans="2:5" x14ac:dyDescent="0.2">
      <c r="B5200" s="533">
        <v>6361</v>
      </c>
      <c r="C5200" s="533" t="s">
        <v>4365</v>
      </c>
      <c r="D5200" s="656" t="s">
        <v>388</v>
      </c>
      <c r="E5200" s="534">
        <v>769.99411899999996</v>
      </c>
    </row>
    <row r="5201" spans="2:5" x14ac:dyDescent="0.2">
      <c r="B5201" s="533">
        <v>6362</v>
      </c>
      <c r="C5201" s="533" t="s">
        <v>4819</v>
      </c>
      <c r="D5201" s="656" t="s">
        <v>388</v>
      </c>
      <c r="E5201" s="534">
        <v>806.01111500000002</v>
      </c>
    </row>
    <row r="5202" spans="2:5" x14ac:dyDescent="0.2">
      <c r="B5202" s="533">
        <v>6363</v>
      </c>
      <c r="C5202" s="533" t="s">
        <v>4955</v>
      </c>
      <c r="D5202" s="656" t="s">
        <v>388</v>
      </c>
      <c r="E5202" s="534">
        <v>818.25262799999996</v>
      </c>
    </row>
    <row r="5203" spans="2:5" x14ac:dyDescent="0.2">
      <c r="B5203" s="533">
        <v>6364</v>
      </c>
      <c r="C5203" s="533" t="s">
        <v>4265</v>
      </c>
      <c r="D5203" s="656" t="s">
        <v>388</v>
      </c>
      <c r="E5203" s="534">
        <v>762.97000100000002</v>
      </c>
    </row>
    <row r="5204" spans="2:5" x14ac:dyDescent="0.2">
      <c r="B5204" s="533">
        <v>6365</v>
      </c>
      <c r="C5204" s="533" t="s">
        <v>4378</v>
      </c>
      <c r="D5204" s="656" t="s">
        <v>388</v>
      </c>
      <c r="E5204" s="534">
        <v>771.24705600000004</v>
      </c>
    </row>
    <row r="5205" spans="2:5" x14ac:dyDescent="0.2">
      <c r="B5205" s="533">
        <v>6366</v>
      </c>
      <c r="C5205" s="533" t="s">
        <v>4402</v>
      </c>
      <c r="D5205" s="656" t="s">
        <v>388</v>
      </c>
      <c r="E5205" s="534">
        <v>773.70908999999995</v>
      </c>
    </row>
    <row r="5206" spans="2:5" x14ac:dyDescent="0.2">
      <c r="B5206" s="533">
        <v>6367</v>
      </c>
      <c r="C5206" s="533" t="s">
        <v>4535</v>
      </c>
      <c r="D5206" s="656" t="s">
        <v>388</v>
      </c>
      <c r="E5206" s="534">
        <v>783.43499499999996</v>
      </c>
    </row>
    <row r="5207" spans="2:5" x14ac:dyDescent="0.2">
      <c r="B5207" s="533">
        <v>6368</v>
      </c>
      <c r="C5207" s="533" t="s">
        <v>4670</v>
      </c>
      <c r="D5207" s="656" t="s">
        <v>388</v>
      </c>
      <c r="E5207" s="534">
        <v>794.30769699999996</v>
      </c>
    </row>
    <row r="5208" spans="2:5" x14ac:dyDescent="0.2">
      <c r="B5208" s="533">
        <v>6369</v>
      </c>
      <c r="C5208" s="533" t="s">
        <v>2181</v>
      </c>
      <c r="D5208" s="656" t="s">
        <v>388</v>
      </c>
      <c r="E5208" s="534">
        <v>776.59411299999999</v>
      </c>
    </row>
    <row r="5209" spans="2:5" x14ac:dyDescent="0.2">
      <c r="B5209" s="533">
        <v>6370</v>
      </c>
      <c r="C5209" s="533" t="s">
        <v>4158</v>
      </c>
      <c r="D5209" s="656" t="s">
        <v>388</v>
      </c>
      <c r="E5209" s="534">
        <v>755.29998799999998</v>
      </c>
    </row>
    <row r="5210" spans="2:5" x14ac:dyDescent="0.2">
      <c r="B5210" s="533">
        <v>6371</v>
      </c>
      <c r="C5210" s="533" t="s">
        <v>3386</v>
      </c>
      <c r="D5210" s="656" t="s">
        <v>388</v>
      </c>
      <c r="E5210" s="534">
        <v>749.589471</v>
      </c>
    </row>
    <row r="5211" spans="2:5" x14ac:dyDescent="0.2">
      <c r="B5211" s="533">
        <v>6372</v>
      </c>
      <c r="C5211" s="533" t="s">
        <v>6460</v>
      </c>
      <c r="D5211" s="656" t="s">
        <v>388</v>
      </c>
      <c r="E5211" s="534">
        <v>731.29998799999998</v>
      </c>
    </row>
    <row r="5212" spans="2:5" x14ac:dyDescent="0.2">
      <c r="B5212" s="533">
        <v>6373</v>
      </c>
      <c r="C5212" s="533" t="s">
        <v>3637</v>
      </c>
      <c r="D5212" s="656" t="s">
        <v>388</v>
      </c>
      <c r="E5212" s="534">
        <v>724.24444600000004</v>
      </c>
    </row>
    <row r="5213" spans="2:5" x14ac:dyDescent="0.2">
      <c r="B5213" s="533">
        <v>6374</v>
      </c>
      <c r="C5213" s="533" t="s">
        <v>4510</v>
      </c>
      <c r="D5213" s="656" t="s">
        <v>388</v>
      </c>
      <c r="E5213" s="534">
        <v>780.87142100000005</v>
      </c>
    </row>
    <row r="5214" spans="2:5" x14ac:dyDescent="0.2">
      <c r="B5214" s="533">
        <v>6375</v>
      </c>
      <c r="C5214" s="533" t="s">
        <v>7038</v>
      </c>
      <c r="D5214" s="656" t="s">
        <v>388</v>
      </c>
      <c r="E5214" s="534">
        <v>761.8</v>
      </c>
    </row>
    <row r="5215" spans="2:5" x14ac:dyDescent="0.2">
      <c r="B5215" s="533">
        <v>6376</v>
      </c>
      <c r="C5215" s="533" t="s">
        <v>3895</v>
      </c>
      <c r="D5215" s="656" t="s">
        <v>388</v>
      </c>
      <c r="E5215" s="534">
        <v>739.36428799999999</v>
      </c>
    </row>
    <row r="5216" spans="2:5" x14ac:dyDescent="0.2">
      <c r="B5216" s="533">
        <v>6377</v>
      </c>
      <c r="C5216" s="533" t="s">
        <v>3934</v>
      </c>
      <c r="D5216" s="656" t="s">
        <v>388</v>
      </c>
      <c r="E5216" s="534">
        <v>741.31999499999995</v>
      </c>
    </row>
    <row r="5217" spans="2:5" x14ac:dyDescent="0.2">
      <c r="B5217" s="533">
        <v>6378</v>
      </c>
      <c r="C5217" s="533" t="s">
        <v>3853</v>
      </c>
      <c r="D5217" s="656" t="s">
        <v>388</v>
      </c>
      <c r="E5217" s="534">
        <v>736.46667500000001</v>
      </c>
    </row>
    <row r="5218" spans="2:5" x14ac:dyDescent="0.2">
      <c r="B5218" s="533">
        <v>6379</v>
      </c>
      <c r="C5218" s="533" t="s">
        <v>4076</v>
      </c>
      <c r="D5218" s="656" t="s">
        <v>388</v>
      </c>
      <c r="E5218" s="534">
        <v>750.26249700000005</v>
      </c>
    </row>
    <row r="5219" spans="2:5" x14ac:dyDescent="0.2">
      <c r="B5219" s="533">
        <v>6380</v>
      </c>
      <c r="C5219" s="533" t="s">
        <v>3732</v>
      </c>
      <c r="D5219" s="656" t="s">
        <v>388</v>
      </c>
      <c r="E5219" s="534">
        <v>729.30001800000002</v>
      </c>
    </row>
    <row r="5220" spans="2:5" x14ac:dyDescent="0.2">
      <c r="B5220" s="533">
        <v>6381</v>
      </c>
      <c r="C5220" s="533" t="s">
        <v>3396</v>
      </c>
      <c r="D5220" s="656" t="s">
        <v>388</v>
      </c>
      <c r="E5220" s="534">
        <v>711.29444699999999</v>
      </c>
    </row>
    <row r="5221" spans="2:5" x14ac:dyDescent="0.2">
      <c r="B5221" s="533">
        <v>6382</v>
      </c>
      <c r="C5221" s="533" t="s">
        <v>7281</v>
      </c>
      <c r="D5221" s="656" t="s">
        <v>388</v>
      </c>
      <c r="E5221" s="534">
        <v>742.45832800000005</v>
      </c>
    </row>
    <row r="5222" spans="2:5" x14ac:dyDescent="0.2">
      <c r="B5222" s="533">
        <v>6383</v>
      </c>
      <c r="C5222" s="533" t="s">
        <v>3752</v>
      </c>
      <c r="D5222" s="656" t="s">
        <v>388</v>
      </c>
      <c r="E5222" s="534">
        <v>730.70001200000002</v>
      </c>
    </row>
    <row r="5223" spans="2:5" x14ac:dyDescent="0.2">
      <c r="B5223" s="533">
        <v>6384</v>
      </c>
      <c r="C5223" s="533" t="s">
        <v>3975</v>
      </c>
      <c r="D5223" s="656" t="s">
        <v>388</v>
      </c>
      <c r="E5223" s="534">
        <v>744.10588900000005</v>
      </c>
    </row>
    <row r="5224" spans="2:5" x14ac:dyDescent="0.2">
      <c r="B5224" s="533">
        <v>6401</v>
      </c>
      <c r="C5224" s="533" t="s">
        <v>4120</v>
      </c>
      <c r="D5224" s="656" t="s">
        <v>394</v>
      </c>
      <c r="E5224" s="534">
        <v>752.42500299999995</v>
      </c>
    </row>
    <row r="5225" spans="2:5" x14ac:dyDescent="0.2">
      <c r="B5225" s="533">
        <v>6402</v>
      </c>
      <c r="C5225" s="533" t="s">
        <v>2545</v>
      </c>
      <c r="D5225" s="656" t="s">
        <v>394</v>
      </c>
      <c r="E5225" s="534">
        <v>668.625</v>
      </c>
    </row>
    <row r="5226" spans="2:5" x14ac:dyDescent="0.2">
      <c r="B5226" s="533">
        <v>6403</v>
      </c>
      <c r="C5226" s="533" t="s">
        <v>4667</v>
      </c>
      <c r="D5226" s="656" t="s">
        <v>394</v>
      </c>
      <c r="E5226" s="534">
        <v>794.24736900000005</v>
      </c>
    </row>
    <row r="5227" spans="2:5" x14ac:dyDescent="0.2">
      <c r="B5227" s="533">
        <v>6404</v>
      </c>
      <c r="C5227" s="533" t="s">
        <v>4167</v>
      </c>
      <c r="D5227" s="656" t="s">
        <v>394</v>
      </c>
      <c r="E5227" s="534">
        <v>768.07391600000005</v>
      </c>
    </row>
    <row r="5228" spans="2:5" x14ac:dyDescent="0.2">
      <c r="B5228" s="533">
        <v>6405</v>
      </c>
      <c r="C5228" s="533" t="s">
        <v>4169</v>
      </c>
      <c r="D5228" s="656" t="s">
        <v>394</v>
      </c>
      <c r="E5228" s="534">
        <v>755.87999300000001</v>
      </c>
    </row>
    <row r="5229" spans="2:5" x14ac:dyDescent="0.2">
      <c r="B5229" s="533">
        <v>6406</v>
      </c>
      <c r="C5229" s="533" t="s">
        <v>4315</v>
      </c>
      <c r="D5229" s="656" t="s">
        <v>394</v>
      </c>
      <c r="E5229" s="534">
        <v>766.71499900000003</v>
      </c>
    </row>
    <row r="5230" spans="2:5" x14ac:dyDescent="0.2">
      <c r="B5230" s="533">
        <v>6407</v>
      </c>
      <c r="C5230" s="533" t="s">
        <v>3533</v>
      </c>
      <c r="D5230" s="656" t="s">
        <v>394</v>
      </c>
      <c r="E5230" s="534">
        <v>718.49999500000001</v>
      </c>
    </row>
    <row r="5231" spans="2:5" x14ac:dyDescent="0.2">
      <c r="B5231" s="533">
        <v>6408</v>
      </c>
      <c r="C5231" s="533" t="s">
        <v>3721</v>
      </c>
      <c r="D5231" s="656" t="s">
        <v>394</v>
      </c>
      <c r="E5231" s="534">
        <v>728.70001200000002</v>
      </c>
    </row>
    <row r="5232" spans="2:5" x14ac:dyDescent="0.2">
      <c r="B5232" s="533">
        <v>6409</v>
      </c>
      <c r="C5232" s="533" t="s">
        <v>3669</v>
      </c>
      <c r="D5232" s="656" t="s">
        <v>394</v>
      </c>
      <c r="E5232" s="534">
        <v>726.01666299999999</v>
      </c>
    </row>
    <row r="5233" spans="2:5" x14ac:dyDescent="0.2">
      <c r="B5233" s="533">
        <v>6410</v>
      </c>
      <c r="C5233" s="533" t="s">
        <v>3938</v>
      </c>
      <c r="D5233" s="656" t="s">
        <v>394</v>
      </c>
      <c r="E5233" s="534">
        <v>741.43333800000005</v>
      </c>
    </row>
    <row r="5234" spans="2:5" x14ac:dyDescent="0.2">
      <c r="B5234" s="533">
        <v>6411</v>
      </c>
      <c r="C5234" s="533" t="s">
        <v>3678</v>
      </c>
      <c r="D5234" s="656" t="s">
        <v>394</v>
      </c>
      <c r="E5234" s="534">
        <v>726.45788900000002</v>
      </c>
    </row>
    <row r="5235" spans="2:5" x14ac:dyDescent="0.2">
      <c r="B5235" s="533">
        <v>6412</v>
      </c>
      <c r="C5235" s="533" t="s">
        <v>2944</v>
      </c>
      <c r="D5235" s="656" t="s">
        <v>394</v>
      </c>
      <c r="E5235" s="534">
        <v>728.61817499999995</v>
      </c>
    </row>
    <row r="5236" spans="2:5" x14ac:dyDescent="0.2">
      <c r="B5236" s="533">
        <v>6413</v>
      </c>
      <c r="C5236" s="533" t="s">
        <v>6752</v>
      </c>
      <c r="D5236" s="656" t="s">
        <v>394</v>
      </c>
      <c r="E5236" s="534">
        <v>735.52500399999997</v>
      </c>
    </row>
    <row r="5237" spans="2:5" x14ac:dyDescent="0.2">
      <c r="B5237" s="533">
        <v>6414</v>
      </c>
      <c r="C5237" s="533" t="s">
        <v>4983</v>
      </c>
      <c r="D5237" s="656" t="s">
        <v>394</v>
      </c>
      <c r="E5237" s="534">
        <v>822.00666100000001</v>
      </c>
    </row>
    <row r="5238" spans="2:5" x14ac:dyDescent="0.2">
      <c r="B5238" s="533">
        <v>6415</v>
      </c>
      <c r="C5238" s="533" t="s">
        <v>4272</v>
      </c>
      <c r="D5238" s="656" t="s">
        <v>394</v>
      </c>
      <c r="E5238" s="534">
        <v>763.46667500000001</v>
      </c>
    </row>
    <row r="5239" spans="2:5" x14ac:dyDescent="0.2">
      <c r="B5239" s="533">
        <v>6416</v>
      </c>
      <c r="C5239" s="533" t="s">
        <v>4749</v>
      </c>
      <c r="D5239" s="656" t="s">
        <v>394</v>
      </c>
      <c r="E5239" s="534">
        <v>800.59375</v>
      </c>
    </row>
    <row r="5240" spans="2:5" x14ac:dyDescent="0.2">
      <c r="B5240" s="533">
        <v>6417</v>
      </c>
      <c r="C5240" s="533" t="s">
        <v>973</v>
      </c>
      <c r="D5240" s="656" t="s">
        <v>394</v>
      </c>
      <c r="E5240" s="534">
        <v>770.82857799999999</v>
      </c>
    </row>
    <row r="5241" spans="2:5" x14ac:dyDescent="0.2">
      <c r="B5241" s="533">
        <v>6418</v>
      </c>
      <c r="C5241" s="533" t="s">
        <v>3079</v>
      </c>
      <c r="D5241" s="656" t="s">
        <v>394</v>
      </c>
      <c r="E5241" s="534">
        <v>695.45556599999998</v>
      </c>
    </row>
    <row r="5242" spans="2:5" x14ac:dyDescent="0.2">
      <c r="B5242" s="533">
        <v>6419</v>
      </c>
      <c r="C5242" s="533" t="s">
        <v>4212</v>
      </c>
      <c r="D5242" s="656" t="s">
        <v>394</v>
      </c>
      <c r="E5242" s="534">
        <v>759.26667099999997</v>
      </c>
    </row>
    <row r="5243" spans="2:5" x14ac:dyDescent="0.2">
      <c r="B5243" s="533">
        <v>6420</v>
      </c>
      <c r="C5243" s="533" t="s">
        <v>4556</v>
      </c>
      <c r="D5243" s="656" t="s">
        <v>394</v>
      </c>
      <c r="E5243" s="534">
        <v>785.24999400000002</v>
      </c>
    </row>
    <row r="5244" spans="2:5" x14ac:dyDescent="0.2">
      <c r="B5244" s="533">
        <v>6421</v>
      </c>
      <c r="C5244" s="533" t="s">
        <v>5091</v>
      </c>
      <c r="D5244" s="656" t="s">
        <v>394</v>
      </c>
      <c r="E5244" s="534">
        <v>833.01819399999999</v>
      </c>
    </row>
    <row r="5245" spans="2:5" x14ac:dyDescent="0.2">
      <c r="B5245" s="533">
        <v>6422</v>
      </c>
      <c r="C5245" s="533" t="s">
        <v>4020</v>
      </c>
      <c r="D5245" s="656" t="s">
        <v>394</v>
      </c>
      <c r="E5245" s="534">
        <v>765.34999600000003</v>
      </c>
    </row>
    <row r="5246" spans="2:5" x14ac:dyDescent="0.2">
      <c r="B5246" s="533">
        <v>6423</v>
      </c>
      <c r="C5246" s="533" t="s">
        <v>4650</v>
      </c>
      <c r="D5246" s="656" t="s">
        <v>394</v>
      </c>
      <c r="E5246" s="534">
        <v>792.840011</v>
      </c>
    </row>
    <row r="5247" spans="2:5" x14ac:dyDescent="0.2">
      <c r="B5247" s="533">
        <v>6424</v>
      </c>
      <c r="C5247" s="533" t="s">
        <v>4416</v>
      </c>
      <c r="D5247" s="656" t="s">
        <v>394</v>
      </c>
      <c r="E5247" s="534">
        <v>774.80624799999998</v>
      </c>
    </row>
    <row r="5248" spans="2:5" x14ac:dyDescent="0.2">
      <c r="B5248" s="533">
        <v>6425</v>
      </c>
      <c r="C5248" s="533" t="s">
        <v>7044</v>
      </c>
      <c r="D5248" s="656" t="s">
        <v>394</v>
      </c>
      <c r="E5248" s="534">
        <v>718.58332800000005</v>
      </c>
    </row>
    <row r="5249" spans="2:5" x14ac:dyDescent="0.2">
      <c r="B5249" s="533">
        <v>6426</v>
      </c>
      <c r="C5249" s="533" t="s">
        <v>4085</v>
      </c>
      <c r="D5249" s="656" t="s">
        <v>394</v>
      </c>
      <c r="E5249" s="534">
        <v>750.56817899999999</v>
      </c>
    </row>
    <row r="5250" spans="2:5" x14ac:dyDescent="0.2">
      <c r="B5250" s="533">
        <v>6427</v>
      </c>
      <c r="C5250" s="533" t="s">
        <v>2537</v>
      </c>
      <c r="D5250" s="656" t="s">
        <v>394</v>
      </c>
      <c r="E5250" s="534">
        <v>747.59000200000003</v>
      </c>
    </row>
    <row r="5251" spans="2:5" x14ac:dyDescent="0.2">
      <c r="B5251" s="533">
        <v>6428</v>
      </c>
      <c r="C5251" s="533" t="s">
        <v>2946</v>
      </c>
      <c r="D5251" s="656" t="s">
        <v>394</v>
      </c>
      <c r="E5251" s="534">
        <v>688.06667100000004</v>
      </c>
    </row>
    <row r="5252" spans="2:5" x14ac:dyDescent="0.2">
      <c r="B5252" s="533">
        <v>6429</v>
      </c>
      <c r="C5252" s="533" t="s">
        <v>4665</v>
      </c>
      <c r="D5252" s="656" t="s">
        <v>394</v>
      </c>
      <c r="E5252" s="534">
        <v>794.19000200000005</v>
      </c>
    </row>
    <row r="5253" spans="2:5" x14ac:dyDescent="0.2">
      <c r="B5253" s="533">
        <v>6430</v>
      </c>
      <c r="C5253" s="533" t="s">
        <v>4913</v>
      </c>
      <c r="D5253" s="656" t="s">
        <v>394</v>
      </c>
      <c r="E5253" s="534">
        <v>814.259998</v>
      </c>
    </row>
    <row r="5254" spans="2:5" x14ac:dyDescent="0.2">
      <c r="B5254" s="533">
        <v>6432</v>
      </c>
      <c r="C5254" s="533" t="s">
        <v>5099</v>
      </c>
      <c r="D5254" s="656" t="s">
        <v>394</v>
      </c>
      <c r="E5254" s="534">
        <v>834.04545499999995</v>
      </c>
    </row>
    <row r="5255" spans="2:5" x14ac:dyDescent="0.2">
      <c r="B5255" s="533">
        <v>6433</v>
      </c>
      <c r="C5255" s="533" t="s">
        <v>1273</v>
      </c>
      <c r="D5255" s="656" t="s">
        <v>394</v>
      </c>
      <c r="E5255" s="534">
        <v>741.99444600000004</v>
      </c>
    </row>
    <row r="5256" spans="2:5" x14ac:dyDescent="0.2">
      <c r="B5256" s="533">
        <v>6434</v>
      </c>
      <c r="C5256" s="533" t="s">
        <v>4174</v>
      </c>
      <c r="D5256" s="656" t="s">
        <v>394</v>
      </c>
      <c r="E5256" s="534">
        <v>756.12857499999996</v>
      </c>
    </row>
    <row r="5257" spans="2:5" x14ac:dyDescent="0.2">
      <c r="B5257" s="533">
        <v>6435</v>
      </c>
      <c r="C5257" s="533" t="s">
        <v>4847</v>
      </c>
      <c r="D5257" s="656" t="s">
        <v>394</v>
      </c>
      <c r="E5257" s="534">
        <v>807.65455199999997</v>
      </c>
    </row>
    <row r="5258" spans="2:5" x14ac:dyDescent="0.2">
      <c r="B5258" s="533">
        <v>6436</v>
      </c>
      <c r="C5258" s="533" t="s">
        <v>4035</v>
      </c>
      <c r="D5258" s="656" t="s">
        <v>394</v>
      </c>
      <c r="E5258" s="534">
        <v>747.79091000000005</v>
      </c>
    </row>
    <row r="5259" spans="2:5" x14ac:dyDescent="0.2">
      <c r="B5259" s="533">
        <v>6437</v>
      </c>
      <c r="C5259" s="533" t="s">
        <v>4428</v>
      </c>
      <c r="D5259" s="656" t="s">
        <v>394</v>
      </c>
      <c r="E5259" s="534">
        <v>775.66923199999997</v>
      </c>
    </row>
    <row r="5260" spans="2:5" x14ac:dyDescent="0.2">
      <c r="B5260" s="533">
        <v>6438</v>
      </c>
      <c r="C5260" s="533" t="s">
        <v>2904</v>
      </c>
      <c r="D5260" s="656" t="s">
        <v>394</v>
      </c>
      <c r="E5260" s="534">
        <v>686.30001200000004</v>
      </c>
    </row>
    <row r="5261" spans="2:5" x14ac:dyDescent="0.2">
      <c r="B5261" s="533">
        <v>6439</v>
      </c>
      <c r="C5261" s="533" t="s">
        <v>5083</v>
      </c>
      <c r="D5261" s="656" t="s">
        <v>394</v>
      </c>
      <c r="E5261" s="534">
        <v>832.24285499999996</v>
      </c>
    </row>
    <row r="5262" spans="2:5" x14ac:dyDescent="0.2">
      <c r="B5262" s="533">
        <v>6440</v>
      </c>
      <c r="C5262" s="533" t="s">
        <v>4227</v>
      </c>
      <c r="D5262" s="656" t="s">
        <v>394</v>
      </c>
      <c r="E5262" s="534">
        <v>760.19999199999995</v>
      </c>
    </row>
    <row r="5263" spans="2:5" x14ac:dyDescent="0.2">
      <c r="B5263" s="533">
        <v>6441</v>
      </c>
      <c r="C5263" s="533" t="s">
        <v>3707</v>
      </c>
      <c r="D5263" s="656" t="s">
        <v>394</v>
      </c>
      <c r="E5263" s="534">
        <v>728.14545799999996</v>
      </c>
    </row>
    <row r="5264" spans="2:5" x14ac:dyDescent="0.2">
      <c r="B5264" s="533">
        <v>6442</v>
      </c>
      <c r="C5264" s="533" t="s">
        <v>4655</v>
      </c>
      <c r="D5264" s="656" t="s">
        <v>394</v>
      </c>
      <c r="E5264" s="534">
        <v>793.23333700000001</v>
      </c>
    </row>
    <row r="5265" spans="2:5" x14ac:dyDescent="0.2">
      <c r="B5265" s="533">
        <v>6443</v>
      </c>
      <c r="C5265" s="533" t="s">
        <v>7215</v>
      </c>
      <c r="D5265" s="656" t="s">
        <v>394</v>
      </c>
      <c r="E5265" s="534">
        <v>702.78334600000005</v>
      </c>
    </row>
    <row r="5266" spans="2:5" x14ac:dyDescent="0.2">
      <c r="B5266" s="533">
        <v>6444</v>
      </c>
      <c r="C5266" s="533" t="s">
        <v>4410</v>
      </c>
      <c r="D5266" s="656" t="s">
        <v>394</v>
      </c>
      <c r="E5266" s="534">
        <v>774.21537899999998</v>
      </c>
    </row>
    <row r="5267" spans="2:5" x14ac:dyDescent="0.2">
      <c r="B5267" s="533">
        <v>6445</v>
      </c>
      <c r="C5267" s="533" t="s">
        <v>1972</v>
      </c>
      <c r="D5267" s="656" t="s">
        <v>394</v>
      </c>
      <c r="E5267" s="534">
        <v>866.01666899999998</v>
      </c>
    </row>
    <row r="5268" spans="2:5" x14ac:dyDescent="0.2">
      <c r="B5268" s="533">
        <v>6446</v>
      </c>
      <c r="C5268" s="533" t="s">
        <v>7245</v>
      </c>
      <c r="D5268" s="656" t="s">
        <v>394</v>
      </c>
      <c r="E5268" s="534">
        <v>766.43846199999996</v>
      </c>
    </row>
    <row r="5269" spans="2:5" x14ac:dyDescent="0.2">
      <c r="B5269" s="533">
        <v>6447</v>
      </c>
      <c r="C5269" s="533" t="s">
        <v>4827</v>
      </c>
      <c r="D5269" s="656" t="s">
        <v>394</v>
      </c>
      <c r="E5269" s="534">
        <v>806.45713999999998</v>
      </c>
    </row>
    <row r="5270" spans="2:5" x14ac:dyDescent="0.2">
      <c r="B5270" s="533">
        <v>6448</v>
      </c>
      <c r="C5270" s="533" t="s">
        <v>4473</v>
      </c>
      <c r="D5270" s="656" t="s">
        <v>394</v>
      </c>
      <c r="E5270" s="534">
        <v>778.66249800000003</v>
      </c>
    </row>
    <row r="5271" spans="2:5" x14ac:dyDescent="0.2">
      <c r="B5271" s="533">
        <v>6449</v>
      </c>
      <c r="C5271" s="533" t="s">
        <v>3933</v>
      </c>
      <c r="D5271" s="656" t="s">
        <v>394</v>
      </c>
      <c r="E5271" s="534">
        <v>741.26666299999999</v>
      </c>
    </row>
    <row r="5272" spans="2:5" x14ac:dyDescent="0.2">
      <c r="B5272" s="533">
        <v>6450</v>
      </c>
      <c r="C5272" s="533" t="s">
        <v>4482</v>
      </c>
      <c r="D5272" s="656" t="s">
        <v>394</v>
      </c>
      <c r="E5272" s="534">
        <v>779.35000600000001</v>
      </c>
    </row>
    <row r="5273" spans="2:5" x14ac:dyDescent="0.2">
      <c r="B5273" s="533">
        <v>6452</v>
      </c>
      <c r="C5273" s="533" t="s">
        <v>6770</v>
      </c>
      <c r="D5273" s="656" t="s">
        <v>394</v>
      </c>
      <c r="E5273" s="534">
        <v>757.34999100000005</v>
      </c>
    </row>
    <row r="5274" spans="2:5" x14ac:dyDescent="0.2">
      <c r="B5274" s="533">
        <v>6454</v>
      </c>
      <c r="C5274" s="533" t="s">
        <v>931</v>
      </c>
      <c r="D5274" s="656" t="s">
        <v>394</v>
      </c>
      <c r="E5274" s="534">
        <v>781.33478300000002</v>
      </c>
    </row>
    <row r="5275" spans="2:5" x14ac:dyDescent="0.2">
      <c r="B5275" s="533">
        <v>6455</v>
      </c>
      <c r="C5275" s="533" t="s">
        <v>4897</v>
      </c>
      <c r="D5275" s="656" t="s">
        <v>394</v>
      </c>
      <c r="E5275" s="534">
        <v>812.74117899999999</v>
      </c>
    </row>
    <row r="5276" spans="2:5" x14ac:dyDescent="0.2">
      <c r="B5276" s="533">
        <v>6456</v>
      </c>
      <c r="C5276" s="533" t="s">
        <v>775</v>
      </c>
      <c r="D5276" s="656" t="s">
        <v>394</v>
      </c>
      <c r="E5276" s="534">
        <v>757.97894899999994</v>
      </c>
    </row>
    <row r="5277" spans="2:5" x14ac:dyDescent="0.2">
      <c r="B5277" s="533">
        <v>6457</v>
      </c>
      <c r="C5277" s="533" t="s">
        <v>5345</v>
      </c>
      <c r="D5277" s="656" t="s">
        <v>394</v>
      </c>
      <c r="E5277" s="534">
        <v>871.10000600000001</v>
      </c>
    </row>
    <row r="5278" spans="2:5" x14ac:dyDescent="0.2">
      <c r="B5278" s="533">
        <v>6458</v>
      </c>
      <c r="C5278" s="533" t="s">
        <v>7216</v>
      </c>
      <c r="D5278" s="656" t="s">
        <v>394</v>
      </c>
      <c r="E5278" s="534">
        <v>708.23333700000001</v>
      </c>
    </row>
    <row r="5279" spans="2:5" x14ac:dyDescent="0.2">
      <c r="B5279" s="533">
        <v>6460</v>
      </c>
      <c r="C5279" s="533" t="s">
        <v>3164</v>
      </c>
      <c r="D5279" s="656" t="s">
        <v>394</v>
      </c>
      <c r="E5279" s="534">
        <v>700.01429399999995</v>
      </c>
    </row>
    <row r="5280" spans="2:5" x14ac:dyDescent="0.2">
      <c r="B5280" s="533">
        <v>6461</v>
      </c>
      <c r="C5280" s="533" t="s">
        <v>2898</v>
      </c>
      <c r="D5280" s="656" t="s">
        <v>394</v>
      </c>
      <c r="E5280" s="534">
        <v>787.73333200000002</v>
      </c>
    </row>
    <row r="5281" spans="2:5" x14ac:dyDescent="0.2">
      <c r="B5281" s="533">
        <v>6462</v>
      </c>
      <c r="C5281" s="533" t="s">
        <v>2962</v>
      </c>
      <c r="D5281" s="656" t="s">
        <v>394</v>
      </c>
      <c r="E5281" s="534">
        <v>688.92221400000005</v>
      </c>
    </row>
    <row r="5282" spans="2:5" x14ac:dyDescent="0.2">
      <c r="B5282" s="533">
        <v>6463</v>
      </c>
      <c r="C5282" s="533" t="s">
        <v>4478</v>
      </c>
      <c r="D5282" s="656" t="s">
        <v>394</v>
      </c>
      <c r="E5282" s="534">
        <v>779.021432</v>
      </c>
    </row>
    <row r="5283" spans="2:5" x14ac:dyDescent="0.2">
      <c r="B5283" s="533">
        <v>6464</v>
      </c>
      <c r="C5283" s="533" t="s">
        <v>3518</v>
      </c>
      <c r="D5283" s="656" t="s">
        <v>394</v>
      </c>
      <c r="E5283" s="534">
        <v>717.66666699999996</v>
      </c>
    </row>
    <row r="5284" spans="2:5" x14ac:dyDescent="0.2">
      <c r="B5284" s="533">
        <v>6465</v>
      </c>
      <c r="C5284" s="533" t="s">
        <v>7428</v>
      </c>
      <c r="D5284" s="656" t="s">
        <v>394</v>
      </c>
      <c r="E5284" s="534">
        <v>756.05555600000002</v>
      </c>
    </row>
    <row r="5285" spans="2:5" x14ac:dyDescent="0.2">
      <c r="B5285" s="533">
        <v>6467</v>
      </c>
      <c r="C5285" s="533" t="s">
        <v>3472</v>
      </c>
      <c r="D5285" s="656" t="s">
        <v>394</v>
      </c>
      <c r="E5285" s="534">
        <v>790.03000499999996</v>
      </c>
    </row>
    <row r="5286" spans="2:5" x14ac:dyDescent="0.2">
      <c r="B5286" s="533">
        <v>6468</v>
      </c>
      <c r="C5286" s="533" t="s">
        <v>4127</v>
      </c>
      <c r="D5286" s="656" t="s">
        <v>394</v>
      </c>
      <c r="E5286" s="534">
        <v>753.01428199999998</v>
      </c>
    </row>
    <row r="5287" spans="2:5" x14ac:dyDescent="0.2">
      <c r="B5287" s="533">
        <v>6469</v>
      </c>
      <c r="C5287" s="533" t="s">
        <v>3528</v>
      </c>
      <c r="D5287" s="656" t="s">
        <v>394</v>
      </c>
      <c r="E5287" s="534">
        <v>718.19999800000005</v>
      </c>
    </row>
    <row r="5288" spans="2:5" x14ac:dyDescent="0.2">
      <c r="B5288" s="533">
        <v>6470</v>
      </c>
      <c r="C5288" s="533" t="s">
        <v>5234</v>
      </c>
      <c r="D5288" s="656" t="s">
        <v>394</v>
      </c>
      <c r="E5288" s="534">
        <v>852.89999399999999</v>
      </c>
    </row>
    <row r="5289" spans="2:5" x14ac:dyDescent="0.2">
      <c r="B5289" s="533">
        <v>6471</v>
      </c>
      <c r="C5289" s="533" t="s">
        <v>4370</v>
      </c>
      <c r="D5289" s="656" t="s">
        <v>394</v>
      </c>
      <c r="E5289" s="534">
        <v>770.48125100000004</v>
      </c>
    </row>
    <row r="5290" spans="2:5" x14ac:dyDescent="0.2">
      <c r="B5290" s="533">
        <v>6472</v>
      </c>
      <c r="C5290" s="533" t="s">
        <v>3448</v>
      </c>
      <c r="D5290" s="656" t="s">
        <v>394</v>
      </c>
      <c r="E5290" s="534">
        <v>713.62352399999997</v>
      </c>
    </row>
    <row r="5291" spans="2:5" x14ac:dyDescent="0.2">
      <c r="B5291" s="533">
        <v>6473</v>
      </c>
      <c r="C5291" s="533" t="s">
        <v>4651</v>
      </c>
      <c r="D5291" s="656" t="s">
        <v>394</v>
      </c>
      <c r="E5291" s="534">
        <v>793.03124600000001</v>
      </c>
    </row>
    <row r="5292" spans="2:5" x14ac:dyDescent="0.2">
      <c r="B5292" s="533">
        <v>6474</v>
      </c>
      <c r="C5292" s="533" t="s">
        <v>3945</v>
      </c>
      <c r="D5292" s="656" t="s">
        <v>394</v>
      </c>
      <c r="E5292" s="534">
        <v>741.92727400000001</v>
      </c>
    </row>
    <row r="5293" spans="2:5" x14ac:dyDescent="0.2">
      <c r="B5293" s="533">
        <v>6475</v>
      </c>
      <c r="C5293" s="533" t="s">
        <v>7542</v>
      </c>
      <c r="D5293" s="656" t="s">
        <v>394</v>
      </c>
      <c r="E5293" s="534">
        <v>736.19444099999998</v>
      </c>
    </row>
    <row r="5294" spans="2:5" x14ac:dyDescent="0.2">
      <c r="B5294" s="533">
        <v>6476</v>
      </c>
      <c r="C5294" s="533" t="s">
        <v>3883</v>
      </c>
      <c r="D5294" s="656" t="s">
        <v>394</v>
      </c>
      <c r="E5294" s="534">
        <v>738.10909200000003</v>
      </c>
    </row>
    <row r="5295" spans="2:5" x14ac:dyDescent="0.2">
      <c r="B5295" s="533">
        <v>6477</v>
      </c>
      <c r="C5295" s="533" t="s">
        <v>4946</v>
      </c>
      <c r="D5295" s="656" t="s">
        <v>394</v>
      </c>
      <c r="E5295" s="534">
        <v>857.72000100000002</v>
      </c>
    </row>
    <row r="5296" spans="2:5" x14ac:dyDescent="0.2">
      <c r="B5296" s="533">
        <v>6479</v>
      </c>
      <c r="C5296" s="533" t="s">
        <v>4616</v>
      </c>
      <c r="D5296" s="656" t="s">
        <v>394</v>
      </c>
      <c r="E5296" s="534">
        <v>790.72726699999998</v>
      </c>
    </row>
    <row r="5297" spans="2:5" x14ac:dyDescent="0.2">
      <c r="B5297" s="533">
        <v>6480</v>
      </c>
      <c r="C5297" s="533" t="s">
        <v>3052</v>
      </c>
      <c r="D5297" s="656" t="s">
        <v>394</v>
      </c>
      <c r="E5297" s="534">
        <v>770.442858</v>
      </c>
    </row>
    <row r="5298" spans="2:5" x14ac:dyDescent="0.2">
      <c r="B5298" s="533">
        <v>6481</v>
      </c>
      <c r="C5298" s="533" t="s">
        <v>4958</v>
      </c>
      <c r="D5298" s="656" t="s">
        <v>394</v>
      </c>
      <c r="E5298" s="534">
        <v>818.79998799999998</v>
      </c>
    </row>
    <row r="5299" spans="2:5" x14ac:dyDescent="0.2">
      <c r="B5299" s="533">
        <v>6482</v>
      </c>
      <c r="C5299" s="533" t="s">
        <v>1195</v>
      </c>
      <c r="D5299" s="656" t="s">
        <v>394</v>
      </c>
      <c r="E5299" s="534">
        <v>728.48462400000005</v>
      </c>
    </row>
    <row r="5300" spans="2:5" x14ac:dyDescent="0.2">
      <c r="B5300" s="533">
        <v>6483</v>
      </c>
      <c r="C5300" s="533" t="s">
        <v>3129</v>
      </c>
      <c r="D5300" s="656" t="s">
        <v>394</v>
      </c>
      <c r="E5300" s="534">
        <v>875.50908900000002</v>
      </c>
    </row>
    <row r="5301" spans="2:5" x14ac:dyDescent="0.2">
      <c r="B5301" s="533">
        <v>6484</v>
      </c>
      <c r="C5301" s="533" t="s">
        <v>3726</v>
      </c>
      <c r="D5301" s="656" t="s">
        <v>394</v>
      </c>
      <c r="E5301" s="534">
        <v>729.02000099999998</v>
      </c>
    </row>
    <row r="5302" spans="2:5" x14ac:dyDescent="0.2">
      <c r="B5302" s="533">
        <v>6485</v>
      </c>
      <c r="C5302" s="533" t="s">
        <v>4571</v>
      </c>
      <c r="D5302" s="656" t="s">
        <v>394</v>
      </c>
      <c r="E5302" s="534">
        <v>786.49999500000001</v>
      </c>
    </row>
    <row r="5303" spans="2:5" x14ac:dyDescent="0.2">
      <c r="B5303" s="533">
        <v>6486</v>
      </c>
      <c r="C5303" s="533" t="s">
        <v>7014</v>
      </c>
      <c r="D5303" s="656" t="s">
        <v>394</v>
      </c>
      <c r="E5303" s="534">
        <v>828.07727299999999</v>
      </c>
    </row>
    <row r="5304" spans="2:5" x14ac:dyDescent="0.2">
      <c r="B5304" s="533">
        <v>6487</v>
      </c>
      <c r="C5304" s="533" t="s">
        <v>4281</v>
      </c>
      <c r="D5304" s="656" t="s">
        <v>394</v>
      </c>
      <c r="E5304" s="534">
        <v>763.72726999999998</v>
      </c>
    </row>
    <row r="5305" spans="2:5" x14ac:dyDescent="0.2">
      <c r="B5305" s="533">
        <v>6488</v>
      </c>
      <c r="C5305" s="533" t="s">
        <v>4848</v>
      </c>
      <c r="D5305" s="656" t="s">
        <v>394</v>
      </c>
      <c r="E5305" s="534">
        <v>807.70001200000002</v>
      </c>
    </row>
    <row r="5306" spans="2:5" x14ac:dyDescent="0.2">
      <c r="B5306" s="533">
        <v>6489</v>
      </c>
      <c r="C5306" s="533" t="s">
        <v>7423</v>
      </c>
      <c r="D5306" s="656" t="s">
        <v>394</v>
      </c>
      <c r="E5306" s="534">
        <v>794.82856100000004</v>
      </c>
    </row>
    <row r="5307" spans="2:5" x14ac:dyDescent="0.2">
      <c r="B5307" s="533">
        <v>6490</v>
      </c>
      <c r="C5307" s="533" t="s">
        <v>4141</v>
      </c>
      <c r="D5307" s="656" t="s">
        <v>394</v>
      </c>
      <c r="E5307" s="534">
        <v>754</v>
      </c>
    </row>
    <row r="5308" spans="2:5" x14ac:dyDescent="0.2">
      <c r="B5308" s="533">
        <v>6491</v>
      </c>
      <c r="C5308" s="533" t="s">
        <v>3468</v>
      </c>
      <c r="D5308" s="656" t="s">
        <v>394</v>
      </c>
      <c r="E5308" s="534">
        <v>714.73333700000001</v>
      </c>
    </row>
    <row r="5309" spans="2:5" x14ac:dyDescent="0.2">
      <c r="B5309" s="533">
        <v>6492</v>
      </c>
      <c r="C5309" s="533" t="s">
        <v>1562</v>
      </c>
      <c r="D5309" s="656" t="s">
        <v>394</v>
      </c>
      <c r="E5309" s="534">
        <v>772.74166400000001</v>
      </c>
    </row>
    <row r="5310" spans="2:5" x14ac:dyDescent="0.2">
      <c r="B5310" s="533">
        <v>6501</v>
      </c>
      <c r="C5310" s="533" t="s">
        <v>5184</v>
      </c>
      <c r="D5310" s="656" t="s">
        <v>394</v>
      </c>
      <c r="E5310" s="534">
        <v>844.76250100000004</v>
      </c>
    </row>
    <row r="5311" spans="2:5" x14ac:dyDescent="0.2">
      <c r="B5311" s="533">
        <v>6502</v>
      </c>
      <c r="C5311" s="533" t="s">
        <v>2760</v>
      </c>
      <c r="D5311" s="656" t="s">
        <v>394</v>
      </c>
      <c r="E5311" s="534">
        <v>881.63500099999999</v>
      </c>
    </row>
    <row r="5312" spans="2:5" x14ac:dyDescent="0.2">
      <c r="B5312" s="533">
        <v>6503</v>
      </c>
      <c r="C5312" s="533" t="s">
        <v>5603</v>
      </c>
      <c r="D5312" s="656" t="s">
        <v>394</v>
      </c>
      <c r="E5312" s="534">
        <v>914.64999399999999</v>
      </c>
    </row>
    <row r="5313" spans="2:5" x14ac:dyDescent="0.2">
      <c r="B5313" s="533">
        <v>6504</v>
      </c>
      <c r="C5313" s="533" t="s">
        <v>7286</v>
      </c>
      <c r="D5313" s="656" t="s">
        <v>394</v>
      </c>
      <c r="E5313" s="534">
        <v>893.77777800000001</v>
      </c>
    </row>
    <row r="5314" spans="2:5" x14ac:dyDescent="0.2">
      <c r="B5314" s="533">
        <v>6505</v>
      </c>
      <c r="C5314" s="533" t="s">
        <v>5628</v>
      </c>
      <c r="D5314" s="656" t="s">
        <v>394</v>
      </c>
      <c r="E5314" s="534">
        <v>920.62500799999998</v>
      </c>
    </row>
    <row r="5315" spans="2:5" x14ac:dyDescent="0.2">
      <c r="B5315" s="533">
        <v>6506</v>
      </c>
      <c r="C5315" s="533" t="s">
        <v>5477</v>
      </c>
      <c r="D5315" s="656" t="s">
        <v>394</v>
      </c>
      <c r="E5315" s="534">
        <v>893.78333499999997</v>
      </c>
    </row>
    <row r="5316" spans="2:5" x14ac:dyDescent="0.2">
      <c r="B5316" s="533">
        <v>6507</v>
      </c>
      <c r="C5316" s="533" t="s">
        <v>5490</v>
      </c>
      <c r="D5316" s="656" t="s">
        <v>394</v>
      </c>
      <c r="E5316" s="534">
        <v>895.89091399999995</v>
      </c>
    </row>
    <row r="5317" spans="2:5" x14ac:dyDescent="0.2">
      <c r="B5317" s="533">
        <v>6508</v>
      </c>
      <c r="C5317" s="533" t="s">
        <v>5535</v>
      </c>
      <c r="D5317" s="656" t="s">
        <v>394</v>
      </c>
      <c r="E5317" s="534">
        <v>902.64545799999996</v>
      </c>
    </row>
    <row r="5318" spans="2:5" x14ac:dyDescent="0.2">
      <c r="B5318" s="533">
        <v>6509</v>
      </c>
      <c r="C5318" s="533" t="s">
        <v>5510</v>
      </c>
      <c r="D5318" s="656" t="s">
        <v>394</v>
      </c>
      <c r="E5318" s="534">
        <v>898.54444699999999</v>
      </c>
    </row>
    <row r="5319" spans="2:5" x14ac:dyDescent="0.2">
      <c r="B5319" s="533">
        <v>6510</v>
      </c>
      <c r="C5319" s="533" t="s">
        <v>5484</v>
      </c>
      <c r="D5319" s="656" t="s">
        <v>394</v>
      </c>
      <c r="E5319" s="534">
        <v>894.39999399999999</v>
      </c>
    </row>
    <row r="5320" spans="2:5" x14ac:dyDescent="0.2">
      <c r="B5320" s="533">
        <v>6511</v>
      </c>
      <c r="C5320" s="533" t="s">
        <v>5424</v>
      </c>
      <c r="D5320" s="656" t="s">
        <v>394</v>
      </c>
      <c r="E5320" s="534">
        <v>884.59999900000003</v>
      </c>
    </row>
    <row r="5321" spans="2:5" x14ac:dyDescent="0.2">
      <c r="B5321" s="533">
        <v>6512</v>
      </c>
      <c r="C5321" s="533" t="s">
        <v>5273</v>
      </c>
      <c r="D5321" s="656" t="s">
        <v>394</v>
      </c>
      <c r="E5321" s="534">
        <v>858.46499900000003</v>
      </c>
    </row>
    <row r="5322" spans="2:5" x14ac:dyDescent="0.2">
      <c r="B5322" s="533">
        <v>6513</v>
      </c>
      <c r="C5322" s="533" t="s">
        <v>7213</v>
      </c>
      <c r="D5322" s="656" t="s">
        <v>394</v>
      </c>
      <c r="E5322" s="534">
        <v>817.70555300000001</v>
      </c>
    </row>
    <row r="5323" spans="2:5" x14ac:dyDescent="0.2">
      <c r="B5323" s="533">
        <v>6514</v>
      </c>
      <c r="C5323" s="533" t="s">
        <v>4825</v>
      </c>
      <c r="D5323" s="656" t="s">
        <v>394</v>
      </c>
      <c r="E5323" s="534">
        <v>806.38888499999996</v>
      </c>
    </row>
    <row r="5324" spans="2:5" x14ac:dyDescent="0.2">
      <c r="B5324" s="533">
        <v>6515</v>
      </c>
      <c r="C5324" s="533" t="s">
        <v>5581</v>
      </c>
      <c r="D5324" s="656" t="s">
        <v>394</v>
      </c>
      <c r="E5324" s="534">
        <v>909.87777400000004</v>
      </c>
    </row>
    <row r="5325" spans="2:5" x14ac:dyDescent="0.2">
      <c r="B5325" s="533">
        <v>6516</v>
      </c>
      <c r="C5325" s="533" t="s">
        <v>5470</v>
      </c>
      <c r="D5325" s="656" t="s">
        <v>394</v>
      </c>
      <c r="E5325" s="534">
        <v>893.20000300000004</v>
      </c>
    </row>
    <row r="5326" spans="2:5" x14ac:dyDescent="0.2">
      <c r="B5326" s="533">
        <v>6517</v>
      </c>
      <c r="C5326" s="533" t="s">
        <v>5356</v>
      </c>
      <c r="D5326" s="656" t="s">
        <v>394</v>
      </c>
      <c r="E5326" s="534">
        <v>873.53999599999997</v>
      </c>
    </row>
    <row r="5327" spans="2:5" x14ac:dyDescent="0.2">
      <c r="B5327" s="533">
        <v>6518</v>
      </c>
      <c r="C5327" s="533" t="s">
        <v>874</v>
      </c>
      <c r="D5327" s="656" t="s">
        <v>394</v>
      </c>
      <c r="E5327" s="534">
        <v>856.02000299999997</v>
      </c>
    </row>
    <row r="5328" spans="2:5" x14ac:dyDescent="0.2">
      <c r="B5328" s="533">
        <v>6519</v>
      </c>
      <c r="C5328" s="533" t="s">
        <v>5203</v>
      </c>
      <c r="D5328" s="656" t="s">
        <v>394</v>
      </c>
      <c r="E5328" s="534">
        <v>847.04167199999995</v>
      </c>
    </row>
    <row r="5329" spans="2:5" x14ac:dyDescent="0.2">
      <c r="B5329" s="533">
        <v>6520</v>
      </c>
      <c r="C5329" s="533" t="s">
        <v>4999</v>
      </c>
      <c r="D5329" s="656" t="s">
        <v>394</v>
      </c>
      <c r="E5329" s="534">
        <v>823.76666999999998</v>
      </c>
    </row>
    <row r="5330" spans="2:5" x14ac:dyDescent="0.2">
      <c r="B5330" s="533">
        <v>6521</v>
      </c>
      <c r="C5330" s="533" t="s">
        <v>4907</v>
      </c>
      <c r="D5330" s="656" t="s">
        <v>388</v>
      </c>
      <c r="E5330" s="534">
        <v>813.88750500000003</v>
      </c>
    </row>
    <row r="5331" spans="2:5" x14ac:dyDescent="0.2">
      <c r="B5331" s="533">
        <v>6522</v>
      </c>
      <c r="C5331" s="533" t="s">
        <v>7027</v>
      </c>
      <c r="D5331" s="656" t="s">
        <v>388</v>
      </c>
      <c r="E5331" s="534">
        <v>837.79998799999998</v>
      </c>
    </row>
    <row r="5332" spans="2:5" x14ac:dyDescent="0.2">
      <c r="B5332" s="533">
        <v>6523</v>
      </c>
      <c r="C5332" s="533" t="s">
        <v>5064</v>
      </c>
      <c r="D5332" s="656" t="s">
        <v>388</v>
      </c>
      <c r="E5332" s="534">
        <v>830.82777199999998</v>
      </c>
    </row>
    <row r="5333" spans="2:5" x14ac:dyDescent="0.2">
      <c r="B5333" s="533">
        <v>6524</v>
      </c>
      <c r="C5333" s="533" t="s">
        <v>2646</v>
      </c>
      <c r="D5333" s="656" t="s">
        <v>388</v>
      </c>
      <c r="E5333" s="534">
        <v>748.588888</v>
      </c>
    </row>
    <row r="5334" spans="2:5" x14ac:dyDescent="0.2">
      <c r="B5334" s="533">
        <v>6525</v>
      </c>
      <c r="C5334" s="533" t="s">
        <v>7570</v>
      </c>
      <c r="D5334" s="656" t="s">
        <v>388</v>
      </c>
      <c r="E5334" s="534">
        <v>739.95881599999996</v>
      </c>
    </row>
    <row r="5335" spans="2:5" x14ac:dyDescent="0.2">
      <c r="B5335" s="533">
        <v>6526</v>
      </c>
      <c r="C5335" s="533" t="s">
        <v>4097</v>
      </c>
      <c r="D5335" s="656" t="s">
        <v>388</v>
      </c>
      <c r="E5335" s="534">
        <v>751.09999600000003</v>
      </c>
    </row>
    <row r="5336" spans="2:5" x14ac:dyDescent="0.2">
      <c r="B5336" s="533">
        <v>6527</v>
      </c>
      <c r="C5336" s="533" t="s">
        <v>6500</v>
      </c>
      <c r="D5336" s="656" t="s">
        <v>388</v>
      </c>
      <c r="E5336" s="534">
        <v>715.5</v>
      </c>
    </row>
    <row r="5337" spans="2:5" x14ac:dyDescent="0.2">
      <c r="B5337" s="533">
        <v>6528</v>
      </c>
      <c r="C5337" s="533" t="s">
        <v>4359</v>
      </c>
      <c r="D5337" s="656" t="s">
        <v>388</v>
      </c>
      <c r="E5337" s="534">
        <v>769.63478199999997</v>
      </c>
    </row>
    <row r="5338" spans="2:5" x14ac:dyDescent="0.2">
      <c r="B5338" s="533">
        <v>6529</v>
      </c>
      <c r="C5338" s="533" t="s">
        <v>7102</v>
      </c>
      <c r="D5338" s="656" t="s">
        <v>388</v>
      </c>
      <c r="E5338" s="534">
        <v>753.76250100000004</v>
      </c>
    </row>
    <row r="5339" spans="2:5" x14ac:dyDescent="0.2">
      <c r="B5339" s="533">
        <v>6530</v>
      </c>
      <c r="C5339" s="533" t="s">
        <v>3948</v>
      </c>
      <c r="D5339" s="656" t="s">
        <v>388</v>
      </c>
      <c r="E5339" s="534">
        <v>742.22941300000002</v>
      </c>
    </row>
    <row r="5340" spans="2:5" x14ac:dyDescent="0.2">
      <c r="B5340" s="533">
        <v>6531</v>
      </c>
      <c r="C5340" s="533" t="s">
        <v>3536</v>
      </c>
      <c r="D5340" s="656" t="s">
        <v>388</v>
      </c>
      <c r="E5340" s="534">
        <v>718.61249499999997</v>
      </c>
    </row>
    <row r="5341" spans="2:5" x14ac:dyDescent="0.2">
      <c r="B5341" s="533">
        <v>6532</v>
      </c>
      <c r="C5341" s="533" t="s">
        <v>3000</v>
      </c>
      <c r="D5341" s="656" t="s">
        <v>388</v>
      </c>
      <c r="E5341" s="534">
        <v>714.15625</v>
      </c>
    </row>
    <row r="5342" spans="2:5" x14ac:dyDescent="0.2">
      <c r="B5342" s="533">
        <v>6533</v>
      </c>
      <c r="C5342" s="533" t="s">
        <v>3790</v>
      </c>
      <c r="D5342" s="656" t="s">
        <v>388</v>
      </c>
      <c r="E5342" s="534">
        <v>732.57894699999997</v>
      </c>
    </row>
    <row r="5343" spans="2:5" x14ac:dyDescent="0.2">
      <c r="B5343" s="533">
        <v>6534</v>
      </c>
      <c r="C5343" s="533" t="s">
        <v>3810</v>
      </c>
      <c r="D5343" s="656" t="s">
        <v>388</v>
      </c>
      <c r="E5343" s="534">
        <v>733.89090799999997</v>
      </c>
    </row>
    <row r="5344" spans="2:5" x14ac:dyDescent="0.2">
      <c r="B5344" s="533">
        <v>6535</v>
      </c>
      <c r="C5344" s="533" t="s">
        <v>7612</v>
      </c>
      <c r="D5344" s="656" t="s">
        <v>388</v>
      </c>
      <c r="E5344" s="534">
        <v>724.14999399999999</v>
      </c>
    </row>
    <row r="5345" spans="2:5" x14ac:dyDescent="0.2">
      <c r="B5345" s="533">
        <v>6536</v>
      </c>
      <c r="C5345" s="533" t="s">
        <v>3800</v>
      </c>
      <c r="D5345" s="656" t="s">
        <v>388</v>
      </c>
      <c r="E5345" s="534">
        <v>733.37857499999996</v>
      </c>
    </row>
    <row r="5346" spans="2:5" x14ac:dyDescent="0.2">
      <c r="B5346" s="533">
        <v>6537</v>
      </c>
      <c r="C5346" s="533" t="s">
        <v>3755</v>
      </c>
      <c r="D5346" s="656" t="s">
        <v>388</v>
      </c>
      <c r="E5346" s="534">
        <v>730.85385799999995</v>
      </c>
    </row>
    <row r="5347" spans="2:5" x14ac:dyDescent="0.2">
      <c r="B5347" s="533">
        <v>6551</v>
      </c>
      <c r="C5347" s="533" t="s">
        <v>4328</v>
      </c>
      <c r="D5347" s="656" t="s">
        <v>387</v>
      </c>
      <c r="E5347" s="534">
        <v>767.28750600000001</v>
      </c>
    </row>
    <row r="5348" spans="2:5" x14ac:dyDescent="0.2">
      <c r="B5348" s="533">
        <v>6552</v>
      </c>
      <c r="C5348" s="533" t="s">
        <v>4010</v>
      </c>
      <c r="D5348" s="656" t="s">
        <v>387</v>
      </c>
      <c r="E5348" s="534">
        <v>746.27222400000005</v>
      </c>
    </row>
    <row r="5349" spans="2:5" x14ac:dyDescent="0.2">
      <c r="B5349" s="533">
        <v>6553</v>
      </c>
      <c r="C5349" s="533" t="s">
        <v>4119</v>
      </c>
      <c r="D5349" s="656" t="s">
        <v>387</v>
      </c>
      <c r="E5349" s="534">
        <v>752.41999499999997</v>
      </c>
    </row>
    <row r="5350" spans="2:5" x14ac:dyDescent="0.2">
      <c r="B5350" s="533">
        <v>6554</v>
      </c>
      <c r="C5350" s="533" t="s">
        <v>4012</v>
      </c>
      <c r="D5350" s="656" t="s">
        <v>387</v>
      </c>
      <c r="E5350" s="534">
        <v>746.52500199999997</v>
      </c>
    </row>
    <row r="5351" spans="2:5" x14ac:dyDescent="0.2">
      <c r="B5351" s="533">
        <v>6555</v>
      </c>
      <c r="C5351" s="533" t="s">
        <v>3940</v>
      </c>
      <c r="D5351" s="656" t="s">
        <v>387</v>
      </c>
      <c r="E5351" s="534">
        <v>741.53125</v>
      </c>
    </row>
    <row r="5352" spans="2:5" x14ac:dyDescent="0.2">
      <c r="B5352" s="533">
        <v>6556</v>
      </c>
      <c r="C5352" s="533" t="s">
        <v>4092</v>
      </c>
      <c r="D5352" s="656" t="s">
        <v>387</v>
      </c>
      <c r="E5352" s="534">
        <v>750.98181699999998</v>
      </c>
    </row>
    <row r="5353" spans="2:5" x14ac:dyDescent="0.2">
      <c r="B5353" s="533">
        <v>6557</v>
      </c>
      <c r="C5353" s="533" t="s">
        <v>3534</v>
      </c>
      <c r="D5353" s="656" t="s">
        <v>387</v>
      </c>
      <c r="E5353" s="534">
        <v>718.561106</v>
      </c>
    </row>
    <row r="5354" spans="2:5" x14ac:dyDescent="0.2">
      <c r="B5354" s="533">
        <v>6558</v>
      </c>
      <c r="C5354" s="533" t="s">
        <v>3371</v>
      </c>
      <c r="D5354" s="656" t="s">
        <v>387</v>
      </c>
      <c r="E5354" s="534">
        <v>709.85333300000002</v>
      </c>
    </row>
    <row r="5355" spans="2:5" x14ac:dyDescent="0.2">
      <c r="B5355" s="533">
        <v>6559</v>
      </c>
      <c r="C5355" s="533" t="s">
        <v>3723</v>
      </c>
      <c r="D5355" s="656" t="s">
        <v>387</v>
      </c>
      <c r="E5355" s="534">
        <v>728.77500899999995</v>
      </c>
    </row>
    <row r="5356" spans="2:5" x14ac:dyDescent="0.2">
      <c r="B5356" s="533">
        <v>6560</v>
      </c>
      <c r="C5356" s="533" t="s">
        <v>3701</v>
      </c>
      <c r="D5356" s="656" t="s">
        <v>387</v>
      </c>
      <c r="E5356" s="534">
        <v>727.67777799999999</v>
      </c>
    </row>
    <row r="5357" spans="2:5" x14ac:dyDescent="0.2">
      <c r="B5357" s="533">
        <v>6561</v>
      </c>
      <c r="C5357" s="533" t="s">
        <v>3986</v>
      </c>
      <c r="D5357" s="656" t="s">
        <v>387</v>
      </c>
      <c r="E5357" s="534">
        <v>744.52499399999999</v>
      </c>
    </row>
    <row r="5358" spans="2:5" x14ac:dyDescent="0.2">
      <c r="B5358" s="533">
        <v>6562</v>
      </c>
      <c r="C5358" s="533" t="s">
        <v>4157</v>
      </c>
      <c r="D5358" s="656" t="s">
        <v>387</v>
      </c>
      <c r="E5358" s="534">
        <v>755.28571399999998</v>
      </c>
    </row>
    <row r="5359" spans="2:5" x14ac:dyDescent="0.2">
      <c r="B5359" s="533">
        <v>6563</v>
      </c>
      <c r="C5359" s="533" t="s">
        <v>3792</v>
      </c>
      <c r="D5359" s="656" t="s">
        <v>387</v>
      </c>
      <c r="E5359" s="534">
        <v>733.06470400000001</v>
      </c>
    </row>
    <row r="5360" spans="2:5" x14ac:dyDescent="0.2">
      <c r="B5360" s="533">
        <v>6564</v>
      </c>
      <c r="C5360" s="533" t="s">
        <v>4316</v>
      </c>
      <c r="D5360" s="656" t="s">
        <v>387</v>
      </c>
      <c r="E5360" s="534">
        <v>766.822225</v>
      </c>
    </row>
    <row r="5361" spans="2:5" x14ac:dyDescent="0.2">
      <c r="B5361" s="533">
        <v>6565</v>
      </c>
      <c r="C5361" s="533" t="s">
        <v>4064</v>
      </c>
      <c r="D5361" s="656" t="s">
        <v>387</v>
      </c>
      <c r="E5361" s="534">
        <v>749.57691799999998</v>
      </c>
    </row>
    <row r="5362" spans="2:5" x14ac:dyDescent="0.2">
      <c r="B5362" s="533">
        <v>6566</v>
      </c>
      <c r="C5362" s="533" t="s">
        <v>3440</v>
      </c>
      <c r="D5362" s="656" t="s">
        <v>387</v>
      </c>
      <c r="E5362" s="534">
        <v>713.24736900000005</v>
      </c>
    </row>
    <row r="5363" spans="2:5" x14ac:dyDescent="0.2">
      <c r="B5363" s="533">
        <v>6567</v>
      </c>
      <c r="C5363" s="533" t="s">
        <v>3664</v>
      </c>
      <c r="D5363" s="656" t="s">
        <v>387</v>
      </c>
      <c r="E5363" s="534">
        <v>725.74737200000004</v>
      </c>
    </row>
    <row r="5364" spans="2:5" x14ac:dyDescent="0.2">
      <c r="B5364" s="533">
        <v>6568</v>
      </c>
      <c r="C5364" s="533" t="s">
        <v>7530</v>
      </c>
      <c r="D5364" s="656" t="s">
        <v>387</v>
      </c>
      <c r="E5364" s="534">
        <v>722.41999499999997</v>
      </c>
    </row>
    <row r="5365" spans="2:5" x14ac:dyDescent="0.2">
      <c r="B5365" s="533">
        <v>6569</v>
      </c>
      <c r="C5365" s="533" t="s">
        <v>4047</v>
      </c>
      <c r="D5365" s="656" t="s">
        <v>387</v>
      </c>
      <c r="E5365" s="534">
        <v>748.663635</v>
      </c>
    </row>
    <row r="5366" spans="2:5" x14ac:dyDescent="0.2">
      <c r="B5366" s="533">
        <v>6570</v>
      </c>
      <c r="C5366" s="533" t="s">
        <v>3624</v>
      </c>
      <c r="D5366" s="656" t="s">
        <v>387</v>
      </c>
      <c r="E5366" s="534">
        <v>723.67999299999997</v>
      </c>
    </row>
    <row r="5367" spans="2:5" x14ac:dyDescent="0.2">
      <c r="B5367" s="533">
        <v>6571</v>
      </c>
      <c r="C5367" s="533" t="s">
        <v>4032</v>
      </c>
      <c r="D5367" s="656" t="s">
        <v>387</v>
      </c>
      <c r="E5367" s="534">
        <v>747.42856300000005</v>
      </c>
    </row>
    <row r="5368" spans="2:5" x14ac:dyDescent="0.2">
      <c r="B5368" s="533">
        <v>6572</v>
      </c>
      <c r="C5368" s="533" t="s">
        <v>3395</v>
      </c>
      <c r="D5368" s="656" t="s">
        <v>387</v>
      </c>
      <c r="E5368" s="534">
        <v>711.25000299999999</v>
      </c>
    </row>
    <row r="5369" spans="2:5" x14ac:dyDescent="0.2">
      <c r="B5369" s="533">
        <v>6573</v>
      </c>
      <c r="C5369" s="533" t="s">
        <v>3464</v>
      </c>
      <c r="D5369" s="656" t="s">
        <v>387</v>
      </c>
      <c r="E5369" s="534">
        <v>714.46667500000001</v>
      </c>
    </row>
    <row r="5370" spans="2:5" x14ac:dyDescent="0.2">
      <c r="B5370" s="533">
        <v>6574</v>
      </c>
      <c r="C5370" s="533" t="s">
        <v>3086</v>
      </c>
      <c r="D5370" s="656" t="s">
        <v>387</v>
      </c>
      <c r="E5370" s="534">
        <v>695.65999799999997</v>
      </c>
    </row>
    <row r="5371" spans="2:5" x14ac:dyDescent="0.2">
      <c r="B5371" s="533">
        <v>6575</v>
      </c>
      <c r="C5371" s="533" t="s">
        <v>3343</v>
      </c>
      <c r="D5371" s="656" t="s">
        <v>387</v>
      </c>
      <c r="E5371" s="534">
        <v>708.69166600000005</v>
      </c>
    </row>
    <row r="5372" spans="2:5" x14ac:dyDescent="0.2">
      <c r="B5372" s="533">
        <v>6576</v>
      </c>
      <c r="C5372" s="533" t="s">
        <v>3813</v>
      </c>
      <c r="D5372" s="656" t="s">
        <v>387</v>
      </c>
      <c r="E5372" s="534">
        <v>733.97999300000004</v>
      </c>
    </row>
    <row r="5373" spans="2:5" x14ac:dyDescent="0.2">
      <c r="B5373" s="533">
        <v>6577</v>
      </c>
      <c r="C5373" s="533" t="s">
        <v>3750</v>
      </c>
      <c r="D5373" s="656" t="s">
        <v>387</v>
      </c>
      <c r="E5373" s="534">
        <v>730.56427900000006</v>
      </c>
    </row>
    <row r="5374" spans="2:5" x14ac:dyDescent="0.2">
      <c r="B5374" s="533">
        <v>6578</v>
      </c>
      <c r="C5374" s="533" t="s">
        <v>3615</v>
      </c>
      <c r="D5374" s="656" t="s">
        <v>387</v>
      </c>
      <c r="E5374" s="534">
        <v>723.31818699999997</v>
      </c>
    </row>
    <row r="5375" spans="2:5" x14ac:dyDescent="0.2">
      <c r="B5375" s="533">
        <v>6579</v>
      </c>
      <c r="C5375" s="533" t="s">
        <v>4270</v>
      </c>
      <c r="D5375" s="656" t="s">
        <v>387</v>
      </c>
      <c r="E5375" s="534">
        <v>763.44445099999996</v>
      </c>
    </row>
    <row r="5376" spans="2:5" x14ac:dyDescent="0.2">
      <c r="B5376" s="533">
        <v>6580</v>
      </c>
      <c r="C5376" s="533" t="s">
        <v>7148</v>
      </c>
      <c r="D5376" s="656" t="s">
        <v>387</v>
      </c>
      <c r="E5376" s="534">
        <v>759.26999499999999</v>
      </c>
    </row>
    <row r="5377" spans="2:5" x14ac:dyDescent="0.2">
      <c r="B5377" s="533">
        <v>6581</v>
      </c>
      <c r="C5377" s="533" t="s">
        <v>7271</v>
      </c>
      <c r="D5377" s="656" t="s">
        <v>387</v>
      </c>
      <c r="E5377" s="534">
        <v>730.259998</v>
      </c>
    </row>
    <row r="5378" spans="2:5" x14ac:dyDescent="0.2">
      <c r="B5378" s="533">
        <v>6582</v>
      </c>
      <c r="C5378" s="533" t="s">
        <v>4136</v>
      </c>
      <c r="D5378" s="656" t="s">
        <v>387</v>
      </c>
      <c r="E5378" s="534">
        <v>753.65000599999996</v>
      </c>
    </row>
    <row r="5379" spans="2:5" x14ac:dyDescent="0.2">
      <c r="B5379" s="533">
        <v>6583</v>
      </c>
      <c r="C5379" s="533" t="s">
        <v>4013</v>
      </c>
      <c r="D5379" s="656" t="s">
        <v>387</v>
      </c>
      <c r="E5379" s="534">
        <v>746.58749799999998</v>
      </c>
    </row>
    <row r="5380" spans="2:5" x14ac:dyDescent="0.2">
      <c r="B5380" s="533">
        <v>6584</v>
      </c>
      <c r="C5380" s="533" t="s">
        <v>3609</v>
      </c>
      <c r="D5380" s="656" t="s">
        <v>387</v>
      </c>
      <c r="E5380" s="534">
        <v>722.88181899999995</v>
      </c>
    </row>
    <row r="5381" spans="2:5" x14ac:dyDescent="0.2">
      <c r="B5381" s="533">
        <v>6585</v>
      </c>
      <c r="C5381" s="533" t="s">
        <v>3454</v>
      </c>
      <c r="D5381" s="656" t="s">
        <v>387</v>
      </c>
      <c r="E5381" s="534">
        <v>714.03332499999999</v>
      </c>
    </row>
    <row r="5382" spans="2:5" x14ac:dyDescent="0.2">
      <c r="B5382" s="533">
        <v>6586</v>
      </c>
      <c r="C5382" s="533" t="s">
        <v>3713</v>
      </c>
      <c r="D5382" s="656" t="s">
        <v>387</v>
      </c>
      <c r="E5382" s="534">
        <v>728.38888899999995</v>
      </c>
    </row>
    <row r="5383" spans="2:5" x14ac:dyDescent="0.2">
      <c r="B5383" s="533">
        <v>6587</v>
      </c>
      <c r="C5383" s="533" t="s">
        <v>3941</v>
      </c>
      <c r="D5383" s="656" t="s">
        <v>387</v>
      </c>
      <c r="E5383" s="534">
        <v>741.54782799999998</v>
      </c>
    </row>
    <row r="5384" spans="2:5" x14ac:dyDescent="0.2">
      <c r="B5384" s="533">
        <v>6588</v>
      </c>
      <c r="C5384" s="533" t="s">
        <v>3245</v>
      </c>
      <c r="D5384" s="656" t="s">
        <v>387</v>
      </c>
      <c r="E5384" s="534">
        <v>703.421426</v>
      </c>
    </row>
    <row r="5385" spans="2:5" x14ac:dyDescent="0.2">
      <c r="B5385" s="533">
        <v>6589</v>
      </c>
      <c r="C5385" s="533" t="s">
        <v>3483</v>
      </c>
      <c r="D5385" s="656" t="s">
        <v>387</v>
      </c>
      <c r="E5385" s="534">
        <v>715.65000399999997</v>
      </c>
    </row>
    <row r="5386" spans="2:5" x14ac:dyDescent="0.2">
      <c r="B5386" s="533">
        <v>6590</v>
      </c>
      <c r="C5386" s="533" t="s">
        <v>3065</v>
      </c>
      <c r="D5386" s="656" t="s">
        <v>387</v>
      </c>
      <c r="E5386" s="534">
        <v>694.64999899999998</v>
      </c>
    </row>
    <row r="5387" spans="2:5" x14ac:dyDescent="0.2">
      <c r="B5387" s="533">
        <v>6591</v>
      </c>
      <c r="C5387" s="533" t="s">
        <v>3064</v>
      </c>
      <c r="D5387" s="656" t="s">
        <v>387</v>
      </c>
      <c r="E5387" s="534">
        <v>694.62306599999999</v>
      </c>
    </row>
    <row r="5388" spans="2:5" x14ac:dyDescent="0.2">
      <c r="B5388" s="533">
        <v>6592</v>
      </c>
      <c r="C5388" s="533" t="s">
        <v>1035</v>
      </c>
      <c r="D5388" s="656" t="s">
        <v>387</v>
      </c>
      <c r="E5388" s="534">
        <v>693.94999900000005</v>
      </c>
    </row>
    <row r="5389" spans="2:5" x14ac:dyDescent="0.2">
      <c r="B5389" s="533">
        <v>6593</v>
      </c>
      <c r="C5389" s="533" t="s">
        <v>2743</v>
      </c>
      <c r="D5389" s="656" t="s">
        <v>387</v>
      </c>
      <c r="E5389" s="534">
        <v>678.44166600000005</v>
      </c>
    </row>
    <row r="5390" spans="2:5" x14ac:dyDescent="0.2">
      <c r="B5390" s="533">
        <v>6594</v>
      </c>
      <c r="C5390" s="533" t="s">
        <v>2655</v>
      </c>
      <c r="D5390" s="656" t="s">
        <v>387</v>
      </c>
      <c r="E5390" s="534">
        <v>674.39000199999998</v>
      </c>
    </row>
    <row r="5391" spans="2:5" x14ac:dyDescent="0.2">
      <c r="B5391" s="533">
        <v>6595</v>
      </c>
      <c r="C5391" s="533" t="s">
        <v>3640</v>
      </c>
      <c r="D5391" s="656" t="s">
        <v>387</v>
      </c>
      <c r="E5391" s="534">
        <v>724.39999799999998</v>
      </c>
    </row>
    <row r="5392" spans="2:5" x14ac:dyDescent="0.2">
      <c r="B5392" s="533">
        <v>6596</v>
      </c>
      <c r="C5392" s="533" t="s">
        <v>2703</v>
      </c>
      <c r="D5392" s="656" t="s">
        <v>387</v>
      </c>
      <c r="E5392" s="534">
        <v>676.40001400000006</v>
      </c>
    </row>
    <row r="5393" spans="2:5" x14ac:dyDescent="0.2">
      <c r="B5393" s="533">
        <v>6597</v>
      </c>
      <c r="C5393" s="533" t="s">
        <v>6836</v>
      </c>
      <c r="D5393" s="656" t="s">
        <v>387</v>
      </c>
      <c r="E5393" s="534">
        <v>676.67143899999996</v>
      </c>
    </row>
    <row r="5394" spans="2:5" x14ac:dyDescent="0.2">
      <c r="B5394" s="533">
        <v>6598</v>
      </c>
      <c r="C5394" s="533" t="s">
        <v>7264</v>
      </c>
      <c r="D5394" s="656" t="s">
        <v>387</v>
      </c>
      <c r="E5394" s="534">
        <v>733.85383999999999</v>
      </c>
    </row>
    <row r="5395" spans="2:5" x14ac:dyDescent="0.2">
      <c r="B5395" s="533">
        <v>6599</v>
      </c>
      <c r="C5395" s="533" t="s">
        <v>3284</v>
      </c>
      <c r="D5395" s="656" t="s">
        <v>387</v>
      </c>
      <c r="E5395" s="534">
        <v>705.38334099999997</v>
      </c>
    </row>
    <row r="5396" spans="2:5" x14ac:dyDescent="0.2">
      <c r="B5396" s="533">
        <v>6600</v>
      </c>
      <c r="C5396" s="533" t="s">
        <v>3921</v>
      </c>
      <c r="D5396" s="656" t="s">
        <v>387</v>
      </c>
      <c r="E5396" s="534">
        <v>740.5</v>
      </c>
    </row>
    <row r="5397" spans="2:5" x14ac:dyDescent="0.2">
      <c r="B5397" s="533">
        <v>6601</v>
      </c>
      <c r="C5397" s="533" t="s">
        <v>3386</v>
      </c>
      <c r="D5397" s="656" t="s">
        <v>387</v>
      </c>
      <c r="E5397" s="534">
        <v>710.71999500000004</v>
      </c>
    </row>
    <row r="5398" spans="2:5" x14ac:dyDescent="0.2">
      <c r="B5398" s="533">
        <v>6602</v>
      </c>
      <c r="C5398" s="533" t="s">
        <v>7605</v>
      </c>
      <c r="D5398" s="656" t="s">
        <v>387</v>
      </c>
      <c r="E5398" s="534">
        <v>688.31999499999995</v>
      </c>
    </row>
    <row r="5399" spans="2:5" x14ac:dyDescent="0.2">
      <c r="B5399" s="533">
        <v>6603</v>
      </c>
      <c r="C5399" s="533" t="s">
        <v>3231</v>
      </c>
      <c r="D5399" s="656" t="s">
        <v>387</v>
      </c>
      <c r="E5399" s="534">
        <v>703.04167199999995</v>
      </c>
    </row>
    <row r="5400" spans="2:5" x14ac:dyDescent="0.2">
      <c r="B5400" s="533">
        <v>6604</v>
      </c>
      <c r="C5400" s="533" t="s">
        <v>7037</v>
      </c>
      <c r="D5400" s="656" t="s">
        <v>387</v>
      </c>
      <c r="E5400" s="534">
        <v>750.71250899999995</v>
      </c>
    </row>
    <row r="5401" spans="2:5" x14ac:dyDescent="0.2">
      <c r="B5401" s="533">
        <v>6605</v>
      </c>
      <c r="C5401" s="533" t="s">
        <v>2074</v>
      </c>
      <c r="D5401" s="656" t="s">
        <v>387</v>
      </c>
      <c r="E5401" s="534">
        <v>729.57333200000005</v>
      </c>
    </row>
    <row r="5402" spans="2:5" x14ac:dyDescent="0.2">
      <c r="B5402" s="533">
        <v>6606</v>
      </c>
      <c r="C5402" s="533" t="s">
        <v>4080</v>
      </c>
      <c r="D5402" s="656" t="s">
        <v>387</v>
      </c>
      <c r="E5402" s="534">
        <v>750.46666800000003</v>
      </c>
    </row>
    <row r="5403" spans="2:5" x14ac:dyDescent="0.2">
      <c r="B5403" s="533">
        <v>6607</v>
      </c>
      <c r="C5403" s="533" t="s">
        <v>3706</v>
      </c>
      <c r="D5403" s="656" t="s">
        <v>387</v>
      </c>
      <c r="E5403" s="534">
        <v>728.11538900000005</v>
      </c>
    </row>
    <row r="5404" spans="2:5" x14ac:dyDescent="0.2">
      <c r="B5404" s="533">
        <v>6608</v>
      </c>
      <c r="C5404" s="533" t="s">
        <v>3968</v>
      </c>
      <c r="D5404" s="656" t="s">
        <v>387</v>
      </c>
      <c r="E5404" s="534">
        <v>743.75</v>
      </c>
    </row>
    <row r="5405" spans="2:5" x14ac:dyDescent="0.2">
      <c r="B5405" s="533">
        <v>6609</v>
      </c>
      <c r="C5405" s="533" t="s">
        <v>3919</v>
      </c>
      <c r="D5405" s="656" t="s">
        <v>387</v>
      </c>
      <c r="E5405" s="534">
        <v>740.37999300000001</v>
      </c>
    </row>
    <row r="5406" spans="2:5" x14ac:dyDescent="0.2">
      <c r="B5406" s="533">
        <v>6610</v>
      </c>
      <c r="C5406" s="533" t="s">
        <v>6940</v>
      </c>
      <c r="D5406" s="656" t="s">
        <v>387</v>
      </c>
      <c r="E5406" s="534">
        <v>684.14001499999995</v>
      </c>
    </row>
    <row r="5407" spans="2:5" x14ac:dyDescent="0.2">
      <c r="B5407" s="533">
        <v>6611</v>
      </c>
      <c r="C5407" s="533" t="s">
        <v>1257</v>
      </c>
      <c r="D5407" s="656" t="s">
        <v>387</v>
      </c>
      <c r="E5407" s="534">
        <v>717.67142999999999</v>
      </c>
    </row>
    <row r="5408" spans="2:5" x14ac:dyDescent="0.2">
      <c r="B5408" s="533">
        <v>6612</v>
      </c>
      <c r="C5408" s="533" t="s">
        <v>2347</v>
      </c>
      <c r="D5408" s="656" t="s">
        <v>387</v>
      </c>
      <c r="E5408" s="534">
        <v>660.15833499999997</v>
      </c>
    </row>
    <row r="5409" spans="2:5" x14ac:dyDescent="0.2">
      <c r="B5409" s="533">
        <v>6613</v>
      </c>
      <c r="C5409" s="533" t="s">
        <v>3797</v>
      </c>
      <c r="D5409" s="656" t="s">
        <v>387</v>
      </c>
      <c r="E5409" s="534">
        <v>733.228568</v>
      </c>
    </row>
    <row r="5410" spans="2:5" x14ac:dyDescent="0.2">
      <c r="B5410" s="533">
        <v>6614</v>
      </c>
      <c r="C5410" s="533" t="s">
        <v>3691</v>
      </c>
      <c r="D5410" s="656" t="s">
        <v>387</v>
      </c>
      <c r="E5410" s="534">
        <v>727.13749700000005</v>
      </c>
    </row>
    <row r="5411" spans="2:5" x14ac:dyDescent="0.2">
      <c r="B5411" s="533">
        <v>6615</v>
      </c>
      <c r="C5411" s="533" t="s">
        <v>2911</v>
      </c>
      <c r="D5411" s="656" t="s">
        <v>387</v>
      </c>
      <c r="E5411" s="534">
        <v>713.54544899999996</v>
      </c>
    </row>
    <row r="5412" spans="2:5" x14ac:dyDescent="0.2">
      <c r="B5412" s="533">
        <v>6616</v>
      </c>
      <c r="C5412" s="533" t="s">
        <v>7214</v>
      </c>
      <c r="D5412" s="656" t="s">
        <v>387</v>
      </c>
      <c r="E5412" s="534">
        <v>694.88000099999999</v>
      </c>
    </row>
    <row r="5413" spans="2:5" x14ac:dyDescent="0.2">
      <c r="B5413" s="533">
        <v>6617</v>
      </c>
      <c r="C5413" s="533" t="s">
        <v>387</v>
      </c>
      <c r="D5413" s="656" t="s">
        <v>387</v>
      </c>
      <c r="E5413" s="534">
        <v>708.48461899999995</v>
      </c>
    </row>
    <row r="5414" spans="2:5" x14ac:dyDescent="0.2">
      <c r="B5414" s="533">
        <v>6618</v>
      </c>
      <c r="C5414" s="533" t="s">
        <v>4629</v>
      </c>
      <c r="D5414" s="656" t="s">
        <v>387</v>
      </c>
      <c r="E5414" s="534">
        <v>791.44999700000005</v>
      </c>
    </row>
    <row r="5415" spans="2:5" x14ac:dyDescent="0.2">
      <c r="B5415" s="533">
        <v>6619</v>
      </c>
      <c r="C5415" s="533" t="s">
        <v>4580</v>
      </c>
      <c r="D5415" s="656" t="s">
        <v>387</v>
      </c>
      <c r="E5415" s="534">
        <v>786.89998400000002</v>
      </c>
    </row>
    <row r="5416" spans="2:5" x14ac:dyDescent="0.2">
      <c r="B5416" s="533">
        <v>6620</v>
      </c>
      <c r="C5416" s="533" t="s">
        <v>7430</v>
      </c>
      <c r="D5416" s="656" t="s">
        <v>387</v>
      </c>
      <c r="E5416" s="534">
        <v>762.600009</v>
      </c>
    </row>
    <row r="5417" spans="2:5" x14ac:dyDescent="0.2">
      <c r="B5417" s="533">
        <v>6621</v>
      </c>
      <c r="C5417" s="533" t="s">
        <v>4153</v>
      </c>
      <c r="D5417" s="656" t="s">
        <v>387</v>
      </c>
      <c r="E5417" s="534">
        <v>754.899991</v>
      </c>
    </row>
    <row r="5418" spans="2:5" x14ac:dyDescent="0.2">
      <c r="B5418" s="533">
        <v>6622</v>
      </c>
      <c r="C5418" s="533" t="s">
        <v>4445</v>
      </c>
      <c r="D5418" s="656" t="s">
        <v>387</v>
      </c>
      <c r="E5418" s="534">
        <v>777.16666699999996</v>
      </c>
    </row>
    <row r="5419" spans="2:5" x14ac:dyDescent="0.2">
      <c r="B5419" s="533">
        <v>6623</v>
      </c>
      <c r="C5419" s="533" t="s">
        <v>4835</v>
      </c>
      <c r="D5419" s="656" t="s">
        <v>387</v>
      </c>
      <c r="E5419" s="534">
        <v>806.83749399999999</v>
      </c>
    </row>
    <row r="5420" spans="2:5" x14ac:dyDescent="0.2">
      <c r="B5420" s="533">
        <v>6624</v>
      </c>
      <c r="C5420" s="533" t="s">
        <v>4706</v>
      </c>
      <c r="D5420" s="656" t="s">
        <v>387</v>
      </c>
      <c r="E5420" s="534">
        <v>797.42666799999995</v>
      </c>
    </row>
    <row r="5421" spans="2:5" x14ac:dyDescent="0.2">
      <c r="B5421" s="533">
        <v>6625</v>
      </c>
      <c r="C5421" s="533" t="s">
        <v>4595</v>
      </c>
      <c r="D5421" s="656" t="s">
        <v>387</v>
      </c>
      <c r="E5421" s="534">
        <v>788.14736800000003</v>
      </c>
    </row>
    <row r="5422" spans="2:5" x14ac:dyDescent="0.2">
      <c r="B5422" s="533">
        <v>6626</v>
      </c>
      <c r="C5422" s="533" t="s">
        <v>6625</v>
      </c>
      <c r="D5422" s="656" t="s">
        <v>387</v>
      </c>
      <c r="E5422" s="534">
        <v>756.39999799999998</v>
      </c>
    </row>
    <row r="5423" spans="2:5" x14ac:dyDescent="0.2">
      <c r="B5423" s="533">
        <v>6627</v>
      </c>
      <c r="C5423" s="533" t="s">
        <v>4213</v>
      </c>
      <c r="D5423" s="656" t="s">
        <v>387</v>
      </c>
      <c r="E5423" s="534">
        <v>759.27499599999999</v>
      </c>
    </row>
    <row r="5424" spans="2:5" x14ac:dyDescent="0.2">
      <c r="B5424" s="533">
        <v>6628</v>
      </c>
      <c r="C5424" s="533" t="s">
        <v>4324</v>
      </c>
      <c r="D5424" s="656" t="s">
        <v>387</v>
      </c>
      <c r="E5424" s="534">
        <v>767.16999499999997</v>
      </c>
    </row>
    <row r="5425" spans="2:5" x14ac:dyDescent="0.2">
      <c r="B5425" s="533">
        <v>6629</v>
      </c>
      <c r="C5425" s="533" t="s">
        <v>4184</v>
      </c>
      <c r="D5425" s="656" t="s">
        <v>387</v>
      </c>
      <c r="E5425" s="534">
        <v>756.97500600000001</v>
      </c>
    </row>
    <row r="5426" spans="2:5" x14ac:dyDescent="0.2">
      <c r="B5426" s="533">
        <v>6630</v>
      </c>
      <c r="C5426" s="533" t="s">
        <v>4433</v>
      </c>
      <c r="D5426" s="656" t="s">
        <v>387</v>
      </c>
      <c r="E5426" s="534">
        <v>776.31817599999999</v>
      </c>
    </row>
    <row r="5427" spans="2:5" x14ac:dyDescent="0.2">
      <c r="B5427" s="533">
        <v>6631</v>
      </c>
      <c r="C5427" s="533" t="s">
        <v>4574</v>
      </c>
      <c r="D5427" s="656" t="s">
        <v>387</v>
      </c>
      <c r="E5427" s="534">
        <v>786.67500299999995</v>
      </c>
    </row>
    <row r="5428" spans="2:5" x14ac:dyDescent="0.2">
      <c r="B5428" s="533">
        <v>6632</v>
      </c>
      <c r="C5428" s="533" t="s">
        <v>2563</v>
      </c>
      <c r="D5428" s="656" t="s">
        <v>387</v>
      </c>
      <c r="E5428" s="534">
        <v>807.71176000000003</v>
      </c>
    </row>
    <row r="5429" spans="2:5" x14ac:dyDescent="0.2">
      <c r="B5429" s="533">
        <v>6633</v>
      </c>
      <c r="C5429" s="533" t="s">
        <v>4739</v>
      </c>
      <c r="D5429" s="656" t="s">
        <v>387</v>
      </c>
      <c r="E5429" s="534">
        <v>799.740002</v>
      </c>
    </row>
    <row r="5430" spans="2:5" x14ac:dyDescent="0.2">
      <c r="B5430" s="533">
        <v>6634</v>
      </c>
      <c r="C5430" s="533" t="s">
        <v>5021</v>
      </c>
      <c r="D5430" s="656" t="s">
        <v>387</v>
      </c>
      <c r="E5430" s="534">
        <v>826</v>
      </c>
    </row>
    <row r="5431" spans="2:5" x14ac:dyDescent="0.2">
      <c r="B5431" s="533">
        <v>6635</v>
      </c>
      <c r="C5431" s="533" t="s">
        <v>2636</v>
      </c>
      <c r="D5431" s="656" t="s">
        <v>387</v>
      </c>
      <c r="E5431" s="534">
        <v>673.64000199999998</v>
      </c>
    </row>
    <row r="5432" spans="2:5" x14ac:dyDescent="0.2">
      <c r="B5432" s="533">
        <v>6636</v>
      </c>
      <c r="C5432" s="533" t="s">
        <v>2629</v>
      </c>
      <c r="D5432" s="656" t="s">
        <v>387</v>
      </c>
      <c r="E5432" s="534">
        <v>673.40002400000003</v>
      </c>
    </row>
    <row r="5433" spans="2:5" x14ac:dyDescent="0.2">
      <c r="B5433" s="533">
        <v>6637</v>
      </c>
      <c r="C5433" s="533" t="s">
        <v>2842</v>
      </c>
      <c r="D5433" s="656" t="s">
        <v>387</v>
      </c>
      <c r="E5433" s="534">
        <v>683.97999300000004</v>
      </c>
    </row>
    <row r="5434" spans="2:5" x14ac:dyDescent="0.2">
      <c r="B5434" s="533">
        <v>6638</v>
      </c>
      <c r="C5434" s="533" t="s">
        <v>4137</v>
      </c>
      <c r="D5434" s="656" t="s">
        <v>387</v>
      </c>
      <c r="E5434" s="534">
        <v>753.71428600000002</v>
      </c>
    </row>
    <row r="5435" spans="2:5" x14ac:dyDescent="0.2">
      <c r="B5435" s="533">
        <v>6639</v>
      </c>
      <c r="C5435" s="533" t="s">
        <v>3949</v>
      </c>
      <c r="D5435" s="656" t="s">
        <v>387</v>
      </c>
      <c r="E5435" s="534">
        <v>742.35000600000001</v>
      </c>
    </row>
    <row r="5436" spans="2:5" x14ac:dyDescent="0.2">
      <c r="B5436" s="533">
        <v>6640</v>
      </c>
      <c r="C5436" s="533" t="s">
        <v>4178</v>
      </c>
      <c r="D5436" s="656" t="s">
        <v>387</v>
      </c>
      <c r="E5436" s="534">
        <v>756.44166600000005</v>
      </c>
    </row>
    <row r="5437" spans="2:5" x14ac:dyDescent="0.2">
      <c r="B5437" s="533">
        <v>6641</v>
      </c>
      <c r="C5437" s="533" t="s">
        <v>4780</v>
      </c>
      <c r="D5437" s="656" t="s">
        <v>387</v>
      </c>
      <c r="E5437" s="534">
        <v>802.64615600000002</v>
      </c>
    </row>
    <row r="5438" spans="2:5" x14ac:dyDescent="0.2">
      <c r="B5438" s="533">
        <v>6642</v>
      </c>
      <c r="C5438" s="533" t="s">
        <v>2319</v>
      </c>
      <c r="D5438" s="656" t="s">
        <v>387</v>
      </c>
      <c r="E5438" s="534">
        <v>781.28183300000001</v>
      </c>
    </row>
    <row r="5439" spans="2:5" x14ac:dyDescent="0.2">
      <c r="B5439" s="533">
        <v>6643</v>
      </c>
      <c r="C5439" s="533" t="s">
        <v>3436</v>
      </c>
      <c r="D5439" s="656" t="s">
        <v>387</v>
      </c>
      <c r="E5439" s="534">
        <v>777.80909299999996</v>
      </c>
    </row>
    <row r="5440" spans="2:5" x14ac:dyDescent="0.2">
      <c r="B5440" s="533">
        <v>6644</v>
      </c>
      <c r="C5440" s="533" t="s">
        <v>7215</v>
      </c>
      <c r="D5440" s="656" t="s">
        <v>387</v>
      </c>
      <c r="E5440" s="534">
        <v>783.35554999999999</v>
      </c>
    </row>
    <row r="5441" spans="2:5" x14ac:dyDescent="0.2">
      <c r="B5441" s="533">
        <v>6645</v>
      </c>
      <c r="C5441" s="533" t="s">
        <v>4579</v>
      </c>
      <c r="D5441" s="656" t="s">
        <v>387</v>
      </c>
      <c r="E5441" s="534">
        <v>786.88888899999995</v>
      </c>
    </row>
    <row r="5442" spans="2:5" x14ac:dyDescent="0.2">
      <c r="B5442" s="533">
        <v>6646</v>
      </c>
      <c r="C5442" s="533" t="s">
        <v>6820</v>
      </c>
      <c r="D5442" s="656" t="s">
        <v>387</v>
      </c>
      <c r="E5442" s="534">
        <v>798.13750500000003</v>
      </c>
    </row>
    <row r="5443" spans="2:5" x14ac:dyDescent="0.2">
      <c r="B5443" s="533">
        <v>6647</v>
      </c>
      <c r="C5443" s="533" t="s">
        <v>4855</v>
      </c>
      <c r="D5443" s="656" t="s">
        <v>387</v>
      </c>
      <c r="E5443" s="534">
        <v>808.56924200000003</v>
      </c>
    </row>
    <row r="5444" spans="2:5" x14ac:dyDescent="0.2">
      <c r="B5444" s="533">
        <v>6648</v>
      </c>
      <c r="C5444" s="533" t="s">
        <v>4782</v>
      </c>
      <c r="D5444" s="656" t="s">
        <v>387</v>
      </c>
      <c r="E5444" s="534">
        <v>802.83749399999999</v>
      </c>
    </row>
    <row r="5445" spans="2:5" x14ac:dyDescent="0.2">
      <c r="B5445" s="533">
        <v>6649</v>
      </c>
      <c r="C5445" s="533" t="s">
        <v>4675</v>
      </c>
      <c r="D5445" s="656" t="s">
        <v>387</v>
      </c>
      <c r="E5445" s="534">
        <v>794.59997599999997</v>
      </c>
    </row>
    <row r="5446" spans="2:5" x14ac:dyDescent="0.2">
      <c r="B5446" s="533">
        <v>6650</v>
      </c>
      <c r="C5446" s="533" t="s">
        <v>4567</v>
      </c>
      <c r="D5446" s="656" t="s">
        <v>387</v>
      </c>
      <c r="E5446" s="534">
        <v>786.31111699999997</v>
      </c>
    </row>
    <row r="5447" spans="2:5" x14ac:dyDescent="0.2">
      <c r="B5447" s="533">
        <v>6651</v>
      </c>
      <c r="C5447" s="533" t="s">
        <v>4628</v>
      </c>
      <c r="D5447" s="656" t="s">
        <v>387</v>
      </c>
      <c r="E5447" s="534">
        <v>791.389996</v>
      </c>
    </row>
    <row r="5448" spans="2:5" x14ac:dyDescent="0.2">
      <c r="B5448" s="533">
        <v>6652</v>
      </c>
      <c r="C5448" s="533" t="s">
        <v>4584</v>
      </c>
      <c r="D5448" s="656" t="s">
        <v>387</v>
      </c>
      <c r="E5448" s="534">
        <v>787.48461899999995</v>
      </c>
    </row>
    <row r="5449" spans="2:5" x14ac:dyDescent="0.2">
      <c r="B5449" s="533">
        <v>6653</v>
      </c>
      <c r="C5449" s="533" t="s">
        <v>4669</v>
      </c>
      <c r="D5449" s="656" t="s">
        <v>387</v>
      </c>
      <c r="E5449" s="534">
        <v>794.29999499999997</v>
      </c>
    </row>
    <row r="5450" spans="2:5" x14ac:dyDescent="0.2">
      <c r="B5450" s="533">
        <v>6654</v>
      </c>
      <c r="C5450" s="533" t="s">
        <v>4546</v>
      </c>
      <c r="D5450" s="656" t="s">
        <v>387</v>
      </c>
      <c r="E5450" s="534">
        <v>784.246667</v>
      </c>
    </row>
    <row r="5451" spans="2:5" x14ac:dyDescent="0.2">
      <c r="B5451" s="533">
        <v>6655</v>
      </c>
      <c r="C5451" s="533" t="s">
        <v>4454</v>
      </c>
      <c r="D5451" s="656" t="s">
        <v>387</v>
      </c>
      <c r="E5451" s="534">
        <v>777.58823900000004</v>
      </c>
    </row>
    <row r="5452" spans="2:5" x14ac:dyDescent="0.2">
      <c r="B5452" s="533">
        <v>6656</v>
      </c>
      <c r="C5452" s="533" t="s">
        <v>4284</v>
      </c>
      <c r="D5452" s="656" t="s">
        <v>387</v>
      </c>
      <c r="E5452" s="534">
        <v>764.06667100000004</v>
      </c>
    </row>
    <row r="5453" spans="2:5" x14ac:dyDescent="0.2">
      <c r="B5453" s="533">
        <v>6657</v>
      </c>
      <c r="C5453" s="533" t="s">
        <v>1424</v>
      </c>
      <c r="D5453" s="656" t="s">
        <v>387</v>
      </c>
      <c r="E5453" s="534">
        <v>788.79523600000005</v>
      </c>
    </row>
    <row r="5454" spans="2:5" x14ac:dyDescent="0.2">
      <c r="B5454" s="533">
        <v>6658</v>
      </c>
      <c r="C5454" s="533" t="s">
        <v>1274</v>
      </c>
      <c r="D5454" s="656" t="s">
        <v>387</v>
      </c>
      <c r="E5454" s="534">
        <v>781.99090000000001</v>
      </c>
    </row>
    <row r="5455" spans="2:5" x14ac:dyDescent="0.2">
      <c r="B5455" s="533">
        <v>6659</v>
      </c>
      <c r="C5455" s="533" t="s">
        <v>4382</v>
      </c>
      <c r="D5455" s="656" t="s">
        <v>387</v>
      </c>
      <c r="E5455" s="534">
        <v>771.41999499999997</v>
      </c>
    </row>
    <row r="5456" spans="2:5" x14ac:dyDescent="0.2">
      <c r="B5456" s="533">
        <v>6660</v>
      </c>
      <c r="C5456" s="533" t="s">
        <v>3984</v>
      </c>
      <c r="D5456" s="656" t="s">
        <v>387</v>
      </c>
      <c r="E5456" s="534">
        <v>744.43332899999996</v>
      </c>
    </row>
    <row r="5457" spans="2:5" x14ac:dyDescent="0.2">
      <c r="B5457" s="533">
        <v>6661</v>
      </c>
      <c r="C5457" s="533" t="s">
        <v>4462</v>
      </c>
      <c r="D5457" s="656" t="s">
        <v>387</v>
      </c>
      <c r="E5457" s="534">
        <v>778.14546299999995</v>
      </c>
    </row>
    <row r="5458" spans="2:5" x14ac:dyDescent="0.2">
      <c r="B5458" s="533">
        <v>6662</v>
      </c>
      <c r="C5458" s="533" t="s">
        <v>4266</v>
      </c>
      <c r="D5458" s="656" t="s">
        <v>387</v>
      </c>
      <c r="E5458" s="534">
        <v>763.26363900000001</v>
      </c>
    </row>
    <row r="5459" spans="2:5" x14ac:dyDescent="0.2">
      <c r="B5459" s="533">
        <v>6663</v>
      </c>
      <c r="C5459" s="533" t="s">
        <v>4378</v>
      </c>
      <c r="D5459" s="656" t="s">
        <v>387</v>
      </c>
      <c r="E5459" s="534">
        <v>777.99999300000002</v>
      </c>
    </row>
    <row r="5460" spans="2:5" x14ac:dyDescent="0.2">
      <c r="B5460" s="533">
        <v>6664</v>
      </c>
      <c r="C5460" s="533" t="s">
        <v>4627</v>
      </c>
      <c r="D5460" s="656" t="s">
        <v>387</v>
      </c>
      <c r="E5460" s="534">
        <v>791.35555999999997</v>
      </c>
    </row>
    <row r="5461" spans="2:5" x14ac:dyDescent="0.2">
      <c r="B5461" s="533">
        <v>6665</v>
      </c>
      <c r="C5461" s="533" t="s">
        <v>1570</v>
      </c>
      <c r="D5461" s="656" t="s">
        <v>387</v>
      </c>
      <c r="E5461" s="534">
        <v>789.62499500000001</v>
      </c>
    </row>
    <row r="5462" spans="2:5" x14ac:dyDescent="0.2">
      <c r="B5462" s="533">
        <v>6666</v>
      </c>
      <c r="C5462" s="533" t="s">
        <v>4682</v>
      </c>
      <c r="D5462" s="656" t="s">
        <v>387</v>
      </c>
      <c r="E5462" s="534">
        <v>795.20001200000002</v>
      </c>
    </row>
    <row r="5463" spans="2:5" x14ac:dyDescent="0.2">
      <c r="B5463" s="533">
        <v>6667</v>
      </c>
      <c r="C5463" s="533" t="s">
        <v>7385</v>
      </c>
      <c r="D5463" s="656" t="s">
        <v>387</v>
      </c>
      <c r="E5463" s="534">
        <v>794.46250199999997</v>
      </c>
    </row>
    <row r="5464" spans="2:5" x14ac:dyDescent="0.2">
      <c r="B5464" s="533">
        <v>6668</v>
      </c>
      <c r="C5464" s="533" t="s">
        <v>4663</v>
      </c>
      <c r="D5464" s="656" t="s">
        <v>387</v>
      </c>
      <c r="E5464" s="534">
        <v>793.87500399999999</v>
      </c>
    </row>
    <row r="5465" spans="2:5" x14ac:dyDescent="0.2">
      <c r="B5465" s="533">
        <v>6669</v>
      </c>
      <c r="C5465" s="533" t="s">
        <v>4552</v>
      </c>
      <c r="D5465" s="656" t="s">
        <v>387</v>
      </c>
      <c r="E5465" s="534">
        <v>784.96666500000003</v>
      </c>
    </row>
    <row r="5466" spans="2:5" x14ac:dyDescent="0.2">
      <c r="B5466" s="533">
        <v>6670</v>
      </c>
      <c r="C5466" s="533" t="s">
        <v>6973</v>
      </c>
      <c r="D5466" s="656" t="s">
        <v>387</v>
      </c>
      <c r="E5466" s="534">
        <v>779.70001200000002</v>
      </c>
    </row>
    <row r="5467" spans="2:5" x14ac:dyDescent="0.2">
      <c r="B5467" s="533">
        <v>6671</v>
      </c>
      <c r="C5467" s="533" t="s">
        <v>4858</v>
      </c>
      <c r="D5467" s="656" t="s">
        <v>387</v>
      </c>
      <c r="E5467" s="534">
        <v>808.68889000000001</v>
      </c>
    </row>
    <row r="5468" spans="2:5" x14ac:dyDescent="0.2">
      <c r="B5468" s="533">
        <v>6672</v>
      </c>
      <c r="C5468" s="533" t="s">
        <v>4542</v>
      </c>
      <c r="D5468" s="656" t="s">
        <v>387</v>
      </c>
      <c r="E5468" s="534">
        <v>784.02777800000001</v>
      </c>
    </row>
    <row r="5469" spans="2:5" x14ac:dyDescent="0.2">
      <c r="B5469" s="533">
        <v>6673</v>
      </c>
      <c r="C5469" s="533" t="s">
        <v>4254</v>
      </c>
      <c r="D5469" s="656" t="s">
        <v>387</v>
      </c>
      <c r="E5469" s="534">
        <v>762.04444699999999</v>
      </c>
    </row>
    <row r="5470" spans="2:5" x14ac:dyDescent="0.2">
      <c r="B5470" s="533">
        <v>6674</v>
      </c>
      <c r="C5470" s="533" t="s">
        <v>4480</v>
      </c>
      <c r="D5470" s="656" t="s">
        <v>387</v>
      </c>
      <c r="E5470" s="534">
        <v>779.116669</v>
      </c>
    </row>
    <row r="5471" spans="2:5" x14ac:dyDescent="0.2">
      <c r="B5471" s="533">
        <v>6675</v>
      </c>
      <c r="C5471" s="533" t="s">
        <v>4466</v>
      </c>
      <c r="D5471" s="656" t="s">
        <v>387</v>
      </c>
      <c r="E5471" s="534">
        <v>778.46667500000001</v>
      </c>
    </row>
    <row r="5472" spans="2:5" x14ac:dyDescent="0.2">
      <c r="B5472" s="533">
        <v>6676</v>
      </c>
      <c r="C5472" s="533" t="s">
        <v>4612</v>
      </c>
      <c r="D5472" s="656" t="s">
        <v>387</v>
      </c>
      <c r="E5472" s="534">
        <v>789.77333599999997</v>
      </c>
    </row>
    <row r="5473" spans="2:5" x14ac:dyDescent="0.2">
      <c r="B5473" s="533">
        <v>6677</v>
      </c>
      <c r="C5473" s="533" t="s">
        <v>4245</v>
      </c>
      <c r="D5473" s="656" t="s">
        <v>387</v>
      </c>
      <c r="E5473" s="534">
        <v>761.19999700000005</v>
      </c>
    </row>
    <row r="5474" spans="2:5" x14ac:dyDescent="0.2">
      <c r="B5474" s="533">
        <v>6678</v>
      </c>
      <c r="C5474" s="533" t="s">
        <v>4343</v>
      </c>
      <c r="D5474" s="656" t="s">
        <v>387</v>
      </c>
      <c r="E5474" s="534">
        <v>768.29999499999997</v>
      </c>
    </row>
    <row r="5475" spans="2:5" x14ac:dyDescent="0.2">
      <c r="B5475" s="533">
        <v>6701</v>
      </c>
      <c r="C5475" s="533" t="s">
        <v>3661</v>
      </c>
      <c r="D5475" s="656" t="s">
        <v>457</v>
      </c>
      <c r="E5475" s="534">
        <v>725.480951</v>
      </c>
    </row>
    <row r="5476" spans="2:5" x14ac:dyDescent="0.2">
      <c r="B5476" s="533">
        <v>6702</v>
      </c>
      <c r="C5476" s="533" t="s">
        <v>4022</v>
      </c>
      <c r="D5476" s="656" t="s">
        <v>457</v>
      </c>
      <c r="E5476" s="534">
        <v>746.911112</v>
      </c>
    </row>
    <row r="5477" spans="2:5" x14ac:dyDescent="0.2">
      <c r="B5477" s="533">
        <v>6703</v>
      </c>
      <c r="C5477" s="533" t="s">
        <v>3708</v>
      </c>
      <c r="D5477" s="656" t="s">
        <v>457</v>
      </c>
      <c r="E5477" s="534">
        <v>728.16666699999996</v>
      </c>
    </row>
    <row r="5478" spans="2:5" x14ac:dyDescent="0.2">
      <c r="B5478" s="533">
        <v>6704</v>
      </c>
      <c r="C5478" s="533" t="s">
        <v>954</v>
      </c>
      <c r="D5478" s="656" t="s">
        <v>457</v>
      </c>
      <c r="E5478" s="534">
        <v>701.94286199999999</v>
      </c>
    </row>
    <row r="5479" spans="2:5" x14ac:dyDescent="0.2">
      <c r="B5479" s="533">
        <v>6705</v>
      </c>
      <c r="C5479" s="533" t="s">
        <v>3446</v>
      </c>
      <c r="D5479" s="656" t="s">
        <v>457</v>
      </c>
      <c r="E5479" s="534">
        <v>713.46665399999995</v>
      </c>
    </row>
    <row r="5480" spans="2:5" x14ac:dyDescent="0.2">
      <c r="B5480" s="533">
        <v>6706</v>
      </c>
      <c r="C5480" s="533" t="s">
        <v>2772</v>
      </c>
      <c r="D5480" s="656" t="s">
        <v>457</v>
      </c>
      <c r="E5480" s="534">
        <v>679.759998</v>
      </c>
    </row>
    <row r="5481" spans="2:5" x14ac:dyDescent="0.2">
      <c r="B5481" s="533">
        <v>6707</v>
      </c>
      <c r="C5481" s="533" t="s">
        <v>2794</v>
      </c>
      <c r="D5481" s="656" t="s">
        <v>457</v>
      </c>
      <c r="E5481" s="534">
        <v>681.21667100000002</v>
      </c>
    </row>
    <row r="5482" spans="2:5" x14ac:dyDescent="0.2">
      <c r="B5482" s="533">
        <v>6708</v>
      </c>
      <c r="C5482" s="533" t="s">
        <v>1671</v>
      </c>
      <c r="D5482" s="656" t="s">
        <v>457</v>
      </c>
      <c r="E5482" s="534">
        <v>631.15000899999995</v>
      </c>
    </row>
    <row r="5483" spans="2:5" x14ac:dyDescent="0.2">
      <c r="B5483" s="533">
        <v>6709</v>
      </c>
      <c r="C5483" s="533" t="s">
        <v>2662</v>
      </c>
      <c r="D5483" s="656" t="s">
        <v>457</v>
      </c>
      <c r="E5483" s="534">
        <v>674.59999100000005</v>
      </c>
    </row>
    <row r="5484" spans="2:5" x14ac:dyDescent="0.2">
      <c r="B5484" s="533">
        <v>6710</v>
      </c>
      <c r="C5484" s="533" t="s">
        <v>2417</v>
      </c>
      <c r="D5484" s="656" t="s">
        <v>457</v>
      </c>
      <c r="E5484" s="534">
        <v>663.54998799999998</v>
      </c>
    </row>
    <row r="5485" spans="2:5" x14ac:dyDescent="0.2">
      <c r="B5485" s="533">
        <v>6711</v>
      </c>
      <c r="C5485" s="533" t="s">
        <v>2687</v>
      </c>
      <c r="D5485" s="656" t="s">
        <v>457</v>
      </c>
      <c r="E5485" s="534">
        <v>675.68572099999994</v>
      </c>
    </row>
    <row r="5486" spans="2:5" x14ac:dyDescent="0.2">
      <c r="B5486" s="533">
        <v>6712</v>
      </c>
      <c r="C5486" s="533" t="s">
        <v>2501</v>
      </c>
      <c r="D5486" s="656" t="s">
        <v>457</v>
      </c>
      <c r="E5486" s="534">
        <v>666.24444600000004</v>
      </c>
    </row>
    <row r="5487" spans="2:5" x14ac:dyDescent="0.2">
      <c r="B5487" s="533">
        <v>6713</v>
      </c>
      <c r="C5487" s="533" t="s">
        <v>1426</v>
      </c>
      <c r="D5487" s="656" t="s">
        <v>457</v>
      </c>
      <c r="E5487" s="534">
        <v>699.18000500000005</v>
      </c>
    </row>
    <row r="5488" spans="2:5" x14ac:dyDescent="0.2">
      <c r="B5488" s="533">
        <v>6714</v>
      </c>
      <c r="C5488" s="533" t="s">
        <v>2755</v>
      </c>
      <c r="D5488" s="656" t="s">
        <v>457</v>
      </c>
      <c r="E5488" s="534">
        <v>678.95001200000002</v>
      </c>
    </row>
    <row r="5489" spans="2:5" x14ac:dyDescent="0.2">
      <c r="B5489" s="533">
        <v>6715</v>
      </c>
      <c r="C5489" s="533" t="s">
        <v>1887</v>
      </c>
      <c r="D5489" s="656" t="s">
        <v>457</v>
      </c>
      <c r="E5489" s="534">
        <v>639.66665599999999</v>
      </c>
    </row>
    <row r="5490" spans="2:5" x14ac:dyDescent="0.2">
      <c r="B5490" s="533">
        <v>6716</v>
      </c>
      <c r="C5490" s="533" t="s">
        <v>1988</v>
      </c>
      <c r="D5490" s="656" t="s">
        <v>457</v>
      </c>
      <c r="E5490" s="534">
        <v>643.21667000000002</v>
      </c>
    </row>
    <row r="5491" spans="2:5" x14ac:dyDescent="0.2">
      <c r="B5491" s="533">
        <v>6717</v>
      </c>
      <c r="C5491" s="533" t="s">
        <v>1437</v>
      </c>
      <c r="D5491" s="656" t="s">
        <v>457</v>
      </c>
      <c r="E5491" s="534">
        <v>617.44999199999995</v>
      </c>
    </row>
    <row r="5492" spans="2:5" x14ac:dyDescent="0.2">
      <c r="B5492" s="533">
        <v>6718</v>
      </c>
      <c r="C5492" s="533" t="s">
        <v>1382</v>
      </c>
      <c r="D5492" s="656" t="s">
        <v>457</v>
      </c>
      <c r="E5492" s="534">
        <v>622.95999800000004</v>
      </c>
    </row>
    <row r="5493" spans="2:5" x14ac:dyDescent="0.2">
      <c r="B5493" s="533">
        <v>6719</v>
      </c>
      <c r="C5493" s="533" t="s">
        <v>2030</v>
      </c>
      <c r="D5493" s="656" t="s">
        <v>457</v>
      </c>
      <c r="E5493" s="534">
        <v>644.70832800000005</v>
      </c>
    </row>
    <row r="5494" spans="2:5" x14ac:dyDescent="0.2">
      <c r="B5494" s="533">
        <v>6720</v>
      </c>
      <c r="C5494" s="533" t="s">
        <v>2570</v>
      </c>
      <c r="D5494" s="656" t="s">
        <v>457</v>
      </c>
      <c r="E5494" s="534">
        <v>669.58000500000003</v>
      </c>
    </row>
    <row r="5495" spans="2:5" x14ac:dyDescent="0.2">
      <c r="B5495" s="533">
        <v>6721</v>
      </c>
      <c r="C5495" s="533" t="s">
        <v>1942</v>
      </c>
      <c r="D5495" s="656" t="s">
        <v>457</v>
      </c>
      <c r="E5495" s="534">
        <v>641.77692100000002</v>
      </c>
    </row>
    <row r="5496" spans="2:5" x14ac:dyDescent="0.2">
      <c r="B5496" s="533">
        <v>6722</v>
      </c>
      <c r="C5496" s="533" t="s">
        <v>1250</v>
      </c>
      <c r="D5496" s="656" t="s">
        <v>457</v>
      </c>
      <c r="E5496" s="534">
        <v>607.14284799999996</v>
      </c>
    </row>
    <row r="5497" spans="2:5" x14ac:dyDescent="0.2">
      <c r="B5497" s="533">
        <v>6723</v>
      </c>
      <c r="C5497" s="533" t="s">
        <v>7455</v>
      </c>
      <c r="D5497" s="656" t="s">
        <v>457</v>
      </c>
      <c r="E5497" s="534">
        <v>603.91428900000005</v>
      </c>
    </row>
    <row r="5498" spans="2:5" x14ac:dyDescent="0.2">
      <c r="B5498" s="533">
        <v>6724</v>
      </c>
      <c r="C5498" s="533" t="s">
        <v>977</v>
      </c>
      <c r="D5498" s="656" t="s">
        <v>457</v>
      </c>
      <c r="E5498" s="534">
        <v>609.37500799999998</v>
      </c>
    </row>
    <row r="5499" spans="2:5" x14ac:dyDescent="0.2">
      <c r="B5499" s="533">
        <v>6725</v>
      </c>
      <c r="C5499" s="533" t="s">
        <v>3142</v>
      </c>
      <c r="D5499" s="656" t="s">
        <v>457</v>
      </c>
      <c r="E5499" s="534">
        <v>698.93332899999996</v>
      </c>
    </row>
    <row r="5500" spans="2:5" x14ac:dyDescent="0.2">
      <c r="B5500" s="533">
        <v>6726</v>
      </c>
      <c r="C5500" s="533" t="s">
        <v>2609</v>
      </c>
      <c r="D5500" s="656" t="s">
        <v>457</v>
      </c>
      <c r="E5500" s="534">
        <v>672.05556200000001</v>
      </c>
    </row>
    <row r="5501" spans="2:5" x14ac:dyDescent="0.2">
      <c r="B5501" s="533">
        <v>6727</v>
      </c>
      <c r="C5501" s="533" t="s">
        <v>2377</v>
      </c>
      <c r="D5501" s="656" t="s">
        <v>457</v>
      </c>
      <c r="E5501" s="534">
        <v>661.41427999999996</v>
      </c>
    </row>
    <row r="5502" spans="2:5" x14ac:dyDescent="0.2">
      <c r="B5502" s="533">
        <v>6728</v>
      </c>
      <c r="C5502" s="533" t="s">
        <v>1872</v>
      </c>
      <c r="D5502" s="656" t="s">
        <v>457</v>
      </c>
      <c r="E5502" s="534">
        <v>639.28571399999998</v>
      </c>
    </row>
    <row r="5503" spans="2:5" x14ac:dyDescent="0.2">
      <c r="B5503" s="533">
        <v>6729</v>
      </c>
      <c r="C5503" s="533" t="s">
        <v>2188</v>
      </c>
      <c r="D5503" s="656" t="s">
        <v>457</v>
      </c>
      <c r="E5503" s="534">
        <v>652.73332700000003</v>
      </c>
    </row>
    <row r="5504" spans="2:5" x14ac:dyDescent="0.2">
      <c r="B5504" s="533">
        <v>6730</v>
      </c>
      <c r="C5504" s="533" t="s">
        <v>1694</v>
      </c>
      <c r="D5504" s="656" t="s">
        <v>457</v>
      </c>
      <c r="E5504" s="534">
        <v>632.41999499999997</v>
      </c>
    </row>
    <row r="5505" spans="2:5" x14ac:dyDescent="0.2">
      <c r="B5505" s="533">
        <v>6731</v>
      </c>
      <c r="C5505" s="533" t="s">
        <v>1595</v>
      </c>
      <c r="D5505" s="656" t="s">
        <v>457</v>
      </c>
      <c r="E5505" s="534">
        <v>626.67500299999995</v>
      </c>
    </row>
    <row r="5506" spans="2:5" x14ac:dyDescent="0.2">
      <c r="B5506" s="533">
        <v>6732</v>
      </c>
      <c r="C5506" s="533" t="s">
        <v>1460</v>
      </c>
      <c r="D5506" s="656" t="s">
        <v>457</v>
      </c>
      <c r="E5506" s="534">
        <v>618.74284999999998</v>
      </c>
    </row>
    <row r="5507" spans="2:5" x14ac:dyDescent="0.2">
      <c r="B5507" s="533">
        <v>6733</v>
      </c>
      <c r="C5507" s="533" t="s">
        <v>6680</v>
      </c>
      <c r="D5507" s="656" t="s">
        <v>457</v>
      </c>
      <c r="E5507" s="534">
        <v>615.26667299999997</v>
      </c>
    </row>
    <row r="5508" spans="2:5" x14ac:dyDescent="0.2">
      <c r="B5508" s="533">
        <v>6734</v>
      </c>
      <c r="C5508" s="533" t="s">
        <v>7300</v>
      </c>
      <c r="D5508" s="656" t="s">
        <v>457</v>
      </c>
      <c r="E5508" s="534">
        <v>608.88000499999998</v>
      </c>
    </row>
    <row r="5509" spans="2:5" x14ac:dyDescent="0.2">
      <c r="B5509" s="533">
        <v>6735</v>
      </c>
      <c r="C5509" s="533" t="s">
        <v>7131</v>
      </c>
      <c r="D5509" s="656" t="s">
        <v>457</v>
      </c>
      <c r="E5509" s="534">
        <v>609.97999900000002</v>
      </c>
    </row>
    <row r="5510" spans="2:5" x14ac:dyDescent="0.2">
      <c r="B5510" s="533">
        <v>6736</v>
      </c>
      <c r="C5510" s="533" t="s">
        <v>1357</v>
      </c>
      <c r="D5510" s="656" t="s">
        <v>457</v>
      </c>
      <c r="E5510" s="534">
        <v>613.62000699999999</v>
      </c>
    </row>
    <row r="5511" spans="2:5" x14ac:dyDescent="0.2">
      <c r="B5511" s="533">
        <v>6737</v>
      </c>
      <c r="C5511" s="533" t="s">
        <v>6530</v>
      </c>
      <c r="D5511" s="656" t="s">
        <v>457</v>
      </c>
      <c r="E5511" s="534">
        <v>608.16923199999997</v>
      </c>
    </row>
    <row r="5512" spans="2:5" x14ac:dyDescent="0.2">
      <c r="B5512" s="533">
        <v>6738</v>
      </c>
      <c r="C5512" s="533" t="s">
        <v>7225</v>
      </c>
      <c r="D5512" s="656" t="s">
        <v>457</v>
      </c>
      <c r="E5512" s="534">
        <v>624.17999299999997</v>
      </c>
    </row>
    <row r="5513" spans="2:5" x14ac:dyDescent="0.2">
      <c r="B5513" s="533">
        <v>6739</v>
      </c>
      <c r="C5513" s="533" t="s">
        <v>1555</v>
      </c>
      <c r="D5513" s="656" t="s">
        <v>457</v>
      </c>
      <c r="E5513" s="534">
        <v>624.39998400000002</v>
      </c>
    </row>
    <row r="5514" spans="2:5" x14ac:dyDescent="0.2">
      <c r="B5514" s="533">
        <v>6740</v>
      </c>
      <c r="C5514" s="533" t="s">
        <v>2152</v>
      </c>
      <c r="D5514" s="656" t="s">
        <v>457</v>
      </c>
      <c r="E5514" s="534">
        <v>651.32499700000005</v>
      </c>
    </row>
    <row r="5515" spans="2:5" x14ac:dyDescent="0.2">
      <c r="B5515" s="533">
        <v>6741</v>
      </c>
      <c r="C5515" s="533" t="s">
        <v>1950</v>
      </c>
      <c r="D5515" s="656" t="s">
        <v>457</v>
      </c>
      <c r="E5515" s="534">
        <v>642.04998799999998</v>
      </c>
    </row>
    <row r="5516" spans="2:5" x14ac:dyDescent="0.2">
      <c r="B5516" s="533">
        <v>6742</v>
      </c>
      <c r="C5516" s="533" t="s">
        <v>1520</v>
      </c>
      <c r="D5516" s="656" t="s">
        <v>457</v>
      </c>
      <c r="E5516" s="534">
        <v>621.94286199999999</v>
      </c>
    </row>
    <row r="5517" spans="2:5" x14ac:dyDescent="0.2">
      <c r="B5517" s="533">
        <v>6743</v>
      </c>
      <c r="C5517" s="533" t="s">
        <v>7418</v>
      </c>
      <c r="D5517" s="656" t="s">
        <v>457</v>
      </c>
      <c r="E5517" s="534">
        <v>648.259998</v>
      </c>
    </row>
    <row r="5518" spans="2:5" x14ac:dyDescent="0.2">
      <c r="B5518" s="533">
        <v>6744</v>
      </c>
      <c r="C5518" s="533" t="s">
        <v>1072</v>
      </c>
      <c r="D5518" s="656" t="s">
        <v>457</v>
      </c>
      <c r="E5518" s="534">
        <v>596.20000200000004</v>
      </c>
    </row>
    <row r="5519" spans="2:5" x14ac:dyDescent="0.2">
      <c r="B5519" s="533">
        <v>6745</v>
      </c>
      <c r="C5519" s="533" t="s">
        <v>1154</v>
      </c>
      <c r="D5519" s="656" t="s">
        <v>457</v>
      </c>
      <c r="E5519" s="534">
        <v>601.89999699999998</v>
      </c>
    </row>
    <row r="5520" spans="2:5" x14ac:dyDescent="0.2">
      <c r="B5520" s="533">
        <v>6746</v>
      </c>
      <c r="C5520" s="533" t="s">
        <v>1244</v>
      </c>
      <c r="D5520" s="656" t="s">
        <v>457</v>
      </c>
      <c r="E5520" s="534">
        <v>606.66666699999996</v>
      </c>
    </row>
    <row r="5521" spans="2:5" x14ac:dyDescent="0.2">
      <c r="B5521" s="533">
        <v>6747</v>
      </c>
      <c r="C5521" s="533" t="s">
        <v>1288</v>
      </c>
      <c r="D5521" s="656" t="s">
        <v>457</v>
      </c>
      <c r="E5521" s="534">
        <v>609.44667600000002</v>
      </c>
    </row>
    <row r="5522" spans="2:5" x14ac:dyDescent="0.2">
      <c r="B5522" s="533">
        <v>6748</v>
      </c>
      <c r="C5522" s="533" t="s">
        <v>1490</v>
      </c>
      <c r="D5522" s="656" t="s">
        <v>457</v>
      </c>
      <c r="E5522" s="534">
        <v>620.15001700000005</v>
      </c>
    </row>
    <row r="5523" spans="2:5" x14ac:dyDescent="0.2">
      <c r="B5523" s="533">
        <v>6749</v>
      </c>
      <c r="C5523" s="533" t="s">
        <v>1196</v>
      </c>
      <c r="D5523" s="656" t="s">
        <v>457</v>
      </c>
      <c r="E5523" s="534">
        <v>604.03998999999999</v>
      </c>
    </row>
    <row r="5524" spans="2:5" x14ac:dyDescent="0.2">
      <c r="B5524" s="533">
        <v>6750</v>
      </c>
      <c r="C5524" s="533" t="s">
        <v>7601</v>
      </c>
      <c r="D5524" s="656" t="s">
        <v>457</v>
      </c>
      <c r="E5524" s="534">
        <v>602.84999100000005</v>
      </c>
    </row>
    <row r="5525" spans="2:5" x14ac:dyDescent="0.2">
      <c r="B5525" s="533">
        <v>6751</v>
      </c>
      <c r="C5525" s="533" t="s">
        <v>6599</v>
      </c>
      <c r="D5525" s="656" t="s">
        <v>457</v>
      </c>
      <c r="E5525" s="534">
        <v>592.79999999999995</v>
      </c>
    </row>
    <row r="5526" spans="2:5" x14ac:dyDescent="0.2">
      <c r="B5526" s="533">
        <v>6752</v>
      </c>
      <c r="C5526" s="533" t="s">
        <v>1448</v>
      </c>
      <c r="D5526" s="656" t="s">
        <v>457</v>
      </c>
      <c r="E5526" s="534">
        <v>618.17500299999995</v>
      </c>
    </row>
    <row r="5527" spans="2:5" x14ac:dyDescent="0.2">
      <c r="B5527" s="533">
        <v>6753</v>
      </c>
      <c r="C5527" s="533" t="s">
        <v>3266</v>
      </c>
      <c r="D5527" s="656" t="s">
        <v>457</v>
      </c>
      <c r="E5527" s="534">
        <v>704.33750899999995</v>
      </c>
    </row>
    <row r="5528" spans="2:5" x14ac:dyDescent="0.2">
      <c r="B5528" s="533">
        <v>6754</v>
      </c>
      <c r="C5528" s="533" t="s">
        <v>7030</v>
      </c>
      <c r="D5528" s="656" t="s">
        <v>457</v>
      </c>
      <c r="E5528" s="534">
        <v>658.23332700000003</v>
      </c>
    </row>
    <row r="5529" spans="2:5" x14ac:dyDescent="0.2">
      <c r="B5529" s="533">
        <v>6755</v>
      </c>
      <c r="C5529" s="533" t="s">
        <v>3715</v>
      </c>
      <c r="D5529" s="656" t="s">
        <v>457</v>
      </c>
      <c r="E5529" s="534">
        <v>728.45001200000002</v>
      </c>
    </row>
    <row r="5530" spans="2:5" x14ac:dyDescent="0.2">
      <c r="B5530" s="533">
        <v>6756</v>
      </c>
      <c r="C5530" s="533" t="s">
        <v>1943</v>
      </c>
      <c r="D5530" s="656" t="s">
        <v>457</v>
      </c>
      <c r="E5530" s="534">
        <v>641.80001800000002</v>
      </c>
    </row>
    <row r="5531" spans="2:5" x14ac:dyDescent="0.2">
      <c r="B5531" s="533">
        <v>6757</v>
      </c>
      <c r="C5531" s="533" t="s">
        <v>1735</v>
      </c>
      <c r="D5531" s="656" t="s">
        <v>457</v>
      </c>
      <c r="E5531" s="534">
        <v>633.87778000000003</v>
      </c>
    </row>
    <row r="5532" spans="2:5" x14ac:dyDescent="0.2">
      <c r="B5532" s="533">
        <v>6758</v>
      </c>
      <c r="C5532" s="533" t="s">
        <v>6497</v>
      </c>
      <c r="D5532" s="656" t="s">
        <v>457</v>
      </c>
      <c r="E5532" s="534">
        <v>639.22000700000001</v>
      </c>
    </row>
    <row r="5533" spans="2:5" x14ac:dyDescent="0.2">
      <c r="B5533" s="533">
        <v>6759</v>
      </c>
      <c r="C5533" s="533" t="s">
        <v>2086</v>
      </c>
      <c r="D5533" s="656" t="s">
        <v>457</v>
      </c>
      <c r="E5533" s="534">
        <v>648.01110200000005</v>
      </c>
    </row>
    <row r="5534" spans="2:5" x14ac:dyDescent="0.2">
      <c r="B5534" s="533">
        <v>6760</v>
      </c>
      <c r="C5534" s="533" t="s">
        <v>2042</v>
      </c>
      <c r="D5534" s="656" t="s">
        <v>457</v>
      </c>
      <c r="E5534" s="534">
        <v>645.51250500000003</v>
      </c>
    </row>
    <row r="5535" spans="2:5" x14ac:dyDescent="0.2">
      <c r="B5535" s="533">
        <v>6761</v>
      </c>
      <c r="C5535" s="533" t="s">
        <v>3204</v>
      </c>
      <c r="D5535" s="656" t="s">
        <v>457</v>
      </c>
      <c r="E5535" s="534">
        <v>701.771432</v>
      </c>
    </row>
    <row r="5536" spans="2:5" x14ac:dyDescent="0.2">
      <c r="B5536" s="533">
        <v>6762</v>
      </c>
      <c r="C5536" s="533" t="s">
        <v>2354</v>
      </c>
      <c r="D5536" s="656" t="s">
        <v>457</v>
      </c>
      <c r="E5536" s="534">
        <v>660.35554999999999</v>
      </c>
    </row>
    <row r="5537" spans="2:5" x14ac:dyDescent="0.2">
      <c r="B5537" s="533">
        <v>6763</v>
      </c>
      <c r="C5537" s="533" t="s">
        <v>3551</v>
      </c>
      <c r="D5537" s="656" t="s">
        <v>457</v>
      </c>
      <c r="E5537" s="534">
        <v>719.16153699999995</v>
      </c>
    </row>
    <row r="5538" spans="2:5" x14ac:dyDescent="0.2">
      <c r="B5538" s="533">
        <v>6764</v>
      </c>
      <c r="C5538" s="533" t="s">
        <v>2438</v>
      </c>
      <c r="D5538" s="656" t="s">
        <v>457</v>
      </c>
      <c r="E5538" s="534">
        <v>691.5</v>
      </c>
    </row>
    <row r="5539" spans="2:5" x14ac:dyDescent="0.2">
      <c r="B5539" s="533">
        <v>6765</v>
      </c>
      <c r="C5539" s="533" t="s">
        <v>3122</v>
      </c>
      <c r="D5539" s="656" t="s">
        <v>457</v>
      </c>
      <c r="E5539" s="534">
        <v>697.64444300000002</v>
      </c>
    </row>
    <row r="5540" spans="2:5" x14ac:dyDescent="0.2">
      <c r="B5540" s="533">
        <v>6766</v>
      </c>
      <c r="C5540" s="533" t="s">
        <v>2942</v>
      </c>
      <c r="D5540" s="656" t="s">
        <v>457</v>
      </c>
      <c r="E5540" s="534">
        <v>687.84999800000003</v>
      </c>
    </row>
    <row r="5541" spans="2:5" x14ac:dyDescent="0.2">
      <c r="B5541" s="533">
        <v>6767</v>
      </c>
      <c r="C5541" s="533" t="s">
        <v>2781</v>
      </c>
      <c r="D5541" s="656" t="s">
        <v>457</v>
      </c>
      <c r="E5541" s="534">
        <v>680.30001800000002</v>
      </c>
    </row>
    <row r="5542" spans="2:5" x14ac:dyDescent="0.2">
      <c r="B5542" s="533">
        <v>6768</v>
      </c>
      <c r="C5542" s="533" t="s">
        <v>7158</v>
      </c>
      <c r="D5542" s="656" t="s">
        <v>457</v>
      </c>
      <c r="E5542" s="534">
        <v>693.17273499999999</v>
      </c>
    </row>
    <row r="5543" spans="2:5" x14ac:dyDescent="0.2">
      <c r="B5543" s="533">
        <v>6769</v>
      </c>
      <c r="C5543" s="533" t="s">
        <v>2593</v>
      </c>
      <c r="D5543" s="656" t="s">
        <v>457</v>
      </c>
      <c r="E5543" s="534">
        <v>670.80000800000005</v>
      </c>
    </row>
    <row r="5544" spans="2:5" x14ac:dyDescent="0.2">
      <c r="B5544" s="533">
        <v>6770</v>
      </c>
      <c r="C5544" s="533" t="s">
        <v>2997</v>
      </c>
      <c r="D5544" s="656" t="s">
        <v>457</v>
      </c>
      <c r="E5544" s="534">
        <v>690.98001699999998</v>
      </c>
    </row>
    <row r="5545" spans="2:5" x14ac:dyDescent="0.2">
      <c r="B5545" s="533">
        <v>6771</v>
      </c>
      <c r="C5545" s="533" t="s">
        <v>2961</v>
      </c>
      <c r="D5545" s="656" t="s">
        <v>457</v>
      </c>
      <c r="E5545" s="534">
        <v>688.92000700000006</v>
      </c>
    </row>
    <row r="5546" spans="2:5" x14ac:dyDescent="0.2">
      <c r="B5546" s="533">
        <v>6772</v>
      </c>
      <c r="C5546" s="533" t="s">
        <v>2077</v>
      </c>
      <c r="D5546" s="656" t="s">
        <v>457</v>
      </c>
      <c r="E5546" s="534">
        <v>688.06666099999995</v>
      </c>
    </row>
    <row r="5547" spans="2:5" x14ac:dyDescent="0.2">
      <c r="B5547" s="533">
        <v>6773</v>
      </c>
      <c r="C5547" s="533" t="s">
        <v>1601</v>
      </c>
      <c r="D5547" s="656" t="s">
        <v>457</v>
      </c>
      <c r="E5547" s="534">
        <v>627.08749399999999</v>
      </c>
    </row>
    <row r="5548" spans="2:5" x14ac:dyDescent="0.2">
      <c r="B5548" s="533">
        <v>6774</v>
      </c>
      <c r="C5548" s="533" t="s">
        <v>2263</v>
      </c>
      <c r="D5548" s="656" t="s">
        <v>457</v>
      </c>
      <c r="E5548" s="534">
        <v>656.18695100000002</v>
      </c>
    </row>
    <row r="5549" spans="2:5" x14ac:dyDescent="0.2">
      <c r="B5549" s="533">
        <v>6775</v>
      </c>
      <c r="C5549" s="533" t="s">
        <v>2286</v>
      </c>
      <c r="D5549" s="656" t="s">
        <v>457</v>
      </c>
      <c r="E5549" s="534">
        <v>657.08889399999998</v>
      </c>
    </row>
    <row r="5550" spans="2:5" x14ac:dyDescent="0.2">
      <c r="B5550" s="533">
        <v>6776</v>
      </c>
      <c r="C5550" s="533" t="s">
        <v>1678</v>
      </c>
      <c r="D5550" s="656" t="s">
        <v>457</v>
      </c>
      <c r="E5550" s="534">
        <v>631.65454699999998</v>
      </c>
    </row>
    <row r="5551" spans="2:5" x14ac:dyDescent="0.2">
      <c r="B5551" s="533">
        <v>6801</v>
      </c>
      <c r="C5551" s="533" t="s">
        <v>2928</v>
      </c>
      <c r="D5551" s="656" t="s">
        <v>448</v>
      </c>
      <c r="E5551" s="534">
        <v>687.37999300000001</v>
      </c>
    </row>
    <row r="5552" spans="2:5" x14ac:dyDescent="0.2">
      <c r="B5552" s="533">
        <v>6802</v>
      </c>
      <c r="C5552" s="533" t="s">
        <v>2723</v>
      </c>
      <c r="D5552" s="656" t="s">
        <v>448</v>
      </c>
      <c r="E5552" s="534">
        <v>677.35000600000001</v>
      </c>
    </row>
    <row r="5553" spans="2:5" x14ac:dyDescent="0.2">
      <c r="B5553" s="533">
        <v>6803</v>
      </c>
      <c r="C5553" s="533" t="s">
        <v>2385</v>
      </c>
      <c r="D5553" s="656" t="s">
        <v>448</v>
      </c>
      <c r="E5553" s="534">
        <v>661.83333300000004</v>
      </c>
    </row>
    <row r="5554" spans="2:5" x14ac:dyDescent="0.2">
      <c r="B5554" s="533">
        <v>6804</v>
      </c>
      <c r="C5554" s="533" t="s">
        <v>2395</v>
      </c>
      <c r="D5554" s="656" t="s">
        <v>448</v>
      </c>
      <c r="E5554" s="534">
        <v>662.5</v>
      </c>
    </row>
    <row r="5555" spans="2:5" x14ac:dyDescent="0.2">
      <c r="B5555" s="533">
        <v>6805</v>
      </c>
      <c r="C5555" s="533" t="s">
        <v>6800</v>
      </c>
      <c r="D5555" s="656" t="s">
        <v>448</v>
      </c>
      <c r="E5555" s="534">
        <v>633.60001599999998</v>
      </c>
    </row>
    <row r="5556" spans="2:5" x14ac:dyDescent="0.2">
      <c r="B5556" s="533">
        <v>6806</v>
      </c>
      <c r="C5556" s="533" t="s">
        <v>2241</v>
      </c>
      <c r="D5556" s="656" t="s">
        <v>448</v>
      </c>
      <c r="E5556" s="534">
        <v>655.24001499999997</v>
      </c>
    </row>
    <row r="5557" spans="2:5" x14ac:dyDescent="0.2">
      <c r="B5557" s="533">
        <v>6807</v>
      </c>
      <c r="C5557" s="533" t="s">
        <v>1874</v>
      </c>
      <c r="D5557" s="656" t="s">
        <v>448</v>
      </c>
      <c r="E5557" s="534">
        <v>639.33333300000004</v>
      </c>
    </row>
    <row r="5558" spans="2:5" x14ac:dyDescent="0.2">
      <c r="B5558" s="533">
        <v>6808</v>
      </c>
      <c r="C5558" s="533" t="s">
        <v>2909</v>
      </c>
      <c r="D5558" s="656" t="s">
        <v>448</v>
      </c>
      <c r="E5558" s="534">
        <v>686.5</v>
      </c>
    </row>
    <row r="5559" spans="2:5" x14ac:dyDescent="0.2">
      <c r="B5559" s="533">
        <v>6809</v>
      </c>
      <c r="C5559" s="533" t="s">
        <v>2752</v>
      </c>
      <c r="D5559" s="656" t="s">
        <v>448</v>
      </c>
      <c r="E5559" s="534">
        <v>678.79998799999998</v>
      </c>
    </row>
    <row r="5560" spans="2:5" x14ac:dyDescent="0.2">
      <c r="B5560" s="533">
        <v>6810</v>
      </c>
      <c r="C5560" s="533" t="s">
        <v>3298</v>
      </c>
      <c r="D5560" s="656" t="s">
        <v>448</v>
      </c>
      <c r="E5560" s="534">
        <v>706.30000800000005</v>
      </c>
    </row>
    <row r="5561" spans="2:5" x14ac:dyDescent="0.2">
      <c r="B5561" s="533">
        <v>6811</v>
      </c>
      <c r="C5561" s="533" t="s">
        <v>3096</v>
      </c>
      <c r="D5561" s="656" t="s">
        <v>448</v>
      </c>
      <c r="E5561" s="534">
        <v>696.56667100000004</v>
      </c>
    </row>
    <row r="5562" spans="2:5" x14ac:dyDescent="0.2">
      <c r="B5562" s="533">
        <v>6812</v>
      </c>
      <c r="C5562" s="533" t="s">
        <v>2530</v>
      </c>
      <c r="D5562" s="656" t="s">
        <v>448</v>
      </c>
      <c r="E5562" s="534">
        <v>668.12498500000004</v>
      </c>
    </row>
    <row r="5563" spans="2:5" x14ac:dyDescent="0.2">
      <c r="B5563" s="533">
        <v>6813</v>
      </c>
      <c r="C5563" s="533" t="s">
        <v>1782</v>
      </c>
      <c r="D5563" s="656" t="s">
        <v>448</v>
      </c>
      <c r="E5563" s="534">
        <v>635.76666299999999</v>
      </c>
    </row>
    <row r="5564" spans="2:5" x14ac:dyDescent="0.2">
      <c r="B5564" s="533">
        <v>6814</v>
      </c>
      <c r="C5564" s="533" t="s">
        <v>1848</v>
      </c>
      <c r="D5564" s="656" t="s">
        <v>448</v>
      </c>
      <c r="E5564" s="534">
        <v>638.21999500000004</v>
      </c>
    </row>
    <row r="5565" spans="2:5" x14ac:dyDescent="0.2">
      <c r="B5565" s="533">
        <v>6815</v>
      </c>
      <c r="C5565" s="533" t="s">
        <v>1432</v>
      </c>
      <c r="D5565" s="656" t="s">
        <v>448</v>
      </c>
      <c r="E5565" s="534">
        <v>617.28572299999996</v>
      </c>
    </row>
    <row r="5566" spans="2:5" x14ac:dyDescent="0.2">
      <c r="B5566" s="533">
        <v>6816</v>
      </c>
      <c r="C5566" s="533" t="s">
        <v>2685</v>
      </c>
      <c r="D5566" s="656" t="s">
        <v>448</v>
      </c>
      <c r="E5566" s="534">
        <v>675.54285500000003</v>
      </c>
    </row>
    <row r="5567" spans="2:5" x14ac:dyDescent="0.2">
      <c r="B5567" s="533">
        <v>6817</v>
      </c>
      <c r="C5567" s="533" t="s">
        <v>1179</v>
      </c>
      <c r="D5567" s="656" t="s">
        <v>448</v>
      </c>
      <c r="E5567" s="534">
        <v>603.29998799999998</v>
      </c>
    </row>
    <row r="5568" spans="2:5" x14ac:dyDescent="0.2">
      <c r="B5568" s="533">
        <v>6818</v>
      </c>
      <c r="C5568" s="533" t="s">
        <v>1123</v>
      </c>
      <c r="D5568" s="656" t="s">
        <v>448</v>
      </c>
      <c r="E5568" s="534">
        <v>599.58000500000003</v>
      </c>
    </row>
    <row r="5569" spans="2:5" x14ac:dyDescent="0.2">
      <c r="B5569" s="533">
        <v>6819</v>
      </c>
      <c r="C5569" s="533" t="s">
        <v>2814</v>
      </c>
      <c r="D5569" s="656" t="s">
        <v>448</v>
      </c>
      <c r="E5569" s="534">
        <v>682.27000699999996</v>
      </c>
    </row>
    <row r="5570" spans="2:5" x14ac:dyDescent="0.2">
      <c r="B5570" s="533">
        <v>6820</v>
      </c>
      <c r="C5570" s="533" t="s">
        <v>2476</v>
      </c>
      <c r="D5570" s="656" t="s">
        <v>448</v>
      </c>
      <c r="E5570" s="534">
        <v>665.20000100000004</v>
      </c>
    </row>
    <row r="5571" spans="2:5" x14ac:dyDescent="0.2">
      <c r="B5571" s="533">
        <v>6821</v>
      </c>
      <c r="C5571" s="533" t="s">
        <v>1650</v>
      </c>
      <c r="D5571" s="656" t="s">
        <v>448</v>
      </c>
      <c r="E5571" s="534">
        <v>630.06667100000004</v>
      </c>
    </row>
    <row r="5572" spans="2:5" x14ac:dyDescent="0.2">
      <c r="B5572" s="533">
        <v>6822</v>
      </c>
      <c r="C5572" s="533" t="s">
        <v>2358</v>
      </c>
      <c r="D5572" s="656" t="s">
        <v>448</v>
      </c>
      <c r="E5572" s="534">
        <v>660.47499100000005</v>
      </c>
    </row>
    <row r="5573" spans="2:5" x14ac:dyDescent="0.2">
      <c r="B5573" s="533">
        <v>6823</v>
      </c>
      <c r="C5573" s="533" t="s">
        <v>2403</v>
      </c>
      <c r="D5573" s="656" t="s">
        <v>448</v>
      </c>
      <c r="E5573" s="534">
        <v>662.95000200000004</v>
      </c>
    </row>
    <row r="5574" spans="2:5" x14ac:dyDescent="0.2">
      <c r="B5574" s="533">
        <v>6824</v>
      </c>
      <c r="C5574" s="533" t="s">
        <v>6618</v>
      </c>
      <c r="D5574" s="656" t="s">
        <v>448</v>
      </c>
      <c r="E5574" s="534">
        <v>666.20555999999999</v>
      </c>
    </row>
    <row r="5575" spans="2:5" x14ac:dyDescent="0.2">
      <c r="B5575" s="533">
        <v>6825</v>
      </c>
      <c r="C5575" s="533" t="s">
        <v>2482</v>
      </c>
      <c r="D5575" s="656" t="s">
        <v>448</v>
      </c>
      <c r="E5575" s="534">
        <v>665.40000899999995</v>
      </c>
    </row>
    <row r="5576" spans="2:5" x14ac:dyDescent="0.2">
      <c r="B5576" s="533">
        <v>6826</v>
      </c>
      <c r="C5576" s="533" t="s">
        <v>1622</v>
      </c>
      <c r="D5576" s="656" t="s">
        <v>448</v>
      </c>
      <c r="E5576" s="534">
        <v>628.05715499999997</v>
      </c>
    </row>
    <row r="5577" spans="2:5" x14ac:dyDescent="0.2">
      <c r="B5577" s="533">
        <v>6827</v>
      </c>
      <c r="C5577" s="533" t="s">
        <v>2481</v>
      </c>
      <c r="D5577" s="656" t="s">
        <v>448</v>
      </c>
      <c r="E5577" s="534">
        <v>665.38749700000005</v>
      </c>
    </row>
    <row r="5578" spans="2:5" x14ac:dyDescent="0.2">
      <c r="B5578" s="533">
        <v>6828</v>
      </c>
      <c r="C5578" s="533" t="s">
        <v>2439</v>
      </c>
      <c r="D5578" s="656" t="s">
        <v>448</v>
      </c>
      <c r="E5578" s="534">
        <v>664.092309</v>
      </c>
    </row>
    <row r="5579" spans="2:5" x14ac:dyDescent="0.2">
      <c r="B5579" s="533">
        <v>6829</v>
      </c>
      <c r="C5579" s="533" t="s">
        <v>2081</v>
      </c>
      <c r="D5579" s="656" t="s">
        <v>448</v>
      </c>
      <c r="E5579" s="534">
        <v>647.836365</v>
      </c>
    </row>
    <row r="5580" spans="2:5" x14ac:dyDescent="0.2">
      <c r="B5580" s="533">
        <v>6830</v>
      </c>
      <c r="C5580" s="533" t="s">
        <v>2162</v>
      </c>
      <c r="D5580" s="656" t="s">
        <v>448</v>
      </c>
      <c r="E5580" s="534">
        <v>651.861535</v>
      </c>
    </row>
    <row r="5581" spans="2:5" x14ac:dyDescent="0.2">
      <c r="B5581" s="533">
        <v>6831</v>
      </c>
      <c r="C5581" s="533" t="s">
        <v>2953</v>
      </c>
      <c r="D5581" s="656" t="s">
        <v>448</v>
      </c>
      <c r="E5581" s="534">
        <v>688.385716</v>
      </c>
    </row>
    <row r="5582" spans="2:5" x14ac:dyDescent="0.2">
      <c r="B5582" s="533">
        <v>6832</v>
      </c>
      <c r="C5582" s="533" t="s">
        <v>2621</v>
      </c>
      <c r="D5582" s="656" t="s">
        <v>448</v>
      </c>
      <c r="E5582" s="534">
        <v>672.97999900000002</v>
      </c>
    </row>
    <row r="5583" spans="2:5" x14ac:dyDescent="0.2">
      <c r="B5583" s="533">
        <v>6833</v>
      </c>
      <c r="C5583" s="533" t="s">
        <v>7186</v>
      </c>
      <c r="D5583" s="656" t="s">
        <v>448</v>
      </c>
      <c r="E5583" s="534">
        <v>666.629999</v>
      </c>
    </row>
    <row r="5584" spans="2:5" x14ac:dyDescent="0.2">
      <c r="B5584" s="533">
        <v>6834</v>
      </c>
      <c r="C5584" s="533" t="s">
        <v>7622</v>
      </c>
      <c r="D5584" s="656" t="s">
        <v>448</v>
      </c>
      <c r="E5584" s="534">
        <v>731.16428499999995</v>
      </c>
    </row>
    <row r="5585" spans="2:5" x14ac:dyDescent="0.2">
      <c r="B5585" s="533">
        <v>6835</v>
      </c>
      <c r="C5585" s="533" t="s">
        <v>3764</v>
      </c>
      <c r="D5585" s="656" t="s">
        <v>448</v>
      </c>
      <c r="E5585" s="534">
        <v>731.322225</v>
      </c>
    </row>
    <row r="5586" spans="2:5" x14ac:dyDescent="0.2">
      <c r="B5586" s="533">
        <v>6836</v>
      </c>
      <c r="C5586" s="533" t="s">
        <v>3085</v>
      </c>
      <c r="D5586" s="656" t="s">
        <v>448</v>
      </c>
      <c r="E5586" s="534">
        <v>695.625</v>
      </c>
    </row>
    <row r="5587" spans="2:5" x14ac:dyDescent="0.2">
      <c r="B5587" s="533">
        <v>6837</v>
      </c>
      <c r="C5587" s="533" t="s">
        <v>3071</v>
      </c>
      <c r="D5587" s="656" t="s">
        <v>448</v>
      </c>
      <c r="E5587" s="534">
        <v>695.16666699999996</v>
      </c>
    </row>
    <row r="5588" spans="2:5" x14ac:dyDescent="0.2">
      <c r="B5588" s="533">
        <v>6838</v>
      </c>
      <c r="C5588" s="533" t="s">
        <v>2592</v>
      </c>
      <c r="D5588" s="656" t="s">
        <v>448</v>
      </c>
      <c r="E5588" s="534">
        <v>670.76249700000005</v>
      </c>
    </row>
    <row r="5589" spans="2:5" x14ac:dyDescent="0.2">
      <c r="B5589" s="533">
        <v>6839</v>
      </c>
      <c r="C5589" s="533" t="s">
        <v>2813</v>
      </c>
      <c r="D5589" s="656" t="s">
        <v>448</v>
      </c>
      <c r="E5589" s="534">
        <v>682.24285899999995</v>
      </c>
    </row>
    <row r="5590" spans="2:5" x14ac:dyDescent="0.2">
      <c r="B5590" s="533">
        <v>6840</v>
      </c>
      <c r="C5590" s="533" t="s">
        <v>2666</v>
      </c>
      <c r="D5590" s="656" t="s">
        <v>448</v>
      </c>
      <c r="E5590" s="534">
        <v>674.85999800000002</v>
      </c>
    </row>
    <row r="5591" spans="2:5" x14ac:dyDescent="0.2">
      <c r="B5591" s="533">
        <v>6841</v>
      </c>
      <c r="C5591" s="533" t="s">
        <v>2737</v>
      </c>
      <c r="D5591" s="656" t="s">
        <v>448</v>
      </c>
      <c r="E5591" s="534">
        <v>678.05001100000004</v>
      </c>
    </row>
    <row r="5592" spans="2:5" x14ac:dyDescent="0.2">
      <c r="B5592" s="533">
        <v>6842</v>
      </c>
      <c r="C5592" s="533" t="s">
        <v>2274</v>
      </c>
      <c r="D5592" s="656" t="s">
        <v>448</v>
      </c>
      <c r="E5592" s="534">
        <v>656.51000399999998</v>
      </c>
    </row>
    <row r="5593" spans="2:5" x14ac:dyDescent="0.2">
      <c r="B5593" s="533">
        <v>6843</v>
      </c>
      <c r="C5593" s="533" t="s">
        <v>2604</v>
      </c>
      <c r="D5593" s="656" t="s">
        <v>448</v>
      </c>
      <c r="E5593" s="534">
        <v>671.5</v>
      </c>
    </row>
    <row r="5594" spans="2:5" x14ac:dyDescent="0.2">
      <c r="B5594" s="533">
        <v>6844</v>
      </c>
      <c r="C5594" s="533" t="s">
        <v>6543</v>
      </c>
      <c r="D5594" s="656" t="s">
        <v>448</v>
      </c>
      <c r="E5594" s="534">
        <v>650.911112</v>
      </c>
    </row>
    <row r="5595" spans="2:5" x14ac:dyDescent="0.2">
      <c r="B5595" s="533">
        <v>6845</v>
      </c>
      <c r="C5595" s="533" t="s">
        <v>1906</v>
      </c>
      <c r="D5595" s="656" t="s">
        <v>448</v>
      </c>
      <c r="E5595" s="534">
        <v>659.84665500000006</v>
      </c>
    </row>
    <row r="5596" spans="2:5" x14ac:dyDescent="0.2">
      <c r="B5596" s="533">
        <v>6846</v>
      </c>
      <c r="C5596" s="533" t="s">
        <v>2401</v>
      </c>
      <c r="D5596" s="656" t="s">
        <v>448</v>
      </c>
      <c r="E5596" s="534">
        <v>662.80769199999997</v>
      </c>
    </row>
    <row r="5597" spans="2:5" x14ac:dyDescent="0.2">
      <c r="B5597" s="533">
        <v>6847</v>
      </c>
      <c r="C5597" s="533" t="s">
        <v>2342</v>
      </c>
      <c r="D5597" s="656" t="s">
        <v>448</v>
      </c>
      <c r="E5597" s="534">
        <v>659.67498799999998</v>
      </c>
    </row>
    <row r="5598" spans="2:5" x14ac:dyDescent="0.2">
      <c r="B5598" s="533">
        <v>6848</v>
      </c>
      <c r="C5598" s="533" t="s">
        <v>2934</v>
      </c>
      <c r="D5598" s="656" t="s">
        <v>448</v>
      </c>
      <c r="E5598" s="534">
        <v>687.50000799999998</v>
      </c>
    </row>
    <row r="5599" spans="2:5" x14ac:dyDescent="0.2">
      <c r="B5599" s="533">
        <v>6849</v>
      </c>
      <c r="C5599" s="533" t="s">
        <v>2712</v>
      </c>
      <c r="D5599" s="656" t="s">
        <v>448</v>
      </c>
      <c r="E5599" s="534">
        <v>676.96362899999997</v>
      </c>
    </row>
    <row r="5600" spans="2:5" x14ac:dyDescent="0.2">
      <c r="B5600" s="533">
        <v>6850</v>
      </c>
      <c r="C5600" s="533" t="s">
        <v>2947</v>
      </c>
      <c r="D5600" s="656" t="s">
        <v>448</v>
      </c>
      <c r="E5600" s="534">
        <v>688.08332299999995</v>
      </c>
    </row>
    <row r="5601" spans="2:5" x14ac:dyDescent="0.2">
      <c r="B5601" s="533">
        <v>6851</v>
      </c>
      <c r="C5601" s="533" t="s">
        <v>3044</v>
      </c>
      <c r="D5601" s="656" t="s">
        <v>448</v>
      </c>
      <c r="E5601" s="534">
        <v>693.75</v>
      </c>
    </row>
    <row r="5602" spans="2:5" x14ac:dyDescent="0.2">
      <c r="B5602" s="533">
        <v>6852</v>
      </c>
      <c r="C5602" s="533" t="s">
        <v>6522</v>
      </c>
      <c r="D5602" s="656" t="s">
        <v>448</v>
      </c>
      <c r="E5602" s="534">
        <v>666.15000199999997</v>
      </c>
    </row>
    <row r="5603" spans="2:5" x14ac:dyDescent="0.2">
      <c r="B5603" s="533">
        <v>6853</v>
      </c>
      <c r="C5603" s="533" t="s">
        <v>2419</v>
      </c>
      <c r="D5603" s="656" t="s">
        <v>448</v>
      </c>
      <c r="E5603" s="534">
        <v>663.56734400000005</v>
      </c>
    </row>
    <row r="5604" spans="2:5" x14ac:dyDescent="0.2">
      <c r="B5604" s="533">
        <v>6854</v>
      </c>
      <c r="C5604" s="533" t="s">
        <v>7299</v>
      </c>
      <c r="D5604" s="656" t="s">
        <v>448</v>
      </c>
      <c r="E5604" s="534">
        <v>670.19999199999995</v>
      </c>
    </row>
    <row r="5605" spans="2:5" x14ac:dyDescent="0.2">
      <c r="B5605" s="533">
        <v>6855</v>
      </c>
      <c r="C5605" s="533" t="s">
        <v>2599</v>
      </c>
      <c r="D5605" s="656" t="s">
        <v>448</v>
      </c>
      <c r="E5605" s="534">
        <v>671.20001200000002</v>
      </c>
    </row>
    <row r="5606" spans="2:5" x14ac:dyDescent="0.2">
      <c r="B5606" s="533">
        <v>6856</v>
      </c>
      <c r="C5606" s="533" t="s">
        <v>2369</v>
      </c>
      <c r="D5606" s="656" t="s">
        <v>448</v>
      </c>
      <c r="E5606" s="534">
        <v>660.83334400000001</v>
      </c>
    </row>
    <row r="5607" spans="2:5" x14ac:dyDescent="0.2">
      <c r="B5607" s="533">
        <v>6857</v>
      </c>
      <c r="C5607" s="533" t="s">
        <v>2364</v>
      </c>
      <c r="D5607" s="656" t="s">
        <v>448</v>
      </c>
      <c r="E5607" s="534">
        <v>660.69999700000005</v>
      </c>
    </row>
    <row r="5608" spans="2:5" x14ac:dyDescent="0.2">
      <c r="B5608" s="533">
        <v>6858</v>
      </c>
      <c r="C5608" s="533" t="s">
        <v>2628</v>
      </c>
      <c r="D5608" s="656" t="s">
        <v>448</v>
      </c>
      <c r="E5608" s="534">
        <v>673.34666700000002</v>
      </c>
    </row>
    <row r="5609" spans="2:5" x14ac:dyDescent="0.2">
      <c r="B5609" s="533">
        <v>6859</v>
      </c>
      <c r="C5609" s="533" t="s">
        <v>2502</v>
      </c>
      <c r="D5609" s="656" t="s">
        <v>448</v>
      </c>
      <c r="E5609" s="534">
        <v>666.30001800000002</v>
      </c>
    </row>
    <row r="5610" spans="2:5" x14ac:dyDescent="0.2">
      <c r="B5610" s="533">
        <v>6860</v>
      </c>
      <c r="C5610" s="533" t="s">
        <v>2466</v>
      </c>
      <c r="D5610" s="656" t="s">
        <v>448</v>
      </c>
      <c r="E5610" s="534">
        <v>664.93332899999996</v>
      </c>
    </row>
    <row r="5611" spans="2:5" x14ac:dyDescent="0.2">
      <c r="B5611" s="533">
        <v>6861</v>
      </c>
      <c r="C5611" s="533" t="s">
        <v>2548</v>
      </c>
      <c r="D5611" s="656" t="s">
        <v>448</v>
      </c>
      <c r="E5611" s="534">
        <v>668.69999700000005</v>
      </c>
    </row>
    <row r="5612" spans="2:5" x14ac:dyDescent="0.2">
      <c r="B5612" s="533">
        <v>6862</v>
      </c>
      <c r="C5612" s="533" t="s">
        <v>2601</v>
      </c>
      <c r="D5612" s="656" t="s">
        <v>448</v>
      </c>
      <c r="E5612" s="534">
        <v>671.36923000000002</v>
      </c>
    </row>
    <row r="5613" spans="2:5" x14ac:dyDescent="0.2">
      <c r="B5613" s="533">
        <v>6863</v>
      </c>
      <c r="C5613" s="533" t="s">
        <v>954</v>
      </c>
      <c r="D5613" s="656" t="s">
        <v>448</v>
      </c>
      <c r="E5613" s="534">
        <v>668.80001200000004</v>
      </c>
    </row>
    <row r="5614" spans="2:5" x14ac:dyDescent="0.2">
      <c r="B5614" s="533">
        <v>6864</v>
      </c>
      <c r="C5614" s="533" t="s">
        <v>448</v>
      </c>
      <c r="D5614" s="656" t="s">
        <v>448</v>
      </c>
      <c r="E5614" s="534">
        <v>674.89090199999998</v>
      </c>
    </row>
    <row r="5615" spans="2:5" x14ac:dyDescent="0.2">
      <c r="B5615" s="533">
        <v>6865</v>
      </c>
      <c r="C5615" s="533" t="s">
        <v>2850</v>
      </c>
      <c r="D5615" s="656" t="s">
        <v>448</v>
      </c>
      <c r="E5615" s="534">
        <v>684.33077300000002</v>
      </c>
    </row>
    <row r="5616" spans="2:5" x14ac:dyDescent="0.2">
      <c r="B5616" s="533">
        <v>6866</v>
      </c>
      <c r="C5616" s="533" t="s">
        <v>2851</v>
      </c>
      <c r="D5616" s="656" t="s">
        <v>448</v>
      </c>
      <c r="E5616" s="534">
        <v>684.43570799999998</v>
      </c>
    </row>
    <row r="5617" spans="2:5" x14ac:dyDescent="0.2">
      <c r="B5617" s="533">
        <v>6867</v>
      </c>
      <c r="C5617" s="533" t="s">
        <v>2389</v>
      </c>
      <c r="D5617" s="656" t="s">
        <v>448</v>
      </c>
      <c r="E5617" s="534">
        <v>662.07058199999994</v>
      </c>
    </row>
    <row r="5618" spans="2:5" x14ac:dyDescent="0.2">
      <c r="B5618" s="533">
        <v>6868</v>
      </c>
      <c r="C5618" s="533" t="s">
        <v>1260</v>
      </c>
      <c r="D5618" s="656" t="s">
        <v>448</v>
      </c>
      <c r="E5618" s="534">
        <v>688.44444399999998</v>
      </c>
    </row>
    <row r="5619" spans="2:5" x14ac:dyDescent="0.2">
      <c r="B5619" s="533">
        <v>6869</v>
      </c>
      <c r="C5619" s="533" t="s">
        <v>7551</v>
      </c>
      <c r="D5619" s="656" t="s">
        <v>448</v>
      </c>
      <c r="E5619" s="534">
        <v>685.07273199999997</v>
      </c>
    </row>
    <row r="5620" spans="2:5" x14ac:dyDescent="0.2">
      <c r="B5620" s="533">
        <v>6870</v>
      </c>
      <c r="C5620" s="533" t="s">
        <v>7284</v>
      </c>
      <c r="D5620" s="656" t="s">
        <v>448</v>
      </c>
      <c r="E5620" s="534">
        <v>718.16002200000003</v>
      </c>
    </row>
    <row r="5621" spans="2:5" x14ac:dyDescent="0.2">
      <c r="B5621" s="533">
        <v>6871</v>
      </c>
      <c r="C5621" s="533" t="s">
        <v>3125</v>
      </c>
      <c r="D5621" s="656" t="s">
        <v>448</v>
      </c>
      <c r="E5621" s="534">
        <v>697.82000700000003</v>
      </c>
    </row>
    <row r="5622" spans="2:5" x14ac:dyDescent="0.2">
      <c r="B5622" s="533">
        <v>6872</v>
      </c>
      <c r="C5622" s="533" t="s">
        <v>3631</v>
      </c>
      <c r="D5622" s="656" t="s">
        <v>448</v>
      </c>
      <c r="E5622" s="534">
        <v>723.93333600000005</v>
      </c>
    </row>
    <row r="5623" spans="2:5" x14ac:dyDescent="0.2">
      <c r="B5623" s="533">
        <v>6873</v>
      </c>
      <c r="C5623" s="533" t="s">
        <v>3466</v>
      </c>
      <c r="D5623" s="656" t="s">
        <v>448</v>
      </c>
      <c r="E5623" s="534">
        <v>714.56001000000003</v>
      </c>
    </row>
    <row r="5624" spans="2:5" x14ac:dyDescent="0.2">
      <c r="B5624" s="533">
        <v>6874</v>
      </c>
      <c r="C5624" s="533" t="s">
        <v>3067</v>
      </c>
      <c r="D5624" s="656" t="s">
        <v>448</v>
      </c>
      <c r="E5624" s="534">
        <v>694.83845899999994</v>
      </c>
    </row>
    <row r="5625" spans="2:5" x14ac:dyDescent="0.2">
      <c r="B5625" s="533">
        <v>6875</v>
      </c>
      <c r="C5625" s="533" t="s">
        <v>3330</v>
      </c>
      <c r="D5625" s="656" t="s">
        <v>448</v>
      </c>
      <c r="E5625" s="534">
        <v>707.71666500000003</v>
      </c>
    </row>
    <row r="5626" spans="2:5" x14ac:dyDescent="0.2">
      <c r="B5626" s="533">
        <v>6876</v>
      </c>
      <c r="C5626" s="533" t="s">
        <v>3655</v>
      </c>
      <c r="D5626" s="656" t="s">
        <v>448</v>
      </c>
      <c r="E5626" s="534">
        <v>724.96666500000003</v>
      </c>
    </row>
    <row r="5627" spans="2:5" x14ac:dyDescent="0.2">
      <c r="B5627" s="533">
        <v>6877</v>
      </c>
      <c r="C5627" s="533" t="s">
        <v>3835</v>
      </c>
      <c r="D5627" s="656" t="s">
        <v>448</v>
      </c>
      <c r="E5627" s="534">
        <v>735.32499700000005</v>
      </c>
    </row>
    <row r="5628" spans="2:5" x14ac:dyDescent="0.2">
      <c r="B5628" s="533">
        <v>6878</v>
      </c>
      <c r="C5628" s="533" t="s">
        <v>4020</v>
      </c>
      <c r="D5628" s="656" t="s">
        <v>448</v>
      </c>
      <c r="E5628" s="534">
        <v>746.90000199999997</v>
      </c>
    </row>
    <row r="5629" spans="2:5" x14ac:dyDescent="0.2">
      <c r="B5629" s="533">
        <v>6879</v>
      </c>
      <c r="C5629" s="533" t="s">
        <v>3666</v>
      </c>
      <c r="D5629" s="656" t="s">
        <v>448</v>
      </c>
      <c r="E5629" s="534">
        <v>725.77499399999999</v>
      </c>
    </row>
    <row r="5630" spans="2:5" x14ac:dyDescent="0.2">
      <c r="B5630" s="533">
        <v>6880</v>
      </c>
      <c r="C5630" s="533" t="s">
        <v>4034</v>
      </c>
      <c r="D5630" s="656" t="s">
        <v>448</v>
      </c>
      <c r="E5630" s="534">
        <v>747.77499399999999</v>
      </c>
    </row>
    <row r="5631" spans="2:5" x14ac:dyDescent="0.2">
      <c r="B5631" s="533">
        <v>6881</v>
      </c>
      <c r="C5631" s="533" t="s">
        <v>4074</v>
      </c>
      <c r="D5631" s="656" t="s">
        <v>448</v>
      </c>
      <c r="E5631" s="534">
        <v>750.14999399999999</v>
      </c>
    </row>
    <row r="5632" spans="2:5" x14ac:dyDescent="0.2">
      <c r="B5632" s="533">
        <v>6882</v>
      </c>
      <c r="C5632" s="533" t="s">
        <v>4256</v>
      </c>
      <c r="D5632" s="656" t="s">
        <v>448</v>
      </c>
      <c r="E5632" s="534">
        <v>762.25998500000003</v>
      </c>
    </row>
    <row r="5633" spans="2:5" x14ac:dyDescent="0.2">
      <c r="B5633" s="533">
        <v>6883</v>
      </c>
      <c r="C5633" s="533" t="s">
        <v>3189</v>
      </c>
      <c r="D5633" s="656" t="s">
        <v>448</v>
      </c>
      <c r="E5633" s="534">
        <v>701</v>
      </c>
    </row>
    <row r="5634" spans="2:5" x14ac:dyDescent="0.2">
      <c r="B5634" s="533">
        <v>6884</v>
      </c>
      <c r="C5634" s="533" t="s">
        <v>3593</v>
      </c>
      <c r="D5634" s="656" t="s">
        <v>448</v>
      </c>
      <c r="E5634" s="534">
        <v>721.57499700000005</v>
      </c>
    </row>
    <row r="5635" spans="2:5" x14ac:dyDescent="0.2">
      <c r="B5635" s="533">
        <v>6885</v>
      </c>
      <c r="C5635" s="533" t="s">
        <v>3512</v>
      </c>
      <c r="D5635" s="656" t="s">
        <v>448</v>
      </c>
      <c r="E5635" s="534">
        <v>747.78001700000004</v>
      </c>
    </row>
    <row r="5636" spans="2:5" x14ac:dyDescent="0.2">
      <c r="B5636" s="533">
        <v>6886</v>
      </c>
      <c r="C5636" s="533" t="s">
        <v>3672</v>
      </c>
      <c r="D5636" s="656" t="s">
        <v>448</v>
      </c>
      <c r="E5636" s="534">
        <v>726.31249200000002</v>
      </c>
    </row>
    <row r="5637" spans="2:5" x14ac:dyDescent="0.2">
      <c r="B5637" s="533">
        <v>6887</v>
      </c>
      <c r="C5637" s="533" t="s">
        <v>3502</v>
      </c>
      <c r="D5637" s="656" t="s">
        <v>448</v>
      </c>
      <c r="E5637" s="534">
        <v>716.96154300000001</v>
      </c>
    </row>
    <row r="5638" spans="2:5" x14ac:dyDescent="0.2">
      <c r="B5638" s="533">
        <v>6888</v>
      </c>
      <c r="C5638" s="533" t="s">
        <v>3937</v>
      </c>
      <c r="D5638" s="656" t="s">
        <v>448</v>
      </c>
      <c r="E5638" s="534">
        <v>741.42500299999995</v>
      </c>
    </row>
    <row r="5639" spans="2:5" x14ac:dyDescent="0.2">
      <c r="B5639" s="533">
        <v>6889</v>
      </c>
      <c r="C5639" s="533" t="s">
        <v>3989</v>
      </c>
      <c r="D5639" s="656" t="s">
        <v>448</v>
      </c>
      <c r="E5639" s="534">
        <v>744.78333999999995</v>
      </c>
    </row>
    <row r="5640" spans="2:5" x14ac:dyDescent="0.2">
      <c r="B5640" s="533">
        <v>6890</v>
      </c>
      <c r="C5640" s="533" t="s">
        <v>4095</v>
      </c>
      <c r="D5640" s="656" t="s">
        <v>448</v>
      </c>
      <c r="E5640" s="534">
        <v>751.05556200000001</v>
      </c>
    </row>
    <row r="5641" spans="2:5" x14ac:dyDescent="0.2">
      <c r="B5641" s="533">
        <v>6891</v>
      </c>
      <c r="C5641" s="533" t="s">
        <v>4246</v>
      </c>
      <c r="D5641" s="656" t="s">
        <v>448</v>
      </c>
      <c r="E5641" s="534">
        <v>761.27777800000001</v>
      </c>
    </row>
    <row r="5642" spans="2:5" x14ac:dyDescent="0.2">
      <c r="B5642" s="533">
        <v>6892</v>
      </c>
      <c r="C5642" s="533" t="s">
        <v>3375</v>
      </c>
      <c r="D5642" s="656" t="s">
        <v>448</v>
      </c>
      <c r="E5642" s="534">
        <v>709.93888700000002</v>
      </c>
    </row>
    <row r="5643" spans="2:5" x14ac:dyDescent="0.2">
      <c r="B5643" s="533">
        <v>6893</v>
      </c>
      <c r="C5643" s="533" t="s">
        <v>4167</v>
      </c>
      <c r="D5643" s="656" t="s">
        <v>448</v>
      </c>
      <c r="E5643" s="534">
        <v>755.70001200000002</v>
      </c>
    </row>
    <row r="5644" spans="2:5" x14ac:dyDescent="0.2">
      <c r="B5644" s="533">
        <v>6894</v>
      </c>
      <c r="C5644" s="533" t="s">
        <v>6790</v>
      </c>
      <c r="D5644" s="656" t="s">
        <v>448</v>
      </c>
      <c r="E5644" s="534">
        <v>713.70833300000004</v>
      </c>
    </row>
    <row r="5645" spans="2:5" x14ac:dyDescent="0.2">
      <c r="B5645" s="533">
        <v>6895</v>
      </c>
      <c r="C5645" s="533" t="s">
        <v>2707</v>
      </c>
      <c r="D5645" s="656" t="s">
        <v>448</v>
      </c>
      <c r="E5645" s="534">
        <v>676.60000600000001</v>
      </c>
    </row>
    <row r="5646" spans="2:5" x14ac:dyDescent="0.2">
      <c r="B5646" s="533">
        <v>6896</v>
      </c>
      <c r="C5646" s="533" t="s">
        <v>4215</v>
      </c>
      <c r="D5646" s="656" t="s">
        <v>448</v>
      </c>
      <c r="E5646" s="534">
        <v>759.56664999999998</v>
      </c>
    </row>
    <row r="5647" spans="2:5" x14ac:dyDescent="0.2">
      <c r="B5647" s="533">
        <v>6897</v>
      </c>
      <c r="C5647" s="533" t="s">
        <v>3162</v>
      </c>
      <c r="D5647" s="656" t="s">
        <v>448</v>
      </c>
      <c r="E5647" s="534">
        <v>717.52856899999995</v>
      </c>
    </row>
    <row r="5648" spans="2:5" x14ac:dyDescent="0.2">
      <c r="B5648" s="533">
        <v>6898</v>
      </c>
      <c r="C5648" s="533" t="s">
        <v>4386</v>
      </c>
      <c r="D5648" s="656" t="s">
        <v>448</v>
      </c>
      <c r="E5648" s="534">
        <v>771.96250899999995</v>
      </c>
    </row>
    <row r="5649" spans="2:5" x14ac:dyDescent="0.2">
      <c r="B5649" s="533">
        <v>6899</v>
      </c>
      <c r="C5649" s="533" t="s">
        <v>3565</v>
      </c>
      <c r="D5649" s="656" t="s">
        <v>448</v>
      </c>
      <c r="E5649" s="534">
        <v>719.89000899999996</v>
      </c>
    </row>
    <row r="5650" spans="2:5" x14ac:dyDescent="0.2">
      <c r="B5650" s="533">
        <v>6901</v>
      </c>
      <c r="C5650" s="533" t="s">
        <v>7625</v>
      </c>
      <c r="D5650" s="656" t="s">
        <v>457</v>
      </c>
      <c r="E5650" s="534">
        <v>747.53333199999997</v>
      </c>
    </row>
    <row r="5651" spans="2:5" x14ac:dyDescent="0.2">
      <c r="B5651" s="533">
        <v>6902</v>
      </c>
      <c r="C5651" s="533" t="s">
        <v>1871</v>
      </c>
      <c r="D5651" s="656" t="s">
        <v>457</v>
      </c>
      <c r="E5651" s="534">
        <v>751.70001200000002</v>
      </c>
    </row>
    <row r="5652" spans="2:5" x14ac:dyDescent="0.2">
      <c r="B5652" s="533">
        <v>6903</v>
      </c>
      <c r="C5652" s="533" t="s">
        <v>3831</v>
      </c>
      <c r="D5652" s="656" t="s">
        <v>457</v>
      </c>
      <c r="E5652" s="534">
        <v>735.12352399999997</v>
      </c>
    </row>
    <row r="5653" spans="2:5" x14ac:dyDescent="0.2">
      <c r="B5653" s="533">
        <v>6904</v>
      </c>
      <c r="C5653" s="533" t="s">
        <v>3692</v>
      </c>
      <c r="D5653" s="656" t="s">
        <v>457</v>
      </c>
      <c r="E5653" s="534">
        <v>727.28461600000003</v>
      </c>
    </row>
    <row r="5654" spans="2:5" x14ac:dyDescent="0.2">
      <c r="B5654" s="533">
        <v>6905</v>
      </c>
      <c r="C5654" s="533" t="s">
        <v>7250</v>
      </c>
      <c r="D5654" s="656" t="s">
        <v>457</v>
      </c>
      <c r="E5654" s="534">
        <v>724.78333499999997</v>
      </c>
    </row>
    <row r="5655" spans="2:5" x14ac:dyDescent="0.2">
      <c r="B5655" s="533">
        <v>6906</v>
      </c>
      <c r="C5655" s="533" t="s">
        <v>6753</v>
      </c>
      <c r="D5655" s="656" t="s">
        <v>457</v>
      </c>
      <c r="E5655" s="534">
        <v>715.12083399999995</v>
      </c>
    </row>
    <row r="5656" spans="2:5" x14ac:dyDescent="0.2">
      <c r="B5656" s="533">
        <v>6907</v>
      </c>
      <c r="C5656" s="533" t="s">
        <v>4309</v>
      </c>
      <c r="D5656" s="656" t="s">
        <v>457</v>
      </c>
      <c r="E5656" s="534">
        <v>766.01428199999998</v>
      </c>
    </row>
    <row r="5657" spans="2:5" x14ac:dyDescent="0.2">
      <c r="B5657" s="533">
        <v>6908</v>
      </c>
      <c r="C5657" s="533" t="s">
        <v>2701</v>
      </c>
      <c r="D5657" s="656" t="s">
        <v>457</v>
      </c>
      <c r="E5657" s="534">
        <v>754.5</v>
      </c>
    </row>
    <row r="5658" spans="2:5" x14ac:dyDescent="0.2">
      <c r="B5658" s="533">
        <v>6909</v>
      </c>
      <c r="C5658" s="533" t="s">
        <v>4581</v>
      </c>
      <c r="D5658" s="656" t="s">
        <v>457</v>
      </c>
      <c r="E5658" s="534">
        <v>786.89999799999998</v>
      </c>
    </row>
    <row r="5659" spans="2:5" x14ac:dyDescent="0.2">
      <c r="B5659" s="533">
        <v>6910</v>
      </c>
      <c r="C5659" s="533" t="s">
        <v>4383</v>
      </c>
      <c r="D5659" s="656" t="s">
        <v>457</v>
      </c>
      <c r="E5659" s="534">
        <v>771.79000900000005</v>
      </c>
    </row>
    <row r="5660" spans="2:5" x14ac:dyDescent="0.2">
      <c r="B5660" s="533">
        <v>6911</v>
      </c>
      <c r="C5660" s="533" t="s">
        <v>4122</v>
      </c>
      <c r="D5660" s="656" t="s">
        <v>457</v>
      </c>
      <c r="E5660" s="534">
        <v>752.508331</v>
      </c>
    </row>
    <row r="5661" spans="2:5" x14ac:dyDescent="0.2">
      <c r="B5661" s="533">
        <v>6912</v>
      </c>
      <c r="C5661" s="533" t="s">
        <v>2992</v>
      </c>
      <c r="D5661" s="656" t="s">
        <v>457</v>
      </c>
      <c r="E5661" s="534">
        <v>795</v>
      </c>
    </row>
    <row r="5662" spans="2:5" x14ac:dyDescent="0.2">
      <c r="B5662" s="533">
        <v>6913</v>
      </c>
      <c r="C5662" s="533" t="s">
        <v>4720</v>
      </c>
      <c r="D5662" s="656" t="s">
        <v>457</v>
      </c>
      <c r="E5662" s="534">
        <v>798.57500500000003</v>
      </c>
    </row>
    <row r="5663" spans="2:5" x14ac:dyDescent="0.2">
      <c r="B5663" s="533">
        <v>6914</v>
      </c>
      <c r="C5663" s="533" t="s">
        <v>3651</v>
      </c>
      <c r="D5663" s="656" t="s">
        <v>457</v>
      </c>
      <c r="E5663" s="534">
        <v>724.883331</v>
      </c>
    </row>
    <row r="5664" spans="2:5" x14ac:dyDescent="0.2">
      <c r="B5664" s="533">
        <v>6915</v>
      </c>
      <c r="C5664" s="533" t="s">
        <v>7071</v>
      </c>
      <c r="D5664" s="656" t="s">
        <v>457</v>
      </c>
      <c r="E5664" s="534">
        <v>791.15000899999995</v>
      </c>
    </row>
    <row r="5665" spans="2:5" x14ac:dyDescent="0.2">
      <c r="B5665" s="533">
        <v>6916</v>
      </c>
      <c r="C5665" s="533" t="s">
        <v>7357</v>
      </c>
      <c r="D5665" s="656" t="s">
        <v>457</v>
      </c>
      <c r="E5665" s="534">
        <v>823.27000099999998</v>
      </c>
    </row>
    <row r="5666" spans="2:5" x14ac:dyDescent="0.2">
      <c r="B5666" s="533">
        <v>6917</v>
      </c>
      <c r="C5666" s="533" t="s">
        <v>4814</v>
      </c>
      <c r="D5666" s="656" t="s">
        <v>457</v>
      </c>
      <c r="E5666" s="534">
        <v>805.66154100000006</v>
      </c>
    </row>
    <row r="5667" spans="2:5" x14ac:dyDescent="0.2">
      <c r="B5667" s="533">
        <v>6918</v>
      </c>
      <c r="C5667" s="533" t="s">
        <v>4923</v>
      </c>
      <c r="D5667" s="656" t="s">
        <v>457</v>
      </c>
      <c r="E5667" s="534">
        <v>815.00001499999996</v>
      </c>
    </row>
    <row r="5668" spans="2:5" x14ac:dyDescent="0.2">
      <c r="B5668" s="533">
        <v>6919</v>
      </c>
      <c r="C5668" s="533" t="s">
        <v>4783</v>
      </c>
      <c r="D5668" s="656" t="s">
        <v>457</v>
      </c>
      <c r="E5668" s="534">
        <v>802.89999399999999</v>
      </c>
    </row>
    <row r="5669" spans="2:5" x14ac:dyDescent="0.2">
      <c r="B5669" s="533">
        <v>6920</v>
      </c>
      <c r="C5669" s="533" t="s">
        <v>4200</v>
      </c>
      <c r="D5669" s="656" t="s">
        <v>457</v>
      </c>
      <c r="E5669" s="534">
        <v>758.11248799999998</v>
      </c>
    </row>
    <row r="5670" spans="2:5" x14ac:dyDescent="0.2">
      <c r="B5670" s="533">
        <v>6921</v>
      </c>
      <c r="C5670" s="533" t="s">
        <v>4231</v>
      </c>
      <c r="D5670" s="656" t="s">
        <v>457</v>
      </c>
      <c r="E5670" s="534">
        <v>760.34615899999994</v>
      </c>
    </row>
    <row r="5671" spans="2:5" x14ac:dyDescent="0.2">
      <c r="B5671" s="533">
        <v>6922</v>
      </c>
      <c r="C5671" s="533" t="s">
        <v>3898</v>
      </c>
      <c r="D5671" s="656" t="s">
        <v>457</v>
      </c>
      <c r="E5671" s="534">
        <v>739.5</v>
      </c>
    </row>
    <row r="5672" spans="2:5" x14ac:dyDescent="0.2">
      <c r="B5672" s="533">
        <v>6923</v>
      </c>
      <c r="C5672" s="533" t="s">
        <v>4573</v>
      </c>
      <c r="D5672" s="656" t="s">
        <v>457</v>
      </c>
      <c r="E5672" s="534">
        <v>786.60833200000002</v>
      </c>
    </row>
    <row r="5673" spans="2:5" x14ac:dyDescent="0.2">
      <c r="B5673" s="533">
        <v>6924</v>
      </c>
      <c r="C5673" s="533" t="s">
        <v>1307</v>
      </c>
      <c r="D5673" s="656" t="s">
        <v>457</v>
      </c>
      <c r="E5673" s="534">
        <v>610.54998799999998</v>
      </c>
    </row>
    <row r="5674" spans="2:5" x14ac:dyDescent="0.2">
      <c r="B5674" s="533">
        <v>6925</v>
      </c>
      <c r="C5674" s="533" t="s">
        <v>1530</v>
      </c>
      <c r="D5674" s="656" t="s">
        <v>457</v>
      </c>
      <c r="E5674" s="534">
        <v>622.81999499999995</v>
      </c>
    </row>
    <row r="5675" spans="2:5" x14ac:dyDescent="0.2">
      <c r="B5675" s="533">
        <v>6926</v>
      </c>
      <c r="C5675" s="533" t="s">
        <v>1378</v>
      </c>
      <c r="D5675" s="656" t="s">
        <v>457</v>
      </c>
      <c r="E5675" s="534">
        <v>614.46667500000001</v>
      </c>
    </row>
    <row r="5676" spans="2:5" x14ac:dyDescent="0.2">
      <c r="B5676" s="533">
        <v>6927</v>
      </c>
      <c r="C5676" s="533" t="s">
        <v>1409</v>
      </c>
      <c r="D5676" s="656" t="s">
        <v>457</v>
      </c>
      <c r="E5676" s="534">
        <v>616.37999300000001</v>
      </c>
    </row>
    <row r="5677" spans="2:5" x14ac:dyDescent="0.2">
      <c r="B5677" s="533">
        <v>6928</v>
      </c>
      <c r="C5677" s="533" t="s">
        <v>7219</v>
      </c>
      <c r="D5677" s="656" t="s">
        <v>457</v>
      </c>
      <c r="E5677" s="534">
        <v>701.54999799999996</v>
      </c>
    </row>
    <row r="5678" spans="2:5" x14ac:dyDescent="0.2">
      <c r="B5678" s="533">
        <v>6929</v>
      </c>
      <c r="C5678" s="533" t="s">
        <v>6908</v>
      </c>
      <c r="D5678" s="656" t="s">
        <v>457</v>
      </c>
      <c r="E5678" s="534">
        <v>645.74998500000004</v>
      </c>
    </row>
    <row r="5679" spans="2:5" x14ac:dyDescent="0.2">
      <c r="B5679" s="533">
        <v>6930</v>
      </c>
      <c r="C5679" s="533" t="s">
        <v>2192</v>
      </c>
      <c r="D5679" s="656" t="s">
        <v>457</v>
      </c>
      <c r="E5679" s="534">
        <v>652.97143600000004</v>
      </c>
    </row>
    <row r="5680" spans="2:5" x14ac:dyDescent="0.2">
      <c r="B5680" s="533">
        <v>6931</v>
      </c>
      <c r="C5680" s="533" t="s">
        <v>6584</v>
      </c>
      <c r="D5680" s="656" t="s">
        <v>457</v>
      </c>
      <c r="E5680" s="534">
        <v>608.30001800000002</v>
      </c>
    </row>
    <row r="5681" spans="2:5" x14ac:dyDescent="0.2">
      <c r="B5681" s="533">
        <v>6932</v>
      </c>
      <c r="C5681" s="533" t="s">
        <v>3387</v>
      </c>
      <c r="D5681" s="656" t="s">
        <v>457</v>
      </c>
      <c r="E5681" s="534">
        <v>710.72500600000001</v>
      </c>
    </row>
    <row r="5682" spans="2:5" x14ac:dyDescent="0.2">
      <c r="B5682" s="533">
        <v>6933</v>
      </c>
      <c r="C5682" s="533" t="s">
        <v>2494</v>
      </c>
      <c r="D5682" s="656" t="s">
        <v>457</v>
      </c>
      <c r="E5682" s="534">
        <v>665.77777100000003</v>
      </c>
    </row>
    <row r="5683" spans="2:5" x14ac:dyDescent="0.2">
      <c r="B5683" s="533">
        <v>6934</v>
      </c>
      <c r="C5683" s="533" t="s">
        <v>1007</v>
      </c>
      <c r="D5683" s="656" t="s">
        <v>457</v>
      </c>
      <c r="E5683" s="534">
        <v>750.57778599999995</v>
      </c>
    </row>
    <row r="5684" spans="2:5" x14ac:dyDescent="0.2">
      <c r="B5684" s="533">
        <v>6935</v>
      </c>
      <c r="C5684" s="533" t="s">
        <v>3191</v>
      </c>
      <c r="D5684" s="656" t="s">
        <v>457</v>
      </c>
      <c r="E5684" s="534">
        <v>701.12223300000005</v>
      </c>
    </row>
    <row r="5685" spans="2:5" x14ac:dyDescent="0.2">
      <c r="B5685" s="533">
        <v>6936</v>
      </c>
      <c r="C5685" s="533" t="s">
        <v>3875</v>
      </c>
      <c r="D5685" s="656" t="s">
        <v>457</v>
      </c>
      <c r="E5685" s="534">
        <v>737.86249499999997</v>
      </c>
    </row>
    <row r="5686" spans="2:5" x14ac:dyDescent="0.2">
      <c r="B5686" s="533">
        <v>6937</v>
      </c>
      <c r="C5686" s="533" t="s">
        <v>4766</v>
      </c>
      <c r="D5686" s="656" t="s">
        <v>457</v>
      </c>
      <c r="E5686" s="534">
        <v>802</v>
      </c>
    </row>
    <row r="5687" spans="2:5" x14ac:dyDescent="0.2">
      <c r="B5687" s="533">
        <v>6938</v>
      </c>
      <c r="C5687" s="533" t="s">
        <v>4223</v>
      </c>
      <c r="D5687" s="656" t="s">
        <v>457</v>
      </c>
      <c r="E5687" s="534">
        <v>759.86665900000003</v>
      </c>
    </row>
    <row r="5688" spans="2:5" x14ac:dyDescent="0.2">
      <c r="B5688" s="533">
        <v>6939</v>
      </c>
      <c r="C5688" s="533" t="s">
        <v>3557</v>
      </c>
      <c r="D5688" s="656" t="s">
        <v>457</v>
      </c>
      <c r="E5688" s="534">
        <v>719.49999000000003</v>
      </c>
    </row>
    <row r="5689" spans="2:5" x14ac:dyDescent="0.2">
      <c r="B5689" s="533">
        <v>6940</v>
      </c>
      <c r="C5689" s="533" t="s">
        <v>3195</v>
      </c>
      <c r="D5689" s="656" t="s">
        <v>457</v>
      </c>
      <c r="E5689" s="534">
        <v>701.30001800000002</v>
      </c>
    </row>
    <row r="5690" spans="2:5" x14ac:dyDescent="0.2">
      <c r="B5690" s="533">
        <v>6941</v>
      </c>
      <c r="C5690" s="533" t="s">
        <v>3821</v>
      </c>
      <c r="D5690" s="656" t="s">
        <v>457</v>
      </c>
      <c r="E5690" s="534">
        <v>734.62307999999996</v>
      </c>
    </row>
    <row r="5691" spans="2:5" x14ac:dyDescent="0.2">
      <c r="B5691" s="533">
        <v>6942</v>
      </c>
      <c r="C5691" s="533" t="s">
        <v>4084</v>
      </c>
      <c r="D5691" s="656" t="s">
        <v>457</v>
      </c>
      <c r="E5691" s="534">
        <v>750.56000400000005</v>
      </c>
    </row>
    <row r="5692" spans="2:5" x14ac:dyDescent="0.2">
      <c r="B5692" s="533">
        <v>6943</v>
      </c>
      <c r="C5692" s="533" t="s">
        <v>4031</v>
      </c>
      <c r="D5692" s="656" t="s">
        <v>457</v>
      </c>
      <c r="E5692" s="534">
        <v>747.42499499999997</v>
      </c>
    </row>
    <row r="5693" spans="2:5" x14ac:dyDescent="0.2">
      <c r="B5693" s="533">
        <v>6944</v>
      </c>
      <c r="C5693" s="533" t="s">
        <v>2563</v>
      </c>
      <c r="D5693" s="656" t="s">
        <v>457</v>
      </c>
      <c r="E5693" s="534">
        <v>716.67999299999997</v>
      </c>
    </row>
    <row r="5694" spans="2:5" x14ac:dyDescent="0.2">
      <c r="B5694" s="533">
        <v>6945</v>
      </c>
      <c r="C5694" s="533" t="s">
        <v>2484</v>
      </c>
      <c r="D5694" s="656" t="s">
        <v>457</v>
      </c>
      <c r="E5694" s="534">
        <v>665.53333199999997</v>
      </c>
    </row>
    <row r="5695" spans="2:5" x14ac:dyDescent="0.2">
      <c r="B5695" s="533">
        <v>6946</v>
      </c>
      <c r="C5695" s="533" t="s">
        <v>7602</v>
      </c>
      <c r="D5695" s="656" t="s">
        <v>457</v>
      </c>
      <c r="E5695" s="534">
        <v>686.32307300000002</v>
      </c>
    </row>
    <row r="5696" spans="2:5" x14ac:dyDescent="0.2">
      <c r="B5696" s="533">
        <v>6947</v>
      </c>
      <c r="C5696" s="533" t="s">
        <v>2696</v>
      </c>
      <c r="D5696" s="656" t="s">
        <v>457</v>
      </c>
      <c r="E5696" s="534">
        <v>676.03635999999995</v>
      </c>
    </row>
    <row r="5697" spans="2:5" x14ac:dyDescent="0.2">
      <c r="B5697" s="533">
        <v>6948</v>
      </c>
      <c r="C5697" s="533" t="s">
        <v>6510</v>
      </c>
      <c r="D5697" s="656" t="s">
        <v>457</v>
      </c>
      <c r="E5697" s="534">
        <v>704.55999799999995</v>
      </c>
    </row>
    <row r="5698" spans="2:5" x14ac:dyDescent="0.2">
      <c r="B5698" s="533">
        <v>6949</v>
      </c>
      <c r="C5698" s="533" t="s">
        <v>7413</v>
      </c>
      <c r="D5698" s="656" t="s">
        <v>457</v>
      </c>
      <c r="E5698" s="534">
        <v>714.41999499999997</v>
      </c>
    </row>
    <row r="5699" spans="2:5" x14ac:dyDescent="0.2">
      <c r="B5699" s="533">
        <v>6950</v>
      </c>
      <c r="C5699" s="533" t="s">
        <v>3993</v>
      </c>
      <c r="D5699" s="656" t="s">
        <v>457</v>
      </c>
      <c r="E5699" s="534">
        <v>744.90000999999995</v>
      </c>
    </row>
    <row r="5700" spans="2:5" x14ac:dyDescent="0.2">
      <c r="B5700" s="533">
        <v>6951</v>
      </c>
      <c r="C5700" s="533" t="s">
        <v>2420</v>
      </c>
      <c r="D5700" s="656" t="s">
        <v>457</v>
      </c>
      <c r="E5700" s="534">
        <v>663.56999499999995</v>
      </c>
    </row>
    <row r="5701" spans="2:5" x14ac:dyDescent="0.2">
      <c r="B5701" s="533">
        <v>6952</v>
      </c>
      <c r="C5701" s="533" t="s">
        <v>2551</v>
      </c>
      <c r="D5701" s="656" t="s">
        <v>457</v>
      </c>
      <c r="E5701" s="534">
        <v>668.79998799999998</v>
      </c>
    </row>
    <row r="5702" spans="2:5" x14ac:dyDescent="0.2">
      <c r="B5702" s="533">
        <v>6953</v>
      </c>
      <c r="C5702" s="533" t="s">
        <v>2138</v>
      </c>
      <c r="D5702" s="656" t="s">
        <v>457</v>
      </c>
      <c r="E5702" s="534">
        <v>650.60001599999998</v>
      </c>
    </row>
    <row r="5703" spans="2:5" x14ac:dyDescent="0.2">
      <c r="B5703" s="533">
        <v>6954</v>
      </c>
      <c r="C5703" s="533" t="s">
        <v>2433</v>
      </c>
      <c r="D5703" s="656" t="s">
        <v>457</v>
      </c>
      <c r="E5703" s="534">
        <v>663.86000999999999</v>
      </c>
    </row>
    <row r="5704" spans="2:5" x14ac:dyDescent="0.2">
      <c r="B5704" s="533">
        <v>6955</v>
      </c>
      <c r="C5704" s="533" t="s">
        <v>2255</v>
      </c>
      <c r="D5704" s="656" t="s">
        <v>457</v>
      </c>
      <c r="E5704" s="534">
        <v>655.93333900000005</v>
      </c>
    </row>
    <row r="5705" spans="2:5" x14ac:dyDescent="0.2">
      <c r="B5705" s="533">
        <v>6956</v>
      </c>
      <c r="C5705" s="533" t="s">
        <v>2471</v>
      </c>
      <c r="D5705" s="656" t="s">
        <v>457</v>
      </c>
      <c r="E5705" s="534">
        <v>665.05833399999995</v>
      </c>
    </row>
    <row r="5706" spans="2:5" x14ac:dyDescent="0.2">
      <c r="B5706" s="533">
        <v>6957</v>
      </c>
      <c r="C5706" s="533" t="s">
        <v>2058</v>
      </c>
      <c r="D5706" s="656" t="s">
        <v>457</v>
      </c>
      <c r="E5706" s="534">
        <v>646.12499200000002</v>
      </c>
    </row>
    <row r="5707" spans="2:5" x14ac:dyDescent="0.2">
      <c r="B5707" s="533">
        <v>6958</v>
      </c>
      <c r="C5707" s="533" t="s">
        <v>1891</v>
      </c>
      <c r="D5707" s="656" t="s">
        <v>457</v>
      </c>
      <c r="E5707" s="534">
        <v>639.80000399999994</v>
      </c>
    </row>
    <row r="5708" spans="2:5" x14ac:dyDescent="0.2">
      <c r="B5708" s="533">
        <v>6959</v>
      </c>
      <c r="C5708" s="533" t="s">
        <v>2765</v>
      </c>
      <c r="D5708" s="656" t="s">
        <v>457</v>
      </c>
      <c r="E5708" s="534">
        <v>679.490906</v>
      </c>
    </row>
    <row r="5709" spans="2:5" x14ac:dyDescent="0.2">
      <c r="B5709" s="533">
        <v>6960</v>
      </c>
      <c r="C5709" s="533" t="s">
        <v>2724</v>
      </c>
      <c r="D5709" s="656" t="s">
        <v>457</v>
      </c>
      <c r="E5709" s="534">
        <v>677.370588</v>
      </c>
    </row>
    <row r="5710" spans="2:5" x14ac:dyDescent="0.2">
      <c r="B5710" s="533">
        <v>6961</v>
      </c>
      <c r="C5710" s="533" t="s">
        <v>2668</v>
      </c>
      <c r="D5710" s="656" t="s">
        <v>457</v>
      </c>
      <c r="E5710" s="534">
        <v>674.98000500000001</v>
      </c>
    </row>
    <row r="5711" spans="2:5" x14ac:dyDescent="0.2">
      <c r="B5711" s="533">
        <v>6962</v>
      </c>
      <c r="C5711" s="533" t="s">
        <v>2910</v>
      </c>
      <c r="D5711" s="656" t="s">
        <v>457</v>
      </c>
      <c r="E5711" s="534">
        <v>686.50000699999998</v>
      </c>
    </row>
    <row r="5712" spans="2:5" x14ac:dyDescent="0.2">
      <c r="B5712" s="533">
        <v>6963</v>
      </c>
      <c r="C5712" s="533" t="s">
        <v>2266</v>
      </c>
      <c r="D5712" s="656" t="s">
        <v>457</v>
      </c>
      <c r="E5712" s="534">
        <v>695.83332800000005</v>
      </c>
    </row>
    <row r="5713" spans="2:5" x14ac:dyDescent="0.2">
      <c r="B5713" s="533">
        <v>6964</v>
      </c>
      <c r="C5713" s="533" t="s">
        <v>2848</v>
      </c>
      <c r="D5713" s="656" t="s">
        <v>457</v>
      </c>
      <c r="E5713" s="534">
        <v>684.27500199999997</v>
      </c>
    </row>
    <row r="5714" spans="2:5" x14ac:dyDescent="0.2">
      <c r="B5714" s="533">
        <v>6965</v>
      </c>
      <c r="C5714" s="533" t="s">
        <v>2898</v>
      </c>
      <c r="D5714" s="656" t="s">
        <v>457</v>
      </c>
      <c r="E5714" s="534">
        <v>686.13334099999997</v>
      </c>
    </row>
    <row r="5715" spans="2:5" x14ac:dyDescent="0.2">
      <c r="B5715" s="533">
        <v>6966</v>
      </c>
      <c r="C5715" s="533" t="s">
        <v>2959</v>
      </c>
      <c r="D5715" s="656" t="s">
        <v>457</v>
      </c>
      <c r="E5715" s="534">
        <v>688.88000499999998</v>
      </c>
    </row>
    <row r="5716" spans="2:5" x14ac:dyDescent="0.2">
      <c r="B5716" s="533">
        <v>6967</v>
      </c>
      <c r="C5716" s="533" t="s">
        <v>2844</v>
      </c>
      <c r="D5716" s="656" t="s">
        <v>457</v>
      </c>
      <c r="E5716" s="534">
        <v>684.04999399999997</v>
      </c>
    </row>
    <row r="5717" spans="2:5" x14ac:dyDescent="0.2">
      <c r="B5717" s="533">
        <v>6968</v>
      </c>
      <c r="C5717" s="533" t="s">
        <v>1153</v>
      </c>
      <c r="D5717" s="656" t="s">
        <v>457</v>
      </c>
      <c r="E5717" s="534">
        <v>682.23333700000001</v>
      </c>
    </row>
    <row r="5718" spans="2:5" x14ac:dyDescent="0.2">
      <c r="B5718" s="533">
        <v>6969</v>
      </c>
      <c r="C5718" s="533" t="s">
        <v>7561</v>
      </c>
      <c r="D5718" s="656" t="s">
        <v>457</v>
      </c>
      <c r="E5718" s="534">
        <v>698.86000999999999</v>
      </c>
    </row>
    <row r="5719" spans="2:5" x14ac:dyDescent="0.2">
      <c r="B5719" s="533">
        <v>6970</v>
      </c>
      <c r="C5719" s="533" t="s">
        <v>3021</v>
      </c>
      <c r="D5719" s="656" t="s">
        <v>457</v>
      </c>
      <c r="E5719" s="534">
        <v>692.43333900000005</v>
      </c>
    </row>
    <row r="5720" spans="2:5" x14ac:dyDescent="0.2">
      <c r="B5720" s="533">
        <v>6971</v>
      </c>
      <c r="C5720" s="533" t="s">
        <v>2943</v>
      </c>
      <c r="D5720" s="656" t="s">
        <v>457</v>
      </c>
      <c r="E5720" s="534">
        <v>687.98332700000003</v>
      </c>
    </row>
    <row r="5721" spans="2:5" x14ac:dyDescent="0.2">
      <c r="B5721" s="533">
        <v>6972</v>
      </c>
      <c r="C5721" s="533" t="s">
        <v>760</v>
      </c>
      <c r="D5721" s="656" t="s">
        <v>457</v>
      </c>
      <c r="E5721" s="534">
        <v>678.45001200000002</v>
      </c>
    </row>
    <row r="5722" spans="2:5" x14ac:dyDescent="0.2">
      <c r="B5722" s="533">
        <v>6973</v>
      </c>
      <c r="C5722" s="533" t="s">
        <v>2699</v>
      </c>
      <c r="D5722" s="656" t="s">
        <v>457</v>
      </c>
      <c r="E5722" s="534">
        <v>676.15000899999995</v>
      </c>
    </row>
    <row r="5723" spans="2:5" x14ac:dyDescent="0.2">
      <c r="B5723" s="533">
        <v>6974</v>
      </c>
      <c r="C5723" s="533" t="s">
        <v>3162</v>
      </c>
      <c r="D5723" s="656" t="s">
        <v>457</v>
      </c>
      <c r="E5723" s="534">
        <v>700.93333900000005</v>
      </c>
    </row>
    <row r="5724" spans="2:5" x14ac:dyDescent="0.2">
      <c r="B5724" s="533">
        <v>6975</v>
      </c>
      <c r="C5724" s="533" t="s">
        <v>2108</v>
      </c>
      <c r="D5724" s="656" t="s">
        <v>457</v>
      </c>
      <c r="E5724" s="534">
        <v>694.80000800000005</v>
      </c>
    </row>
    <row r="5725" spans="2:5" x14ac:dyDescent="0.2">
      <c r="B5725" s="533">
        <v>6976</v>
      </c>
      <c r="C5725" s="533" t="s">
        <v>7220</v>
      </c>
      <c r="D5725" s="656" t="s">
        <v>457</v>
      </c>
      <c r="E5725" s="534">
        <v>699.600009</v>
      </c>
    </row>
    <row r="5726" spans="2:5" x14ac:dyDescent="0.2">
      <c r="B5726" s="533">
        <v>6977</v>
      </c>
      <c r="C5726" s="533" t="s">
        <v>3522</v>
      </c>
      <c r="D5726" s="656" t="s">
        <v>457</v>
      </c>
      <c r="E5726" s="534">
        <v>717.90000399999997</v>
      </c>
    </row>
    <row r="5727" spans="2:5" x14ac:dyDescent="0.2">
      <c r="B5727" s="533">
        <v>6978</v>
      </c>
      <c r="C5727" s="533" t="s">
        <v>6501</v>
      </c>
      <c r="D5727" s="656" t="s">
        <v>457</v>
      </c>
      <c r="E5727" s="534">
        <v>668.64615100000003</v>
      </c>
    </row>
    <row r="5728" spans="2:5" x14ac:dyDescent="0.2">
      <c r="B5728" s="533">
        <v>6979</v>
      </c>
      <c r="C5728" s="533" t="s">
        <v>2670</v>
      </c>
      <c r="D5728" s="656" t="s">
        <v>457</v>
      </c>
      <c r="E5728" s="534">
        <v>675.14999399999999</v>
      </c>
    </row>
    <row r="5729" spans="2:5" x14ac:dyDescent="0.2">
      <c r="B5729" s="533">
        <v>6980</v>
      </c>
      <c r="C5729" s="533" t="s">
        <v>2820</v>
      </c>
      <c r="D5729" s="656" t="s">
        <v>457</v>
      </c>
      <c r="E5729" s="534">
        <v>682.61429299999998</v>
      </c>
    </row>
    <row r="5730" spans="2:5" x14ac:dyDescent="0.2">
      <c r="B5730" s="533">
        <v>6981</v>
      </c>
      <c r="C5730" s="533" t="s">
        <v>2470</v>
      </c>
      <c r="D5730" s="656" t="s">
        <v>457</v>
      </c>
      <c r="E5730" s="534">
        <v>665.03749800000003</v>
      </c>
    </row>
    <row r="5731" spans="2:5" x14ac:dyDescent="0.2">
      <c r="B5731" s="533">
        <v>6982</v>
      </c>
      <c r="C5731" s="533" t="s">
        <v>2845</v>
      </c>
      <c r="D5731" s="656" t="s">
        <v>457</v>
      </c>
      <c r="E5731" s="534">
        <v>684.08749399999999</v>
      </c>
    </row>
    <row r="5732" spans="2:5" x14ac:dyDescent="0.2">
      <c r="B5732" s="533">
        <v>6983</v>
      </c>
      <c r="C5732" s="533" t="s">
        <v>2981</v>
      </c>
      <c r="D5732" s="656" t="s">
        <v>442</v>
      </c>
      <c r="E5732" s="534">
        <v>690.22727299999997</v>
      </c>
    </row>
    <row r="5733" spans="2:5" x14ac:dyDescent="0.2">
      <c r="B5733" s="533">
        <v>6984</v>
      </c>
      <c r="C5733" s="533" t="s">
        <v>3031</v>
      </c>
      <c r="D5733" s="656" t="s">
        <v>442</v>
      </c>
      <c r="E5733" s="534">
        <v>710.62000699999999</v>
      </c>
    </row>
    <row r="5734" spans="2:5" x14ac:dyDescent="0.2">
      <c r="B5734" s="533">
        <v>6985</v>
      </c>
      <c r="C5734" s="533" t="s">
        <v>3838</v>
      </c>
      <c r="D5734" s="656" t="s">
        <v>442</v>
      </c>
      <c r="E5734" s="534">
        <v>735.55999799999995</v>
      </c>
    </row>
    <row r="5735" spans="2:5" x14ac:dyDescent="0.2">
      <c r="B5735" s="533">
        <v>6986</v>
      </c>
      <c r="C5735" s="533" t="s">
        <v>2905</v>
      </c>
      <c r="D5735" s="656" t="s">
        <v>442</v>
      </c>
      <c r="E5735" s="534">
        <v>686.31333400000005</v>
      </c>
    </row>
    <row r="5736" spans="2:5" x14ac:dyDescent="0.2">
      <c r="B5736" s="533">
        <v>6987</v>
      </c>
      <c r="C5736" s="533" t="s">
        <v>3039</v>
      </c>
      <c r="D5736" s="656" t="s">
        <v>442</v>
      </c>
      <c r="E5736" s="534">
        <v>693.57999299999994</v>
      </c>
    </row>
    <row r="5737" spans="2:5" x14ac:dyDescent="0.2">
      <c r="B5737" s="533">
        <v>6988</v>
      </c>
      <c r="C5737" s="533" t="s">
        <v>3910</v>
      </c>
      <c r="D5737" s="656" t="s">
        <v>442</v>
      </c>
      <c r="E5737" s="534">
        <v>740.04998799999998</v>
      </c>
    </row>
    <row r="5738" spans="2:5" x14ac:dyDescent="0.2">
      <c r="B5738" s="533">
        <v>6989</v>
      </c>
      <c r="C5738" s="533" t="s">
        <v>2853</v>
      </c>
      <c r="D5738" s="656" t="s">
        <v>442</v>
      </c>
      <c r="E5738" s="534">
        <v>699.29999699999996</v>
      </c>
    </row>
    <row r="5739" spans="2:5" x14ac:dyDescent="0.2">
      <c r="B5739" s="533">
        <v>6990</v>
      </c>
      <c r="C5739" s="533" t="s">
        <v>7101</v>
      </c>
      <c r="D5739" s="656" t="s">
        <v>442</v>
      </c>
      <c r="E5739" s="534">
        <v>737.14000199999998</v>
      </c>
    </row>
    <row r="5740" spans="2:5" x14ac:dyDescent="0.2">
      <c r="B5740" s="533">
        <v>6991</v>
      </c>
      <c r="C5740" s="533" t="s">
        <v>3278</v>
      </c>
      <c r="D5740" s="656" t="s">
        <v>447</v>
      </c>
      <c r="E5740" s="534">
        <v>705.10000300000002</v>
      </c>
    </row>
    <row r="5741" spans="2:5" x14ac:dyDescent="0.2">
      <c r="B5741" s="533">
        <v>6992</v>
      </c>
      <c r="C5741" s="533" t="s">
        <v>3400</v>
      </c>
      <c r="D5741" s="656" t="s">
        <v>447</v>
      </c>
      <c r="E5741" s="534">
        <v>711.73331700000006</v>
      </c>
    </row>
    <row r="5742" spans="2:5" x14ac:dyDescent="0.2">
      <c r="B5742" s="533">
        <v>6993</v>
      </c>
      <c r="C5742" s="533" t="s">
        <v>3423</v>
      </c>
      <c r="D5742" s="656" t="s">
        <v>442</v>
      </c>
      <c r="E5742" s="534">
        <v>712.5</v>
      </c>
    </row>
    <row r="5743" spans="2:5" x14ac:dyDescent="0.2">
      <c r="B5743" s="533">
        <v>6994</v>
      </c>
      <c r="C5743" s="533" t="s">
        <v>3882</v>
      </c>
      <c r="D5743" s="656" t="s">
        <v>447</v>
      </c>
      <c r="E5743" s="534">
        <v>738.1</v>
      </c>
    </row>
    <row r="5744" spans="2:5" x14ac:dyDescent="0.2">
      <c r="B5744" s="533">
        <v>6995</v>
      </c>
      <c r="C5744" s="533" t="s">
        <v>1972</v>
      </c>
      <c r="D5744" s="656" t="s">
        <v>442</v>
      </c>
      <c r="E5744" s="534">
        <v>746.38570700000002</v>
      </c>
    </row>
    <row r="5745" spans="2:5" x14ac:dyDescent="0.2">
      <c r="B5745" s="533">
        <v>6996</v>
      </c>
      <c r="C5745" s="533" t="s">
        <v>3050</v>
      </c>
      <c r="D5745" s="656" t="s">
        <v>442</v>
      </c>
      <c r="E5745" s="534">
        <v>694</v>
      </c>
    </row>
    <row r="5746" spans="2:5" x14ac:dyDescent="0.2">
      <c r="B5746" s="533">
        <v>6997</v>
      </c>
      <c r="C5746" s="533" t="s">
        <v>4108</v>
      </c>
      <c r="D5746" s="656" t="s">
        <v>442</v>
      </c>
      <c r="E5746" s="534">
        <v>751.89999699999998</v>
      </c>
    </row>
    <row r="5747" spans="2:5" x14ac:dyDescent="0.2">
      <c r="B5747" s="533">
        <v>6998</v>
      </c>
      <c r="C5747" s="533" t="s">
        <v>3251</v>
      </c>
      <c r="D5747" s="656" t="s">
        <v>442</v>
      </c>
      <c r="E5747" s="534">
        <v>703.59999600000003</v>
      </c>
    </row>
    <row r="5748" spans="2:5" x14ac:dyDescent="0.2">
      <c r="B5748" s="533">
        <v>6999</v>
      </c>
      <c r="C5748" s="533" t="s">
        <v>3322</v>
      </c>
      <c r="D5748" s="656" t="s">
        <v>442</v>
      </c>
      <c r="E5748" s="534">
        <v>707.5</v>
      </c>
    </row>
    <row r="5749" spans="2:5" x14ac:dyDescent="0.2">
      <c r="B5749" s="533">
        <v>7000</v>
      </c>
      <c r="C5749" s="533" t="s">
        <v>3276</v>
      </c>
      <c r="D5749" s="656" t="s">
        <v>442</v>
      </c>
      <c r="E5749" s="534">
        <v>704.82857000000001</v>
      </c>
    </row>
    <row r="5750" spans="2:5" x14ac:dyDescent="0.2">
      <c r="B5750" s="533">
        <v>7001</v>
      </c>
      <c r="C5750" s="533" t="s">
        <v>3845</v>
      </c>
      <c r="D5750" s="656" t="s">
        <v>442</v>
      </c>
      <c r="E5750" s="534">
        <v>735.95999800000004</v>
      </c>
    </row>
    <row r="5751" spans="2:5" x14ac:dyDescent="0.2">
      <c r="B5751" s="533">
        <v>7002</v>
      </c>
      <c r="C5751" s="533" t="s">
        <v>4059</v>
      </c>
      <c r="D5751" s="656" t="s">
        <v>442</v>
      </c>
      <c r="E5751" s="534">
        <v>749.26249700000005</v>
      </c>
    </row>
    <row r="5752" spans="2:5" x14ac:dyDescent="0.2">
      <c r="B5752" s="533">
        <v>7003</v>
      </c>
      <c r="C5752" s="533" t="s">
        <v>2963</v>
      </c>
      <c r="D5752" s="656" t="s">
        <v>442</v>
      </c>
      <c r="E5752" s="534">
        <v>751.93076699999995</v>
      </c>
    </row>
    <row r="5753" spans="2:5" x14ac:dyDescent="0.2">
      <c r="B5753" s="533">
        <v>7004</v>
      </c>
      <c r="C5753" s="533" t="s">
        <v>3793</v>
      </c>
      <c r="D5753" s="656" t="s">
        <v>442</v>
      </c>
      <c r="E5753" s="534">
        <v>733.06667100000004</v>
      </c>
    </row>
    <row r="5754" spans="2:5" x14ac:dyDescent="0.2">
      <c r="B5754" s="533">
        <v>7005</v>
      </c>
      <c r="C5754" s="533" t="s">
        <v>4129</v>
      </c>
      <c r="D5754" s="656" t="s">
        <v>442</v>
      </c>
      <c r="E5754" s="534">
        <v>753.214294</v>
      </c>
    </row>
    <row r="5755" spans="2:5" x14ac:dyDescent="0.2">
      <c r="B5755" s="533">
        <v>7006</v>
      </c>
      <c r="C5755" s="533" t="s">
        <v>4188</v>
      </c>
      <c r="D5755" s="656" t="s">
        <v>442</v>
      </c>
      <c r="E5755" s="534">
        <v>757.52856399999996</v>
      </c>
    </row>
    <row r="5756" spans="2:5" x14ac:dyDescent="0.2">
      <c r="B5756" s="533">
        <v>7007</v>
      </c>
      <c r="C5756" s="533" t="s">
        <v>3107</v>
      </c>
      <c r="D5756" s="656" t="s">
        <v>382</v>
      </c>
      <c r="E5756" s="534">
        <v>696.85000600000001</v>
      </c>
    </row>
    <row r="5757" spans="2:5" x14ac:dyDescent="0.2">
      <c r="B5757" s="533">
        <v>7008</v>
      </c>
      <c r="C5757" s="533" t="s">
        <v>3422</v>
      </c>
      <c r="D5757" s="656" t="s">
        <v>382</v>
      </c>
      <c r="E5757" s="534">
        <v>712.49999400000002</v>
      </c>
    </row>
    <row r="5758" spans="2:5" x14ac:dyDescent="0.2">
      <c r="B5758" s="533">
        <v>7009</v>
      </c>
      <c r="C5758" s="533" t="s">
        <v>7038</v>
      </c>
      <c r="D5758" s="656" t="s">
        <v>382</v>
      </c>
      <c r="E5758" s="534">
        <v>622.71538399999997</v>
      </c>
    </row>
    <row r="5759" spans="2:5" x14ac:dyDescent="0.2">
      <c r="B5759" s="533">
        <v>7010</v>
      </c>
      <c r="C5759" s="533" t="s">
        <v>2077</v>
      </c>
      <c r="D5759" s="656" t="s">
        <v>382</v>
      </c>
      <c r="E5759" s="534">
        <v>683.30000600000005</v>
      </c>
    </row>
    <row r="5760" spans="2:5" x14ac:dyDescent="0.2">
      <c r="B5760" s="533">
        <v>7011</v>
      </c>
      <c r="C5760" s="533" t="s">
        <v>2868</v>
      </c>
      <c r="D5760" s="656" t="s">
        <v>382</v>
      </c>
      <c r="E5760" s="534">
        <v>684.96001000000001</v>
      </c>
    </row>
    <row r="5761" spans="2:5" x14ac:dyDescent="0.2">
      <c r="B5761" s="533">
        <v>7012</v>
      </c>
      <c r="C5761" s="533" t="s">
        <v>2182</v>
      </c>
      <c r="D5761" s="656" t="s">
        <v>382</v>
      </c>
      <c r="E5761" s="534">
        <v>691.40000199999997</v>
      </c>
    </row>
    <row r="5762" spans="2:5" x14ac:dyDescent="0.2">
      <c r="B5762" s="533">
        <v>7013</v>
      </c>
      <c r="C5762" s="533" t="s">
        <v>1426</v>
      </c>
      <c r="D5762" s="656" t="s">
        <v>382</v>
      </c>
      <c r="E5762" s="534">
        <v>707.04998799999998</v>
      </c>
    </row>
    <row r="5763" spans="2:5" x14ac:dyDescent="0.2">
      <c r="B5763" s="533">
        <v>7014</v>
      </c>
      <c r="C5763" s="533" t="s">
        <v>1910</v>
      </c>
      <c r="D5763" s="656" t="s">
        <v>382</v>
      </c>
      <c r="E5763" s="534">
        <v>640.72500600000001</v>
      </c>
    </row>
    <row r="5764" spans="2:5" x14ac:dyDescent="0.2">
      <c r="B5764" s="533">
        <v>7015</v>
      </c>
      <c r="C5764" s="533" t="s">
        <v>1689</v>
      </c>
      <c r="D5764" s="656" t="s">
        <v>382</v>
      </c>
      <c r="E5764" s="534">
        <v>632.20001200000002</v>
      </c>
    </row>
    <row r="5765" spans="2:5" x14ac:dyDescent="0.2">
      <c r="B5765" s="533">
        <v>7016</v>
      </c>
      <c r="C5765" s="533" t="s">
        <v>2224</v>
      </c>
      <c r="D5765" s="656" t="s">
        <v>382</v>
      </c>
      <c r="E5765" s="534">
        <v>654.57143699999995</v>
      </c>
    </row>
    <row r="5766" spans="2:5" x14ac:dyDescent="0.2">
      <c r="B5766" s="533">
        <v>7017</v>
      </c>
      <c r="C5766" s="533" t="s">
        <v>2005</v>
      </c>
      <c r="D5766" s="656" t="s">
        <v>382</v>
      </c>
      <c r="E5766" s="534">
        <v>643.86665900000003</v>
      </c>
    </row>
    <row r="5767" spans="2:5" x14ac:dyDescent="0.2">
      <c r="B5767" s="533">
        <v>7018</v>
      </c>
      <c r="C5767" s="533" t="s">
        <v>3075</v>
      </c>
      <c r="D5767" s="656" t="s">
        <v>382</v>
      </c>
      <c r="E5767" s="534">
        <v>695.22857699999997</v>
      </c>
    </row>
    <row r="5768" spans="2:5" x14ac:dyDescent="0.2">
      <c r="B5768" s="533">
        <v>7019</v>
      </c>
      <c r="C5768" s="533" t="s">
        <v>1276</v>
      </c>
      <c r="D5768" s="656" t="s">
        <v>382</v>
      </c>
      <c r="E5768" s="534">
        <v>644.79998799999998</v>
      </c>
    </row>
    <row r="5769" spans="2:5" x14ac:dyDescent="0.2">
      <c r="B5769" s="533">
        <v>7020</v>
      </c>
      <c r="C5769" s="533" t="s">
        <v>7482</v>
      </c>
      <c r="D5769" s="656" t="s">
        <v>382</v>
      </c>
      <c r="E5769" s="534">
        <v>664.76666299999999</v>
      </c>
    </row>
    <row r="5770" spans="2:5" x14ac:dyDescent="0.2">
      <c r="B5770" s="533">
        <v>7021</v>
      </c>
      <c r="C5770" s="533" t="s">
        <v>2591</v>
      </c>
      <c r="D5770" s="656" t="s">
        <v>382</v>
      </c>
      <c r="E5770" s="534">
        <v>670.70588199999997</v>
      </c>
    </row>
    <row r="5771" spans="2:5" x14ac:dyDescent="0.2">
      <c r="B5771" s="533">
        <v>7022</v>
      </c>
      <c r="C5771" s="533" t="s">
        <v>3038</v>
      </c>
      <c r="D5771" s="656" t="s">
        <v>382</v>
      </c>
      <c r="E5771" s="534">
        <v>693.54998799999998</v>
      </c>
    </row>
    <row r="5772" spans="2:5" x14ac:dyDescent="0.2">
      <c r="B5772" s="533">
        <v>7023</v>
      </c>
      <c r="C5772" s="533" t="s">
        <v>3393</v>
      </c>
      <c r="D5772" s="656" t="s">
        <v>382</v>
      </c>
      <c r="E5772" s="534">
        <v>711.07499700000005</v>
      </c>
    </row>
    <row r="5773" spans="2:5" x14ac:dyDescent="0.2">
      <c r="B5773" s="533">
        <v>7024</v>
      </c>
      <c r="C5773" s="533" t="s">
        <v>2918</v>
      </c>
      <c r="D5773" s="656" t="s">
        <v>382</v>
      </c>
      <c r="E5773" s="534">
        <v>687</v>
      </c>
    </row>
    <row r="5774" spans="2:5" x14ac:dyDescent="0.2">
      <c r="B5774" s="533">
        <v>7025</v>
      </c>
      <c r="C5774" s="533" t="s">
        <v>3674</v>
      </c>
      <c r="D5774" s="656" t="s">
        <v>382</v>
      </c>
      <c r="E5774" s="534">
        <v>726.31668100000002</v>
      </c>
    </row>
    <row r="5775" spans="2:5" x14ac:dyDescent="0.2">
      <c r="B5775" s="533">
        <v>7026</v>
      </c>
      <c r="C5775" s="533" t="s">
        <v>3973</v>
      </c>
      <c r="D5775" s="656" t="s">
        <v>382</v>
      </c>
      <c r="E5775" s="534">
        <v>744</v>
      </c>
    </row>
    <row r="5776" spans="2:5" x14ac:dyDescent="0.2">
      <c r="B5776" s="533">
        <v>7027</v>
      </c>
      <c r="C5776" s="533" t="s">
        <v>3512</v>
      </c>
      <c r="D5776" s="656" t="s">
        <v>382</v>
      </c>
      <c r="E5776" s="534">
        <v>717.43333900000005</v>
      </c>
    </row>
    <row r="5777" spans="2:5" x14ac:dyDescent="0.2">
      <c r="B5777" s="533">
        <v>7028</v>
      </c>
      <c r="C5777" s="533" t="s">
        <v>3212</v>
      </c>
      <c r="D5777" s="656" t="s">
        <v>382</v>
      </c>
      <c r="E5777" s="534">
        <v>702.21999500000004</v>
      </c>
    </row>
    <row r="5778" spans="2:5" x14ac:dyDescent="0.2">
      <c r="B5778" s="533">
        <v>7029</v>
      </c>
      <c r="C5778" s="533" t="s">
        <v>4065</v>
      </c>
      <c r="D5778" s="656" t="s">
        <v>382</v>
      </c>
      <c r="E5778" s="534">
        <v>749.63334099999997</v>
      </c>
    </row>
    <row r="5779" spans="2:5" x14ac:dyDescent="0.2">
      <c r="B5779" s="533">
        <v>7030</v>
      </c>
      <c r="C5779" s="533" t="s">
        <v>2145</v>
      </c>
      <c r="D5779" s="656" t="s">
        <v>382</v>
      </c>
      <c r="E5779" s="534">
        <v>650.97143600000004</v>
      </c>
    </row>
    <row r="5780" spans="2:5" x14ac:dyDescent="0.2">
      <c r="B5780" s="533">
        <v>7031</v>
      </c>
      <c r="C5780" s="533" t="s">
        <v>798</v>
      </c>
      <c r="D5780" s="656" t="s">
        <v>382</v>
      </c>
      <c r="E5780" s="534">
        <v>740.114284</v>
      </c>
    </row>
    <row r="5781" spans="2:5" x14ac:dyDescent="0.2">
      <c r="B5781" s="533">
        <v>7032</v>
      </c>
      <c r="C5781" s="533" t="s">
        <v>2990</v>
      </c>
      <c r="D5781" s="656" t="s">
        <v>382</v>
      </c>
      <c r="E5781" s="534">
        <v>690.63334099999997</v>
      </c>
    </row>
    <row r="5782" spans="2:5" x14ac:dyDescent="0.2">
      <c r="B5782" s="533">
        <v>7033</v>
      </c>
      <c r="C5782" s="533" t="s">
        <v>1971</v>
      </c>
      <c r="D5782" s="656" t="s">
        <v>382</v>
      </c>
      <c r="E5782" s="534">
        <v>642.72500600000001</v>
      </c>
    </row>
    <row r="5783" spans="2:5" x14ac:dyDescent="0.2">
      <c r="B5783" s="533">
        <v>7034</v>
      </c>
      <c r="C5783" s="533" t="s">
        <v>2929</v>
      </c>
      <c r="D5783" s="656" t="s">
        <v>382</v>
      </c>
      <c r="E5783" s="534">
        <v>687.38001699999995</v>
      </c>
    </row>
    <row r="5784" spans="2:5" x14ac:dyDescent="0.2">
      <c r="B5784" s="533">
        <v>7035</v>
      </c>
      <c r="C5784" s="533" t="s">
        <v>1318</v>
      </c>
      <c r="D5784" s="656" t="s">
        <v>382</v>
      </c>
      <c r="E5784" s="534">
        <v>709.95000500000003</v>
      </c>
    </row>
    <row r="5785" spans="2:5" x14ac:dyDescent="0.2">
      <c r="B5785" s="533">
        <v>7036</v>
      </c>
      <c r="C5785" s="533" t="s">
        <v>7436</v>
      </c>
      <c r="D5785" s="656" t="s">
        <v>382</v>
      </c>
      <c r="E5785" s="534">
        <v>686.66665599999999</v>
      </c>
    </row>
    <row r="5786" spans="2:5" x14ac:dyDescent="0.2">
      <c r="B5786" s="533">
        <v>7037</v>
      </c>
      <c r="C5786" s="533" t="s">
        <v>3639</v>
      </c>
      <c r="D5786" s="656" t="s">
        <v>382</v>
      </c>
      <c r="E5786" s="534">
        <v>724.27500899999995</v>
      </c>
    </row>
    <row r="5787" spans="2:5" x14ac:dyDescent="0.2">
      <c r="B5787" s="533">
        <v>7038</v>
      </c>
      <c r="C5787" s="533" t="s">
        <v>2811</v>
      </c>
      <c r="D5787" s="656" t="s">
        <v>382</v>
      </c>
      <c r="E5787" s="534">
        <v>682</v>
      </c>
    </row>
    <row r="5788" spans="2:5" x14ac:dyDescent="0.2">
      <c r="B5788" s="533">
        <v>7039</v>
      </c>
      <c r="C5788" s="533" t="s">
        <v>1476</v>
      </c>
      <c r="D5788" s="656" t="s">
        <v>457</v>
      </c>
      <c r="E5788" s="534">
        <v>641.42857100000003</v>
      </c>
    </row>
    <row r="5789" spans="2:5" x14ac:dyDescent="0.2">
      <c r="B5789" s="533">
        <v>7051</v>
      </c>
      <c r="C5789" s="533" t="s">
        <v>3365</v>
      </c>
      <c r="D5789" s="656" t="s">
        <v>451</v>
      </c>
      <c r="E5789" s="534">
        <v>709.52223000000004</v>
      </c>
    </row>
    <row r="5790" spans="2:5" x14ac:dyDescent="0.2">
      <c r="B5790" s="533">
        <v>7052</v>
      </c>
      <c r="C5790" s="533" t="s">
        <v>3202</v>
      </c>
      <c r="D5790" s="656" t="s">
        <v>451</v>
      </c>
      <c r="E5790" s="534">
        <v>701.71428600000002</v>
      </c>
    </row>
    <row r="5791" spans="2:5" x14ac:dyDescent="0.2">
      <c r="B5791" s="533">
        <v>7053</v>
      </c>
      <c r="C5791" s="533" t="s">
        <v>2784</v>
      </c>
      <c r="D5791" s="656" t="s">
        <v>451</v>
      </c>
      <c r="E5791" s="534">
        <v>680.47499100000005</v>
      </c>
    </row>
    <row r="5792" spans="2:5" x14ac:dyDescent="0.2">
      <c r="B5792" s="533">
        <v>7054</v>
      </c>
      <c r="C5792" s="533" t="s">
        <v>451</v>
      </c>
      <c r="D5792" s="656" t="s">
        <v>451</v>
      </c>
      <c r="E5792" s="534">
        <v>673.73199699999998</v>
      </c>
    </row>
    <row r="5793" spans="2:5" x14ac:dyDescent="0.2">
      <c r="B5793" s="533">
        <v>7055</v>
      </c>
      <c r="C5793" s="533" t="s">
        <v>2557</v>
      </c>
      <c r="D5793" s="656" t="s">
        <v>451</v>
      </c>
      <c r="E5793" s="534">
        <v>668.96000400000003</v>
      </c>
    </row>
    <row r="5794" spans="2:5" x14ac:dyDescent="0.2">
      <c r="B5794" s="533">
        <v>7056</v>
      </c>
      <c r="C5794" s="533" t="s">
        <v>2749</v>
      </c>
      <c r="D5794" s="656" t="s">
        <v>451</v>
      </c>
      <c r="E5794" s="534">
        <v>678.70000500000003</v>
      </c>
    </row>
    <row r="5795" spans="2:5" x14ac:dyDescent="0.2">
      <c r="B5795" s="533">
        <v>7057</v>
      </c>
      <c r="C5795" s="533" t="s">
        <v>2601</v>
      </c>
      <c r="D5795" s="656" t="s">
        <v>451</v>
      </c>
      <c r="E5795" s="534">
        <v>683.59999600000003</v>
      </c>
    </row>
    <row r="5796" spans="2:5" x14ac:dyDescent="0.2">
      <c r="B5796" s="533">
        <v>7058</v>
      </c>
      <c r="C5796" s="533" t="s">
        <v>3091</v>
      </c>
      <c r="D5796" s="656" t="s">
        <v>451</v>
      </c>
      <c r="E5796" s="534">
        <v>695.98750299999995</v>
      </c>
    </row>
    <row r="5797" spans="2:5" x14ac:dyDescent="0.2">
      <c r="B5797" s="533">
        <v>7059</v>
      </c>
      <c r="C5797" s="533" t="s">
        <v>3562</v>
      </c>
      <c r="D5797" s="656" t="s">
        <v>451</v>
      </c>
      <c r="E5797" s="534">
        <v>719.66665599999999</v>
      </c>
    </row>
    <row r="5798" spans="2:5" x14ac:dyDescent="0.2">
      <c r="B5798" s="533">
        <v>7060</v>
      </c>
      <c r="C5798" s="533" t="s">
        <v>3010</v>
      </c>
      <c r="D5798" s="656" t="s">
        <v>451</v>
      </c>
      <c r="E5798" s="534">
        <v>691.740002</v>
      </c>
    </row>
    <row r="5799" spans="2:5" x14ac:dyDescent="0.2">
      <c r="B5799" s="533">
        <v>7061</v>
      </c>
      <c r="C5799" s="533" t="s">
        <v>3627</v>
      </c>
      <c r="D5799" s="656" t="s">
        <v>451</v>
      </c>
      <c r="E5799" s="534">
        <v>723.759998</v>
      </c>
    </row>
    <row r="5800" spans="2:5" x14ac:dyDescent="0.2">
      <c r="B5800" s="533">
        <v>7062</v>
      </c>
      <c r="C5800" s="533" t="s">
        <v>3987</v>
      </c>
      <c r="D5800" s="656" t="s">
        <v>451</v>
      </c>
      <c r="E5800" s="534">
        <v>744.56666099999995</v>
      </c>
    </row>
    <row r="5801" spans="2:5" x14ac:dyDescent="0.2">
      <c r="B5801" s="533">
        <v>7063</v>
      </c>
      <c r="C5801" s="533" t="s">
        <v>2825</v>
      </c>
      <c r="D5801" s="656" t="s">
        <v>451</v>
      </c>
      <c r="E5801" s="534">
        <v>683.10000600000001</v>
      </c>
    </row>
    <row r="5802" spans="2:5" x14ac:dyDescent="0.2">
      <c r="B5802" s="533">
        <v>7064</v>
      </c>
      <c r="C5802" s="533" t="s">
        <v>2399</v>
      </c>
      <c r="D5802" s="656" t="s">
        <v>451</v>
      </c>
      <c r="E5802" s="534">
        <v>662.71666500000003</v>
      </c>
    </row>
    <row r="5803" spans="2:5" x14ac:dyDescent="0.2">
      <c r="B5803" s="533">
        <v>7065</v>
      </c>
      <c r="C5803" s="533" t="s">
        <v>2498</v>
      </c>
      <c r="D5803" s="656" t="s">
        <v>451</v>
      </c>
      <c r="E5803" s="534">
        <v>665.90000399999997</v>
      </c>
    </row>
    <row r="5804" spans="2:5" x14ac:dyDescent="0.2">
      <c r="B5804" s="533">
        <v>7066</v>
      </c>
      <c r="C5804" s="533" t="s">
        <v>2376</v>
      </c>
      <c r="D5804" s="656" t="s">
        <v>451</v>
      </c>
      <c r="E5804" s="534">
        <v>661.31427900000006</v>
      </c>
    </row>
    <row r="5805" spans="2:5" x14ac:dyDescent="0.2">
      <c r="B5805" s="533">
        <v>7067</v>
      </c>
      <c r="C5805" s="533" t="s">
        <v>7482</v>
      </c>
      <c r="D5805" s="656" t="s">
        <v>451</v>
      </c>
      <c r="E5805" s="534">
        <v>683.883331</v>
      </c>
    </row>
    <row r="5806" spans="2:5" x14ac:dyDescent="0.2">
      <c r="B5806" s="533">
        <v>7068</v>
      </c>
      <c r="C5806" s="533" t="s">
        <v>3162</v>
      </c>
      <c r="D5806" s="656" t="s">
        <v>451</v>
      </c>
      <c r="E5806" s="534">
        <v>699.81999499999995</v>
      </c>
    </row>
    <row r="5807" spans="2:5" x14ac:dyDescent="0.2">
      <c r="B5807" s="533">
        <v>7069</v>
      </c>
      <c r="C5807" s="533" t="s">
        <v>2563</v>
      </c>
      <c r="D5807" s="656" t="s">
        <v>451</v>
      </c>
      <c r="E5807" s="534">
        <v>728.29998799999998</v>
      </c>
    </row>
    <row r="5808" spans="2:5" x14ac:dyDescent="0.2">
      <c r="B5808" s="533">
        <v>7070</v>
      </c>
      <c r="C5808" s="533" t="s">
        <v>3243</v>
      </c>
      <c r="D5808" s="656" t="s">
        <v>451</v>
      </c>
      <c r="E5808" s="534">
        <v>703.34444900000005</v>
      </c>
    </row>
    <row r="5809" spans="2:5" x14ac:dyDescent="0.2">
      <c r="B5809" s="533">
        <v>7071</v>
      </c>
      <c r="C5809" s="533" t="s">
        <v>3497</v>
      </c>
      <c r="D5809" s="656" t="s">
        <v>451</v>
      </c>
      <c r="E5809" s="534">
        <v>716.36665900000003</v>
      </c>
    </row>
    <row r="5810" spans="2:5" x14ac:dyDescent="0.2">
      <c r="B5810" s="533">
        <v>7072</v>
      </c>
      <c r="C5810" s="533" t="s">
        <v>427</v>
      </c>
      <c r="D5810" s="656" t="s">
        <v>451</v>
      </c>
      <c r="E5810" s="534">
        <v>722.18749200000002</v>
      </c>
    </row>
    <row r="5811" spans="2:5" x14ac:dyDescent="0.2">
      <c r="B5811" s="533">
        <v>7073</v>
      </c>
      <c r="C5811" s="533" t="s">
        <v>2696</v>
      </c>
      <c r="D5811" s="656" t="s">
        <v>451</v>
      </c>
      <c r="E5811" s="534">
        <v>737.13332100000002</v>
      </c>
    </row>
    <row r="5812" spans="2:5" x14ac:dyDescent="0.2">
      <c r="B5812" s="533">
        <v>7074</v>
      </c>
      <c r="C5812" s="533" t="s">
        <v>4090</v>
      </c>
      <c r="D5812" s="656" t="s">
        <v>451</v>
      </c>
      <c r="E5812" s="534">
        <v>750.70001200000002</v>
      </c>
    </row>
    <row r="5813" spans="2:5" x14ac:dyDescent="0.2">
      <c r="B5813" s="533">
        <v>7075</v>
      </c>
      <c r="C5813" s="533" t="s">
        <v>3705</v>
      </c>
      <c r="D5813" s="656" t="s">
        <v>451</v>
      </c>
      <c r="E5813" s="534">
        <v>728.06001000000003</v>
      </c>
    </row>
    <row r="5814" spans="2:5" x14ac:dyDescent="0.2">
      <c r="B5814" s="533">
        <v>7076</v>
      </c>
      <c r="C5814" s="533" t="s">
        <v>3769</v>
      </c>
      <c r="D5814" s="656" t="s">
        <v>451</v>
      </c>
      <c r="E5814" s="534">
        <v>731.59997599999997</v>
      </c>
    </row>
    <row r="5815" spans="2:5" x14ac:dyDescent="0.2">
      <c r="B5815" s="533">
        <v>7077</v>
      </c>
      <c r="C5815" s="533" t="s">
        <v>3844</v>
      </c>
      <c r="D5815" s="656" t="s">
        <v>451</v>
      </c>
      <c r="E5815" s="534">
        <v>735.73333700000001</v>
      </c>
    </row>
    <row r="5816" spans="2:5" x14ac:dyDescent="0.2">
      <c r="B5816" s="533">
        <v>7078</v>
      </c>
      <c r="C5816" s="533" t="s">
        <v>3549</v>
      </c>
      <c r="D5816" s="656" t="s">
        <v>451</v>
      </c>
      <c r="E5816" s="534">
        <v>771.03334600000005</v>
      </c>
    </row>
    <row r="5817" spans="2:5" x14ac:dyDescent="0.2">
      <c r="B5817" s="533">
        <v>7079</v>
      </c>
      <c r="C5817" s="533" t="s">
        <v>4149</v>
      </c>
      <c r="D5817" s="656" t="s">
        <v>451</v>
      </c>
      <c r="E5817" s="534">
        <v>754.42500299999995</v>
      </c>
    </row>
    <row r="5818" spans="2:5" x14ac:dyDescent="0.2">
      <c r="B5818" s="533">
        <v>7080</v>
      </c>
      <c r="C5818" s="533" t="s">
        <v>4143</v>
      </c>
      <c r="D5818" s="656" t="s">
        <v>451</v>
      </c>
      <c r="E5818" s="534">
        <v>754.01999499999999</v>
      </c>
    </row>
    <row r="5819" spans="2:5" x14ac:dyDescent="0.2">
      <c r="B5819" s="533">
        <v>7081</v>
      </c>
      <c r="C5819" s="533" t="s">
        <v>3402</v>
      </c>
      <c r="D5819" s="656" t="s">
        <v>451</v>
      </c>
      <c r="E5819" s="534">
        <v>711.85000600000001</v>
      </c>
    </row>
    <row r="5820" spans="2:5" x14ac:dyDescent="0.2">
      <c r="B5820" s="533">
        <v>7082</v>
      </c>
      <c r="C5820" s="533" t="s">
        <v>3874</v>
      </c>
      <c r="D5820" s="656" t="s">
        <v>451</v>
      </c>
      <c r="E5820" s="534">
        <v>737.85000600000001</v>
      </c>
    </row>
    <row r="5821" spans="2:5" x14ac:dyDescent="0.2">
      <c r="B5821" s="533">
        <v>7083</v>
      </c>
      <c r="C5821" s="533" t="s">
        <v>3944</v>
      </c>
      <c r="D5821" s="656" t="s">
        <v>451</v>
      </c>
      <c r="E5821" s="534">
        <v>741.76666299999999</v>
      </c>
    </row>
    <row r="5822" spans="2:5" x14ac:dyDescent="0.2">
      <c r="B5822" s="533">
        <v>7084</v>
      </c>
      <c r="C5822" s="533" t="s">
        <v>4219</v>
      </c>
      <c r="D5822" s="656" t="s">
        <v>451</v>
      </c>
      <c r="E5822" s="534">
        <v>759.64999399999999</v>
      </c>
    </row>
    <row r="5823" spans="2:5" x14ac:dyDescent="0.2">
      <c r="B5823" s="533">
        <v>7085</v>
      </c>
      <c r="C5823" s="533" t="s">
        <v>4058</v>
      </c>
      <c r="D5823" s="656" t="s">
        <v>451</v>
      </c>
      <c r="E5823" s="534">
        <v>749.23332700000003</v>
      </c>
    </row>
    <row r="5824" spans="2:5" x14ac:dyDescent="0.2">
      <c r="B5824" s="533">
        <v>7086</v>
      </c>
      <c r="C5824" s="533" t="s">
        <v>4392</v>
      </c>
      <c r="D5824" s="656" t="s">
        <v>451</v>
      </c>
      <c r="E5824" s="534">
        <v>772.52500899999995</v>
      </c>
    </row>
    <row r="5825" spans="2:5" x14ac:dyDescent="0.2">
      <c r="B5825" s="533">
        <v>7087</v>
      </c>
      <c r="C5825" s="533" t="s">
        <v>4250</v>
      </c>
      <c r="D5825" s="656" t="s">
        <v>451</v>
      </c>
      <c r="E5825" s="534">
        <v>761.83749399999999</v>
      </c>
    </row>
    <row r="5826" spans="2:5" x14ac:dyDescent="0.2">
      <c r="B5826" s="533">
        <v>7088</v>
      </c>
      <c r="C5826" s="533" t="s">
        <v>3035</v>
      </c>
      <c r="D5826" s="656" t="s">
        <v>451</v>
      </c>
      <c r="E5826" s="534">
        <v>784.27499399999999</v>
      </c>
    </row>
    <row r="5827" spans="2:5" x14ac:dyDescent="0.2">
      <c r="B5827" s="533">
        <v>7089</v>
      </c>
      <c r="C5827" s="533" t="s">
        <v>4371</v>
      </c>
      <c r="D5827" s="656" t="s">
        <v>451</v>
      </c>
      <c r="E5827" s="534">
        <v>770.59999600000003</v>
      </c>
    </row>
    <row r="5828" spans="2:5" x14ac:dyDescent="0.2">
      <c r="B5828" s="533">
        <v>7090</v>
      </c>
      <c r="C5828" s="533" t="s">
        <v>4394</v>
      </c>
      <c r="D5828" s="656" t="s">
        <v>451</v>
      </c>
      <c r="E5828" s="534">
        <v>772.96667500000001</v>
      </c>
    </row>
    <row r="5829" spans="2:5" x14ac:dyDescent="0.2">
      <c r="B5829" s="533">
        <v>7091</v>
      </c>
      <c r="C5829" s="533" t="s">
        <v>6508</v>
      </c>
      <c r="D5829" s="656" t="s">
        <v>451</v>
      </c>
      <c r="E5829" s="534">
        <v>795.66428900000005</v>
      </c>
    </row>
    <row r="5830" spans="2:5" x14ac:dyDescent="0.2">
      <c r="B5830" s="533">
        <v>7092</v>
      </c>
      <c r="C5830" s="533" t="s">
        <v>1405</v>
      </c>
      <c r="D5830" s="656" t="s">
        <v>451</v>
      </c>
      <c r="E5830" s="534">
        <v>806.76668299999994</v>
      </c>
    </row>
    <row r="5831" spans="2:5" x14ac:dyDescent="0.2">
      <c r="B5831" s="533">
        <v>7093</v>
      </c>
      <c r="C5831" s="533" t="s">
        <v>4759</v>
      </c>
      <c r="D5831" s="656" t="s">
        <v>451</v>
      </c>
      <c r="E5831" s="534">
        <v>801.55714599999999</v>
      </c>
    </row>
    <row r="5832" spans="2:5" x14ac:dyDescent="0.2">
      <c r="B5832" s="533">
        <v>7094</v>
      </c>
      <c r="C5832" s="533" t="s">
        <v>4557</v>
      </c>
      <c r="D5832" s="656" t="s">
        <v>451</v>
      </c>
      <c r="E5832" s="534">
        <v>785.29998799999998</v>
      </c>
    </row>
    <row r="5833" spans="2:5" x14ac:dyDescent="0.2">
      <c r="B5833" s="533">
        <v>7095</v>
      </c>
      <c r="C5833" s="533" t="s">
        <v>4872</v>
      </c>
      <c r="D5833" s="656" t="s">
        <v>451</v>
      </c>
      <c r="E5833" s="534">
        <v>809.60001599999998</v>
      </c>
    </row>
    <row r="5834" spans="2:5" x14ac:dyDescent="0.2">
      <c r="B5834" s="533">
        <v>7096</v>
      </c>
      <c r="C5834" s="533" t="s">
        <v>4942</v>
      </c>
      <c r="D5834" s="656" t="s">
        <v>451</v>
      </c>
      <c r="E5834" s="534">
        <v>816.55555600000002</v>
      </c>
    </row>
    <row r="5835" spans="2:5" x14ac:dyDescent="0.2">
      <c r="B5835" s="533">
        <v>7097</v>
      </c>
      <c r="C5835" s="533" t="s">
        <v>4989</v>
      </c>
      <c r="D5835" s="656" t="s">
        <v>451</v>
      </c>
      <c r="E5835" s="534">
        <v>822.91666699999996</v>
      </c>
    </row>
    <row r="5836" spans="2:5" x14ac:dyDescent="0.2">
      <c r="B5836" s="533">
        <v>7098</v>
      </c>
      <c r="C5836" s="533" t="s">
        <v>7415</v>
      </c>
      <c r="D5836" s="656" t="s">
        <v>451</v>
      </c>
      <c r="E5836" s="534">
        <v>822.66250600000001</v>
      </c>
    </row>
    <row r="5837" spans="2:5" x14ac:dyDescent="0.2">
      <c r="B5837" s="533">
        <v>7099</v>
      </c>
      <c r="C5837" s="533" t="s">
        <v>7159</v>
      </c>
      <c r="D5837" s="656" t="s">
        <v>451</v>
      </c>
      <c r="E5837" s="534">
        <v>844.389996</v>
      </c>
    </row>
    <row r="5838" spans="2:5" x14ac:dyDescent="0.2">
      <c r="B5838" s="533">
        <v>7100</v>
      </c>
      <c r="C5838" s="533" t="s">
        <v>5214</v>
      </c>
      <c r="D5838" s="656" t="s">
        <v>451</v>
      </c>
      <c r="E5838" s="534">
        <v>849.5</v>
      </c>
    </row>
    <row r="5839" spans="2:5" x14ac:dyDescent="0.2">
      <c r="B5839" s="533">
        <v>7101</v>
      </c>
      <c r="C5839" s="533" t="s">
        <v>4673</v>
      </c>
      <c r="D5839" s="656" t="s">
        <v>451</v>
      </c>
      <c r="E5839" s="534">
        <v>794.43333299999995</v>
      </c>
    </row>
    <row r="5840" spans="2:5" x14ac:dyDescent="0.2">
      <c r="B5840" s="533">
        <v>7102</v>
      </c>
      <c r="C5840" s="533" t="s">
        <v>5237</v>
      </c>
      <c r="D5840" s="656" t="s">
        <v>451</v>
      </c>
      <c r="E5840" s="534">
        <v>853.24284999999998</v>
      </c>
    </row>
    <row r="5841" spans="2:5" x14ac:dyDescent="0.2">
      <c r="B5841" s="533">
        <v>7103</v>
      </c>
      <c r="C5841" s="533" t="s">
        <v>5608</v>
      </c>
      <c r="D5841" s="656" t="s">
        <v>451</v>
      </c>
      <c r="E5841" s="534">
        <v>916</v>
      </c>
    </row>
    <row r="5842" spans="2:5" x14ac:dyDescent="0.2">
      <c r="B5842" s="533">
        <v>7104</v>
      </c>
      <c r="C5842" s="533" t="s">
        <v>2108</v>
      </c>
      <c r="D5842" s="656" t="s">
        <v>450</v>
      </c>
      <c r="E5842" s="534">
        <v>649.35000600000001</v>
      </c>
    </row>
    <row r="5843" spans="2:5" x14ac:dyDescent="0.2">
      <c r="B5843" s="533">
        <v>7105</v>
      </c>
      <c r="C5843" s="533" t="s">
        <v>2432</v>
      </c>
      <c r="D5843" s="656" t="s">
        <v>450</v>
      </c>
      <c r="E5843" s="534">
        <v>663.82105100000001</v>
      </c>
    </row>
    <row r="5844" spans="2:5" x14ac:dyDescent="0.2">
      <c r="B5844" s="533">
        <v>7106</v>
      </c>
      <c r="C5844" s="533" t="s">
        <v>7343</v>
      </c>
      <c r="D5844" s="656" t="s">
        <v>450</v>
      </c>
      <c r="E5844" s="534">
        <v>646.48749499999997</v>
      </c>
    </row>
    <row r="5845" spans="2:5" x14ac:dyDescent="0.2">
      <c r="B5845" s="533">
        <v>7107</v>
      </c>
      <c r="C5845" s="533" t="s">
        <v>450</v>
      </c>
      <c r="D5845" s="656" t="s">
        <v>450</v>
      </c>
      <c r="E5845" s="534">
        <v>652.98333700000001</v>
      </c>
    </row>
    <row r="5846" spans="2:5" x14ac:dyDescent="0.2">
      <c r="B5846" s="533">
        <v>7108</v>
      </c>
      <c r="C5846" s="533" t="s">
        <v>2392</v>
      </c>
      <c r="D5846" s="656" t="s">
        <v>450</v>
      </c>
      <c r="E5846" s="534">
        <v>662.32499199999995</v>
      </c>
    </row>
    <row r="5847" spans="2:5" x14ac:dyDescent="0.2">
      <c r="B5847" s="533">
        <v>7109</v>
      </c>
      <c r="C5847" s="533" t="s">
        <v>2903</v>
      </c>
      <c r="D5847" s="656" t="s">
        <v>450</v>
      </c>
      <c r="E5847" s="534">
        <v>686.29998799999998</v>
      </c>
    </row>
    <row r="5848" spans="2:5" x14ac:dyDescent="0.2">
      <c r="B5848" s="533">
        <v>7110</v>
      </c>
      <c r="C5848" s="533" t="s">
        <v>3822</v>
      </c>
      <c r="D5848" s="656" t="s">
        <v>450</v>
      </c>
      <c r="E5848" s="534">
        <v>734.69998199999998</v>
      </c>
    </row>
    <row r="5849" spans="2:5" x14ac:dyDescent="0.2">
      <c r="B5849" s="533">
        <v>7111</v>
      </c>
      <c r="C5849" s="533" t="s">
        <v>2994</v>
      </c>
      <c r="D5849" s="656" t="s">
        <v>450</v>
      </c>
      <c r="E5849" s="534">
        <v>690.70001200000002</v>
      </c>
    </row>
    <row r="5850" spans="2:5" x14ac:dyDescent="0.2">
      <c r="B5850" s="533">
        <v>7112</v>
      </c>
      <c r="C5850" s="533" t="s">
        <v>3399</v>
      </c>
      <c r="D5850" s="656" t="s">
        <v>450</v>
      </c>
      <c r="E5850" s="534">
        <v>711.5</v>
      </c>
    </row>
    <row r="5851" spans="2:5" x14ac:dyDescent="0.2">
      <c r="B5851" s="533">
        <v>7113</v>
      </c>
      <c r="C5851" s="533" t="s">
        <v>4040</v>
      </c>
      <c r="D5851" s="656" t="s">
        <v>450</v>
      </c>
      <c r="E5851" s="534">
        <v>748.02000699999996</v>
      </c>
    </row>
    <row r="5852" spans="2:5" x14ac:dyDescent="0.2">
      <c r="B5852" s="533">
        <v>7114</v>
      </c>
      <c r="C5852" s="533" t="s">
        <v>3022</v>
      </c>
      <c r="D5852" s="656" t="s">
        <v>450</v>
      </c>
      <c r="E5852" s="534">
        <v>692.44000200000005</v>
      </c>
    </row>
    <row r="5853" spans="2:5" x14ac:dyDescent="0.2">
      <c r="B5853" s="533">
        <v>7115</v>
      </c>
      <c r="C5853" s="533" t="s">
        <v>3871</v>
      </c>
      <c r="D5853" s="656" t="s">
        <v>450</v>
      </c>
      <c r="E5853" s="534">
        <v>737.65000899999995</v>
      </c>
    </row>
    <row r="5854" spans="2:5" x14ac:dyDescent="0.2">
      <c r="B5854" s="533">
        <v>7116</v>
      </c>
      <c r="C5854" s="533" t="s">
        <v>3550</v>
      </c>
      <c r="D5854" s="656" t="s">
        <v>450</v>
      </c>
      <c r="E5854" s="534">
        <v>719.01818300000002</v>
      </c>
    </row>
    <row r="5855" spans="2:5" x14ac:dyDescent="0.2">
      <c r="B5855" s="533">
        <v>7117</v>
      </c>
      <c r="C5855" s="533" t="s">
        <v>1488</v>
      </c>
      <c r="D5855" s="656" t="s">
        <v>450</v>
      </c>
      <c r="E5855" s="534">
        <v>726.57999299999994</v>
      </c>
    </row>
    <row r="5856" spans="2:5" x14ac:dyDescent="0.2">
      <c r="B5856" s="533">
        <v>7118</v>
      </c>
      <c r="C5856" s="533" t="s">
        <v>3461</v>
      </c>
      <c r="D5856" s="656" t="s">
        <v>450</v>
      </c>
      <c r="E5856" s="534">
        <v>714.23333700000001</v>
      </c>
    </row>
    <row r="5857" spans="2:5" x14ac:dyDescent="0.2">
      <c r="B5857" s="533">
        <v>7119</v>
      </c>
      <c r="C5857" s="533" t="s">
        <v>4006</v>
      </c>
      <c r="D5857" s="656" t="s">
        <v>450</v>
      </c>
      <c r="E5857" s="534">
        <v>745.86667899999998</v>
      </c>
    </row>
    <row r="5858" spans="2:5" x14ac:dyDescent="0.2">
      <c r="B5858" s="533">
        <v>7120</v>
      </c>
      <c r="C5858" s="533" t="s">
        <v>3936</v>
      </c>
      <c r="D5858" s="656" t="s">
        <v>450</v>
      </c>
      <c r="E5858" s="534">
        <v>741.39999399999999</v>
      </c>
    </row>
    <row r="5859" spans="2:5" x14ac:dyDescent="0.2">
      <c r="B5859" s="533">
        <v>7121</v>
      </c>
      <c r="C5859" s="533" t="s">
        <v>6682</v>
      </c>
      <c r="D5859" s="656" t="s">
        <v>450</v>
      </c>
      <c r="E5859" s="534">
        <v>767.01428199999998</v>
      </c>
    </row>
    <row r="5860" spans="2:5" x14ac:dyDescent="0.2">
      <c r="B5860" s="533">
        <v>7122</v>
      </c>
      <c r="C5860" s="533" t="s">
        <v>7178</v>
      </c>
      <c r="D5860" s="656" t="s">
        <v>450</v>
      </c>
      <c r="E5860" s="534">
        <v>742.94998199999998</v>
      </c>
    </row>
    <row r="5861" spans="2:5" x14ac:dyDescent="0.2">
      <c r="B5861" s="533">
        <v>7123</v>
      </c>
      <c r="C5861" s="533" t="s">
        <v>3805</v>
      </c>
      <c r="D5861" s="656" t="s">
        <v>450</v>
      </c>
      <c r="E5861" s="534">
        <v>733.53998999999999</v>
      </c>
    </row>
    <row r="5862" spans="2:5" x14ac:dyDescent="0.2">
      <c r="B5862" s="533">
        <v>7124</v>
      </c>
      <c r="C5862" s="533" t="s">
        <v>4151</v>
      </c>
      <c r="D5862" s="656" t="s">
        <v>450</v>
      </c>
      <c r="E5862" s="534">
        <v>754.59999600000003</v>
      </c>
    </row>
    <row r="5863" spans="2:5" x14ac:dyDescent="0.2">
      <c r="B5863" s="533">
        <v>7125</v>
      </c>
      <c r="C5863" s="533" t="s">
        <v>4489</v>
      </c>
      <c r="D5863" s="656" t="s">
        <v>450</v>
      </c>
      <c r="E5863" s="534">
        <v>779.95713599999999</v>
      </c>
    </row>
    <row r="5864" spans="2:5" x14ac:dyDescent="0.2">
      <c r="B5864" s="533">
        <v>7126</v>
      </c>
      <c r="C5864" s="533" t="s">
        <v>4358</v>
      </c>
      <c r="D5864" s="656" t="s">
        <v>450</v>
      </c>
      <c r="E5864" s="534">
        <v>769.63334099999997</v>
      </c>
    </row>
    <row r="5865" spans="2:5" x14ac:dyDescent="0.2">
      <c r="B5865" s="533">
        <v>7127</v>
      </c>
      <c r="C5865" s="533" t="s">
        <v>4404</v>
      </c>
      <c r="D5865" s="656" t="s">
        <v>450</v>
      </c>
      <c r="E5865" s="534">
        <v>773.83333300000004</v>
      </c>
    </row>
    <row r="5866" spans="2:5" x14ac:dyDescent="0.2">
      <c r="B5866" s="533">
        <v>7128</v>
      </c>
      <c r="C5866" s="533" t="s">
        <v>4044</v>
      </c>
      <c r="D5866" s="656" t="s">
        <v>450</v>
      </c>
      <c r="E5866" s="534">
        <v>770.56001000000003</v>
      </c>
    </row>
    <row r="5867" spans="2:5" x14ac:dyDescent="0.2">
      <c r="B5867" s="533">
        <v>7129</v>
      </c>
      <c r="C5867" s="533" t="s">
        <v>4530</v>
      </c>
      <c r="D5867" s="656" t="s">
        <v>450</v>
      </c>
      <c r="E5867" s="534">
        <v>782.89999799999998</v>
      </c>
    </row>
    <row r="5868" spans="2:5" x14ac:dyDescent="0.2">
      <c r="B5868" s="533">
        <v>7130</v>
      </c>
      <c r="C5868" s="533" t="s">
        <v>7355</v>
      </c>
      <c r="D5868" s="656" t="s">
        <v>450</v>
      </c>
      <c r="E5868" s="534">
        <v>794.43332899999996</v>
      </c>
    </row>
    <row r="5869" spans="2:5" x14ac:dyDescent="0.2">
      <c r="B5869" s="533">
        <v>7131</v>
      </c>
      <c r="C5869" s="533" t="s">
        <v>7373</v>
      </c>
      <c r="D5869" s="656" t="s">
        <v>450</v>
      </c>
      <c r="E5869" s="534">
        <v>801.29998799999998</v>
      </c>
    </row>
    <row r="5870" spans="2:5" x14ac:dyDescent="0.2">
      <c r="B5870" s="533">
        <v>7132</v>
      </c>
      <c r="C5870" s="533" t="s">
        <v>6791</v>
      </c>
      <c r="D5870" s="656" t="s">
        <v>450</v>
      </c>
      <c r="E5870" s="534">
        <v>802.83333300000004</v>
      </c>
    </row>
    <row r="5871" spans="2:5" x14ac:dyDescent="0.2">
      <c r="B5871" s="533">
        <v>7133</v>
      </c>
      <c r="C5871" s="533" t="s">
        <v>4683</v>
      </c>
      <c r="D5871" s="656" t="s">
        <v>450</v>
      </c>
      <c r="E5871" s="534">
        <v>795.21999500000004</v>
      </c>
    </row>
    <row r="5872" spans="2:5" x14ac:dyDescent="0.2">
      <c r="B5872" s="533">
        <v>7134</v>
      </c>
      <c r="C5872" s="533" t="s">
        <v>2778</v>
      </c>
      <c r="D5872" s="656" t="s">
        <v>450</v>
      </c>
      <c r="E5872" s="534">
        <v>680.22500600000001</v>
      </c>
    </row>
    <row r="5873" spans="2:5" x14ac:dyDescent="0.2">
      <c r="B5873" s="533">
        <v>7135</v>
      </c>
      <c r="C5873" s="533" t="s">
        <v>6597</v>
      </c>
      <c r="D5873" s="656" t="s">
        <v>450</v>
      </c>
      <c r="E5873" s="534">
        <v>693.94998199999998</v>
      </c>
    </row>
    <row r="5874" spans="2:5" x14ac:dyDescent="0.2">
      <c r="B5874" s="533">
        <v>7136</v>
      </c>
      <c r="C5874" s="533" t="s">
        <v>3101</v>
      </c>
      <c r="D5874" s="656" t="s">
        <v>450</v>
      </c>
      <c r="E5874" s="534">
        <v>696.75998500000003</v>
      </c>
    </row>
    <row r="5875" spans="2:5" x14ac:dyDescent="0.2">
      <c r="B5875" s="533">
        <v>7137</v>
      </c>
      <c r="C5875" s="533" t="s">
        <v>3489</v>
      </c>
      <c r="D5875" s="656" t="s">
        <v>450</v>
      </c>
      <c r="E5875" s="534">
        <v>715.80000800000005</v>
      </c>
    </row>
    <row r="5876" spans="2:5" x14ac:dyDescent="0.2">
      <c r="B5876" s="533">
        <v>7138</v>
      </c>
      <c r="C5876" s="533" t="s">
        <v>3305</v>
      </c>
      <c r="D5876" s="656" t="s">
        <v>450</v>
      </c>
      <c r="E5876" s="534">
        <v>706.85000600000001</v>
      </c>
    </row>
    <row r="5877" spans="2:5" x14ac:dyDescent="0.2">
      <c r="B5877" s="533">
        <v>7139</v>
      </c>
      <c r="C5877" s="533" t="s">
        <v>6889</v>
      </c>
      <c r="D5877" s="656" t="s">
        <v>450</v>
      </c>
      <c r="E5877" s="534">
        <v>728.13334099999997</v>
      </c>
    </row>
    <row r="5878" spans="2:5" x14ac:dyDescent="0.2">
      <c r="B5878" s="533">
        <v>7140</v>
      </c>
      <c r="C5878" s="533" t="s">
        <v>3812</v>
      </c>
      <c r="D5878" s="656" t="s">
        <v>450</v>
      </c>
      <c r="E5878" s="534">
        <v>733.95001200000002</v>
      </c>
    </row>
    <row r="5879" spans="2:5" x14ac:dyDescent="0.2">
      <c r="B5879" s="533">
        <v>7141</v>
      </c>
      <c r="C5879" s="533" t="s">
        <v>3632</v>
      </c>
      <c r="D5879" s="656" t="s">
        <v>450</v>
      </c>
      <c r="E5879" s="534">
        <v>723.93750799999998</v>
      </c>
    </row>
    <row r="5880" spans="2:5" x14ac:dyDescent="0.2">
      <c r="B5880" s="533">
        <v>7142</v>
      </c>
      <c r="C5880" s="533" t="s">
        <v>2960</v>
      </c>
      <c r="D5880" s="656" t="s">
        <v>450</v>
      </c>
      <c r="E5880" s="534">
        <v>688.90000699999996</v>
      </c>
    </row>
    <row r="5881" spans="2:5" x14ac:dyDescent="0.2">
      <c r="B5881" s="533">
        <v>7143</v>
      </c>
      <c r="C5881" s="533" t="s">
        <v>6894</v>
      </c>
      <c r="D5881" s="656" t="s">
        <v>450</v>
      </c>
      <c r="E5881" s="534">
        <v>703.45555999999999</v>
      </c>
    </row>
    <row r="5882" spans="2:5" x14ac:dyDescent="0.2">
      <c r="B5882" s="533">
        <v>7144</v>
      </c>
      <c r="C5882" s="533" t="s">
        <v>7064</v>
      </c>
      <c r="D5882" s="656" t="s">
        <v>450</v>
      </c>
      <c r="E5882" s="534">
        <v>717</v>
      </c>
    </row>
    <row r="5883" spans="2:5" x14ac:dyDescent="0.2">
      <c r="B5883" s="533">
        <v>7145</v>
      </c>
      <c r="C5883" s="533" t="s">
        <v>1419</v>
      </c>
      <c r="D5883" s="656" t="s">
        <v>450</v>
      </c>
      <c r="E5883" s="534">
        <v>748.73333700000001</v>
      </c>
    </row>
    <row r="5884" spans="2:5" x14ac:dyDescent="0.2">
      <c r="B5884" s="533">
        <v>7146</v>
      </c>
      <c r="C5884" s="533" t="s">
        <v>869</v>
      </c>
      <c r="D5884" s="656" t="s">
        <v>450</v>
      </c>
      <c r="E5884" s="534">
        <v>758.24999000000003</v>
      </c>
    </row>
    <row r="5885" spans="2:5" x14ac:dyDescent="0.2">
      <c r="B5885" s="533">
        <v>7147</v>
      </c>
      <c r="C5885" s="533" t="s">
        <v>6847</v>
      </c>
      <c r="D5885" s="656" t="s">
        <v>450</v>
      </c>
      <c r="E5885" s="534">
        <v>720.02500899999995</v>
      </c>
    </row>
    <row r="5886" spans="2:5" x14ac:dyDescent="0.2">
      <c r="B5886" s="533">
        <v>7148</v>
      </c>
      <c r="C5886" s="533" t="s">
        <v>3881</v>
      </c>
      <c r="D5886" s="656" t="s">
        <v>450</v>
      </c>
      <c r="E5886" s="534">
        <v>738.08500400000003</v>
      </c>
    </row>
    <row r="5887" spans="2:5" x14ac:dyDescent="0.2">
      <c r="B5887" s="533">
        <v>7149</v>
      </c>
      <c r="C5887" s="533" t="s">
        <v>7342</v>
      </c>
      <c r="D5887" s="656" t="s">
        <v>450</v>
      </c>
      <c r="E5887" s="534">
        <v>710.83332299999995</v>
      </c>
    </row>
    <row r="5888" spans="2:5" x14ac:dyDescent="0.2">
      <c r="B5888" s="533">
        <v>7150</v>
      </c>
      <c r="C5888" s="533" t="s">
        <v>3486</v>
      </c>
      <c r="D5888" s="656" t="s">
        <v>450</v>
      </c>
      <c r="E5888" s="534">
        <v>715.73333700000001</v>
      </c>
    </row>
    <row r="5889" spans="2:5" x14ac:dyDescent="0.2">
      <c r="B5889" s="533">
        <v>7151</v>
      </c>
      <c r="C5889" s="533" t="s">
        <v>4353</v>
      </c>
      <c r="D5889" s="656" t="s">
        <v>450</v>
      </c>
      <c r="E5889" s="534">
        <v>768.97502099999997</v>
      </c>
    </row>
    <row r="5890" spans="2:5" x14ac:dyDescent="0.2">
      <c r="B5890" s="533">
        <v>7152</v>
      </c>
      <c r="C5890" s="533" t="s">
        <v>3573</v>
      </c>
      <c r="D5890" s="656" t="s">
        <v>450</v>
      </c>
      <c r="E5890" s="534">
        <v>720.40000399999997</v>
      </c>
    </row>
    <row r="5891" spans="2:5" x14ac:dyDescent="0.2">
      <c r="B5891" s="533">
        <v>7153</v>
      </c>
      <c r="C5891" s="533" t="s">
        <v>3390</v>
      </c>
      <c r="D5891" s="656" t="s">
        <v>450</v>
      </c>
      <c r="E5891" s="534">
        <v>710.92857100000003</v>
      </c>
    </row>
    <row r="5892" spans="2:5" x14ac:dyDescent="0.2">
      <c r="B5892" s="533">
        <v>7154</v>
      </c>
      <c r="C5892" s="533" t="s">
        <v>4180</v>
      </c>
      <c r="D5892" s="656" t="s">
        <v>450</v>
      </c>
      <c r="E5892" s="534">
        <v>756.59999800000003</v>
      </c>
    </row>
    <row r="5893" spans="2:5" x14ac:dyDescent="0.2">
      <c r="B5893" s="533">
        <v>7155</v>
      </c>
      <c r="C5893" s="533" t="s">
        <v>4072</v>
      </c>
      <c r="D5893" s="656" t="s">
        <v>450</v>
      </c>
      <c r="E5893" s="534">
        <v>750.10909200000003</v>
      </c>
    </row>
    <row r="5894" spans="2:5" x14ac:dyDescent="0.2">
      <c r="B5894" s="533">
        <v>7156</v>
      </c>
      <c r="C5894" s="533" t="s">
        <v>4604</v>
      </c>
      <c r="D5894" s="656" t="s">
        <v>450</v>
      </c>
      <c r="E5894" s="534">
        <v>788.90000699999996</v>
      </c>
    </row>
    <row r="5895" spans="2:5" x14ac:dyDescent="0.2">
      <c r="B5895" s="533">
        <v>7157</v>
      </c>
      <c r="C5895" s="533" t="s">
        <v>4485</v>
      </c>
      <c r="D5895" s="656" t="s">
        <v>450</v>
      </c>
      <c r="E5895" s="534">
        <v>779.70001200000002</v>
      </c>
    </row>
    <row r="5896" spans="2:5" x14ac:dyDescent="0.2">
      <c r="B5896" s="533">
        <v>7158</v>
      </c>
      <c r="C5896" s="533" t="s">
        <v>4842</v>
      </c>
      <c r="D5896" s="656" t="s">
        <v>450</v>
      </c>
      <c r="E5896" s="534">
        <v>807.31999499999995</v>
      </c>
    </row>
    <row r="5897" spans="2:5" x14ac:dyDescent="0.2">
      <c r="B5897" s="533">
        <v>7159</v>
      </c>
      <c r="C5897" s="533" t="s">
        <v>3612</v>
      </c>
      <c r="D5897" s="656" t="s">
        <v>450</v>
      </c>
      <c r="E5897" s="534">
        <v>723.20001200000002</v>
      </c>
    </row>
    <row r="5898" spans="2:5" x14ac:dyDescent="0.2">
      <c r="B5898" s="533">
        <v>7160</v>
      </c>
      <c r="C5898" s="533" t="s">
        <v>4030</v>
      </c>
      <c r="D5898" s="656" t="s">
        <v>450</v>
      </c>
      <c r="E5898" s="534">
        <v>747.41428900000005</v>
      </c>
    </row>
    <row r="5899" spans="2:5" x14ac:dyDescent="0.2">
      <c r="B5899" s="533">
        <v>7161</v>
      </c>
      <c r="C5899" s="533" t="s">
        <v>4409</v>
      </c>
      <c r="D5899" s="656" t="s">
        <v>450</v>
      </c>
      <c r="E5899" s="534">
        <v>774.10000600000001</v>
      </c>
    </row>
    <row r="5900" spans="2:5" x14ac:dyDescent="0.2">
      <c r="B5900" s="533">
        <v>7162</v>
      </c>
      <c r="C5900" s="533" t="s">
        <v>4476</v>
      </c>
      <c r="D5900" s="656" t="s">
        <v>450</v>
      </c>
      <c r="E5900" s="534">
        <v>778.83333300000004</v>
      </c>
    </row>
    <row r="5901" spans="2:5" x14ac:dyDescent="0.2">
      <c r="B5901" s="533">
        <v>7163</v>
      </c>
      <c r="C5901" s="533" t="s">
        <v>2923</v>
      </c>
      <c r="D5901" s="656" t="s">
        <v>450</v>
      </c>
      <c r="E5901" s="534">
        <v>772.89999399999999</v>
      </c>
    </row>
    <row r="5902" spans="2:5" x14ac:dyDescent="0.2">
      <c r="B5902" s="533">
        <v>7164</v>
      </c>
      <c r="C5902" s="533" t="s">
        <v>4160</v>
      </c>
      <c r="D5902" s="656" t="s">
        <v>450</v>
      </c>
      <c r="E5902" s="534">
        <v>755.38000499999998</v>
      </c>
    </row>
    <row r="5903" spans="2:5" x14ac:dyDescent="0.2">
      <c r="B5903" s="533">
        <v>7165</v>
      </c>
      <c r="C5903" s="533" t="s">
        <v>4803</v>
      </c>
      <c r="D5903" s="656" t="s">
        <v>450</v>
      </c>
      <c r="E5903" s="534">
        <v>804.25</v>
      </c>
    </row>
    <row r="5904" spans="2:5" x14ac:dyDescent="0.2">
      <c r="B5904" s="533">
        <v>7166</v>
      </c>
      <c r="C5904" s="533" t="s">
        <v>4527</v>
      </c>
      <c r="D5904" s="656" t="s">
        <v>450</v>
      </c>
      <c r="E5904" s="534">
        <v>782.54998799999998</v>
      </c>
    </row>
    <row r="5905" spans="2:5" x14ac:dyDescent="0.2">
      <c r="B5905" s="533">
        <v>7167</v>
      </c>
      <c r="C5905" s="533" t="s">
        <v>4036</v>
      </c>
      <c r="D5905" s="656" t="s">
        <v>450</v>
      </c>
      <c r="E5905" s="534">
        <v>747.79998799999998</v>
      </c>
    </row>
    <row r="5906" spans="2:5" x14ac:dyDescent="0.2">
      <c r="B5906" s="533">
        <v>7168</v>
      </c>
      <c r="C5906" s="533" t="s">
        <v>4349</v>
      </c>
      <c r="D5906" s="656" t="s">
        <v>450</v>
      </c>
      <c r="E5906" s="534">
        <v>768.82501200000002</v>
      </c>
    </row>
    <row r="5907" spans="2:5" x14ac:dyDescent="0.2">
      <c r="B5907" s="533">
        <v>7169</v>
      </c>
      <c r="C5907" s="533" t="s">
        <v>4364</v>
      </c>
      <c r="D5907" s="656" t="s">
        <v>450</v>
      </c>
      <c r="E5907" s="534">
        <v>769.95000200000004</v>
      </c>
    </row>
    <row r="5908" spans="2:5" x14ac:dyDescent="0.2">
      <c r="B5908" s="533">
        <v>7170</v>
      </c>
      <c r="C5908" s="533" t="s">
        <v>4519</v>
      </c>
      <c r="D5908" s="656" t="s">
        <v>450</v>
      </c>
      <c r="E5908" s="534">
        <v>781.69999700000005</v>
      </c>
    </row>
    <row r="5909" spans="2:5" x14ac:dyDescent="0.2">
      <c r="B5909" s="533">
        <v>7171</v>
      </c>
      <c r="C5909" s="533" t="s">
        <v>4713</v>
      </c>
      <c r="D5909" s="656" t="s">
        <v>450</v>
      </c>
      <c r="E5909" s="534">
        <v>797.60400100000004</v>
      </c>
    </row>
    <row r="5910" spans="2:5" x14ac:dyDescent="0.2">
      <c r="B5910" s="533">
        <v>7172</v>
      </c>
      <c r="C5910" s="533" t="s">
        <v>4311</v>
      </c>
      <c r="D5910" s="656" t="s">
        <v>450</v>
      </c>
      <c r="E5910" s="534">
        <v>766.21538399999997</v>
      </c>
    </row>
    <row r="5911" spans="2:5" x14ac:dyDescent="0.2">
      <c r="B5911" s="533">
        <v>7173</v>
      </c>
      <c r="C5911" s="533" t="s">
        <v>4965</v>
      </c>
      <c r="D5911" s="656" t="s">
        <v>450</v>
      </c>
      <c r="E5911" s="534">
        <v>819.7</v>
      </c>
    </row>
    <row r="5912" spans="2:5" x14ac:dyDescent="0.2">
      <c r="B5912" s="533">
        <v>7174</v>
      </c>
      <c r="C5912" s="533" t="s">
        <v>4569</v>
      </c>
      <c r="D5912" s="656" t="s">
        <v>450</v>
      </c>
      <c r="E5912" s="534">
        <v>786.44998199999998</v>
      </c>
    </row>
    <row r="5913" spans="2:5" x14ac:dyDescent="0.2">
      <c r="B5913" s="533">
        <v>7175</v>
      </c>
      <c r="C5913" s="533" t="s">
        <v>7435</v>
      </c>
      <c r="D5913" s="656" t="s">
        <v>450</v>
      </c>
      <c r="E5913" s="534">
        <v>774.25000999999997</v>
      </c>
    </row>
    <row r="5914" spans="2:5" x14ac:dyDescent="0.2">
      <c r="B5914" s="533">
        <v>7176</v>
      </c>
      <c r="C5914" s="533" t="s">
        <v>4912</v>
      </c>
      <c r="D5914" s="656" t="s">
        <v>450</v>
      </c>
      <c r="E5914" s="534">
        <v>814.17857100000003</v>
      </c>
    </row>
    <row r="5915" spans="2:5" x14ac:dyDescent="0.2">
      <c r="B5915" s="533">
        <v>7177</v>
      </c>
      <c r="C5915" s="533" t="s">
        <v>4586</v>
      </c>
      <c r="D5915" s="656" t="s">
        <v>450</v>
      </c>
      <c r="E5915" s="534">
        <v>787.56666099999995</v>
      </c>
    </row>
    <row r="5916" spans="2:5" x14ac:dyDescent="0.2">
      <c r="B5916" s="533">
        <v>7178</v>
      </c>
      <c r="C5916" s="533" t="s">
        <v>4806</v>
      </c>
      <c r="D5916" s="656" t="s">
        <v>450</v>
      </c>
      <c r="E5916" s="534">
        <v>804.48823100000004</v>
      </c>
    </row>
    <row r="5917" spans="2:5" x14ac:dyDescent="0.2">
      <c r="B5917" s="533">
        <v>7179</v>
      </c>
      <c r="C5917" s="533" t="s">
        <v>4752</v>
      </c>
      <c r="D5917" s="656" t="s">
        <v>450</v>
      </c>
      <c r="E5917" s="534">
        <v>801.10000200000002</v>
      </c>
    </row>
    <row r="5918" spans="2:5" x14ac:dyDescent="0.2">
      <c r="B5918" s="533">
        <v>7180</v>
      </c>
      <c r="C5918" s="533" t="s">
        <v>4606</v>
      </c>
      <c r="D5918" s="656" t="s">
        <v>450</v>
      </c>
      <c r="E5918" s="534">
        <v>789.009998</v>
      </c>
    </row>
    <row r="5919" spans="2:5" x14ac:dyDescent="0.2">
      <c r="B5919" s="533">
        <v>7181</v>
      </c>
      <c r="C5919" s="533" t="s">
        <v>4823</v>
      </c>
      <c r="D5919" s="656" t="s">
        <v>450</v>
      </c>
      <c r="E5919" s="534">
        <v>806.35000600000001</v>
      </c>
    </row>
    <row r="5920" spans="2:5" x14ac:dyDescent="0.2">
      <c r="B5920" s="533">
        <v>7182</v>
      </c>
      <c r="C5920" s="533" t="s">
        <v>4906</v>
      </c>
      <c r="D5920" s="656" t="s">
        <v>450</v>
      </c>
      <c r="E5920" s="534">
        <v>813.81429200000002</v>
      </c>
    </row>
    <row r="5921" spans="2:5" x14ac:dyDescent="0.2">
      <c r="B5921" s="533">
        <v>7183</v>
      </c>
      <c r="C5921" s="533" t="s">
        <v>3176</v>
      </c>
      <c r="D5921" s="656" t="s">
        <v>451</v>
      </c>
      <c r="E5921" s="534">
        <v>700.30001800000002</v>
      </c>
    </row>
    <row r="5922" spans="2:5" x14ac:dyDescent="0.2">
      <c r="B5922" s="533">
        <v>7211</v>
      </c>
      <c r="C5922" s="533" t="s">
        <v>6480</v>
      </c>
      <c r="D5922" s="656" t="s">
        <v>442</v>
      </c>
      <c r="E5922" s="534">
        <v>756.05999799999995</v>
      </c>
    </row>
    <row r="5923" spans="2:5" x14ac:dyDescent="0.2">
      <c r="B5923" s="533">
        <v>7212</v>
      </c>
      <c r="C5923" s="533" t="s">
        <v>4554</v>
      </c>
      <c r="D5923" s="656" t="s">
        <v>442</v>
      </c>
      <c r="E5923" s="534">
        <v>785.03000499999996</v>
      </c>
    </row>
    <row r="5924" spans="2:5" x14ac:dyDescent="0.2">
      <c r="B5924" s="533">
        <v>7213</v>
      </c>
      <c r="C5924" s="533" t="s">
        <v>3774</v>
      </c>
      <c r="D5924" s="656" t="s">
        <v>442</v>
      </c>
      <c r="E5924" s="534">
        <v>731.80000299999995</v>
      </c>
    </row>
    <row r="5925" spans="2:5" x14ac:dyDescent="0.2">
      <c r="B5925" s="533">
        <v>7214</v>
      </c>
      <c r="C5925" s="533" t="s">
        <v>4374</v>
      </c>
      <c r="D5925" s="656" t="s">
        <v>442</v>
      </c>
      <c r="E5925" s="534">
        <v>770.81999499999995</v>
      </c>
    </row>
    <row r="5926" spans="2:5" x14ac:dyDescent="0.2">
      <c r="B5926" s="533">
        <v>7215</v>
      </c>
      <c r="C5926" s="533" t="s">
        <v>4325</v>
      </c>
      <c r="D5926" s="656" t="s">
        <v>442</v>
      </c>
      <c r="E5926" s="534">
        <v>767.22499100000005</v>
      </c>
    </row>
    <row r="5927" spans="2:5" x14ac:dyDescent="0.2">
      <c r="B5927" s="533">
        <v>7216</v>
      </c>
      <c r="C5927" s="533" t="s">
        <v>4575</v>
      </c>
      <c r="D5927" s="656" t="s">
        <v>442</v>
      </c>
      <c r="E5927" s="534">
        <v>786.70001200000002</v>
      </c>
    </row>
    <row r="5928" spans="2:5" x14ac:dyDescent="0.2">
      <c r="B5928" s="533">
        <v>7217</v>
      </c>
      <c r="C5928" s="533" t="s">
        <v>7233</v>
      </c>
      <c r="D5928" s="656" t="s">
        <v>442</v>
      </c>
      <c r="E5928" s="534">
        <v>815.259998</v>
      </c>
    </row>
    <row r="5929" spans="2:5" x14ac:dyDescent="0.2">
      <c r="B5929" s="533">
        <v>7218</v>
      </c>
      <c r="C5929" s="533" t="s">
        <v>7549</v>
      </c>
      <c r="D5929" s="656" t="s">
        <v>442</v>
      </c>
      <c r="E5929" s="534">
        <v>769.38000499999998</v>
      </c>
    </row>
    <row r="5930" spans="2:5" x14ac:dyDescent="0.2">
      <c r="B5930" s="533">
        <v>7219</v>
      </c>
      <c r="C5930" s="533" t="s">
        <v>4471</v>
      </c>
      <c r="D5930" s="656" t="s">
        <v>442</v>
      </c>
      <c r="E5930" s="534">
        <v>778.61538499999995</v>
      </c>
    </row>
    <row r="5931" spans="2:5" x14ac:dyDescent="0.2">
      <c r="B5931" s="533">
        <v>7220</v>
      </c>
      <c r="C5931" s="533" t="s">
        <v>2181</v>
      </c>
      <c r="D5931" s="656" t="s">
        <v>442</v>
      </c>
      <c r="E5931" s="534">
        <v>808.26666299999999</v>
      </c>
    </row>
    <row r="5932" spans="2:5" x14ac:dyDescent="0.2">
      <c r="B5932" s="533">
        <v>7221</v>
      </c>
      <c r="C5932" s="533" t="s">
        <v>4350</v>
      </c>
      <c r="D5932" s="656" t="s">
        <v>442</v>
      </c>
      <c r="E5932" s="534">
        <v>768.82728199999997</v>
      </c>
    </row>
    <row r="5933" spans="2:5" x14ac:dyDescent="0.2">
      <c r="B5933" s="533">
        <v>7222</v>
      </c>
      <c r="C5933" s="533" t="s">
        <v>4836</v>
      </c>
      <c r="D5933" s="656" t="s">
        <v>442</v>
      </c>
      <c r="E5933" s="534">
        <v>806.87500799999998</v>
      </c>
    </row>
    <row r="5934" spans="2:5" x14ac:dyDescent="0.2">
      <c r="B5934" s="533">
        <v>7223</v>
      </c>
      <c r="C5934" s="533" t="s">
        <v>4630</v>
      </c>
      <c r="D5934" s="656" t="s">
        <v>442</v>
      </c>
      <c r="E5934" s="534">
        <v>791.45001200000002</v>
      </c>
    </row>
    <row r="5935" spans="2:5" x14ac:dyDescent="0.2">
      <c r="B5935" s="533">
        <v>7224</v>
      </c>
      <c r="C5935" s="533" t="s">
        <v>4657</v>
      </c>
      <c r="D5935" s="656" t="s">
        <v>442</v>
      </c>
      <c r="E5935" s="534">
        <v>793.45000200000004</v>
      </c>
    </row>
    <row r="5936" spans="2:5" x14ac:dyDescent="0.2">
      <c r="B5936" s="533">
        <v>7225</v>
      </c>
      <c r="C5936" s="533" t="s">
        <v>4795</v>
      </c>
      <c r="D5936" s="656" t="s">
        <v>442</v>
      </c>
      <c r="E5936" s="534">
        <v>803.84545300000002</v>
      </c>
    </row>
    <row r="5937" spans="2:5" x14ac:dyDescent="0.2">
      <c r="B5937" s="533">
        <v>7227</v>
      </c>
      <c r="C5937" s="533" t="s">
        <v>3113</v>
      </c>
      <c r="D5937" s="656" t="s">
        <v>442</v>
      </c>
      <c r="E5937" s="534">
        <v>697.26363900000001</v>
      </c>
    </row>
    <row r="5938" spans="2:5" x14ac:dyDescent="0.2">
      <c r="B5938" s="533">
        <v>7228</v>
      </c>
      <c r="C5938" s="533" t="s">
        <v>3836</v>
      </c>
      <c r="D5938" s="656" t="s">
        <v>442</v>
      </c>
      <c r="E5938" s="534">
        <v>735.36923899999999</v>
      </c>
    </row>
    <row r="5939" spans="2:5" x14ac:dyDescent="0.2">
      <c r="B5939" s="533">
        <v>7229</v>
      </c>
      <c r="C5939" s="533" t="s">
        <v>2680</v>
      </c>
      <c r="D5939" s="656" t="s">
        <v>442</v>
      </c>
      <c r="E5939" s="534">
        <v>675.45001200000002</v>
      </c>
    </row>
    <row r="5940" spans="2:5" x14ac:dyDescent="0.2">
      <c r="B5940" s="533">
        <v>7230</v>
      </c>
      <c r="C5940" s="533" t="s">
        <v>3660</v>
      </c>
      <c r="D5940" s="656" t="s">
        <v>442</v>
      </c>
      <c r="E5940" s="534">
        <v>725.472219</v>
      </c>
    </row>
    <row r="5941" spans="2:5" x14ac:dyDescent="0.2">
      <c r="B5941" s="533">
        <v>7231</v>
      </c>
      <c r="C5941" s="533" t="s">
        <v>7138</v>
      </c>
      <c r="D5941" s="656" t="s">
        <v>442</v>
      </c>
      <c r="E5941" s="534">
        <v>769.4375</v>
      </c>
    </row>
    <row r="5942" spans="2:5" x14ac:dyDescent="0.2">
      <c r="B5942" s="533">
        <v>7232</v>
      </c>
      <c r="C5942" s="533" t="s">
        <v>3362</v>
      </c>
      <c r="D5942" s="656" t="s">
        <v>442</v>
      </c>
      <c r="E5942" s="534">
        <v>709.47691499999996</v>
      </c>
    </row>
    <row r="5943" spans="2:5" x14ac:dyDescent="0.2">
      <c r="B5943" s="533">
        <v>7233</v>
      </c>
      <c r="C5943" s="533" t="s">
        <v>4103</v>
      </c>
      <c r="D5943" s="656" t="s">
        <v>442</v>
      </c>
      <c r="E5943" s="534">
        <v>751.46667500000001</v>
      </c>
    </row>
    <row r="5944" spans="2:5" x14ac:dyDescent="0.2">
      <c r="B5944" s="533">
        <v>7234</v>
      </c>
      <c r="C5944" s="533" t="s">
        <v>4678</v>
      </c>
      <c r="D5944" s="656" t="s">
        <v>442</v>
      </c>
      <c r="E5944" s="534">
        <v>794.79090499999995</v>
      </c>
    </row>
    <row r="5945" spans="2:5" x14ac:dyDescent="0.2">
      <c r="B5945" s="533">
        <v>7235</v>
      </c>
      <c r="C5945" s="533" t="s">
        <v>4366</v>
      </c>
      <c r="D5945" s="656" t="s">
        <v>442</v>
      </c>
      <c r="E5945" s="534">
        <v>770.15000899999995</v>
      </c>
    </row>
    <row r="5946" spans="2:5" x14ac:dyDescent="0.2">
      <c r="B5946" s="533">
        <v>7236</v>
      </c>
      <c r="C5946" s="533" t="s">
        <v>3720</v>
      </c>
      <c r="D5946" s="656" t="s">
        <v>442</v>
      </c>
      <c r="E5946" s="534">
        <v>728.67500299999995</v>
      </c>
    </row>
    <row r="5947" spans="2:5" x14ac:dyDescent="0.2">
      <c r="B5947" s="533">
        <v>7238</v>
      </c>
      <c r="C5947" s="533" t="s">
        <v>4664</v>
      </c>
      <c r="D5947" s="656" t="s">
        <v>442</v>
      </c>
      <c r="E5947" s="534">
        <v>794.02666799999997</v>
      </c>
    </row>
    <row r="5948" spans="2:5" x14ac:dyDescent="0.2">
      <c r="B5948" s="533">
        <v>7239</v>
      </c>
      <c r="C5948" s="533" t="s">
        <v>7598</v>
      </c>
      <c r="D5948" s="656" t="s">
        <v>442</v>
      </c>
      <c r="E5948" s="534">
        <v>782.41428900000005</v>
      </c>
    </row>
    <row r="5949" spans="2:5" x14ac:dyDescent="0.2">
      <c r="B5949" s="533">
        <v>7240</v>
      </c>
      <c r="C5949" s="533" t="s">
        <v>1129</v>
      </c>
      <c r="D5949" s="656" t="s">
        <v>442</v>
      </c>
      <c r="E5949" s="534">
        <v>797.10833700000001</v>
      </c>
    </row>
    <row r="5950" spans="2:5" x14ac:dyDescent="0.2">
      <c r="B5950" s="533">
        <v>7241</v>
      </c>
      <c r="C5950" s="533" t="s">
        <v>4736</v>
      </c>
      <c r="D5950" s="656" t="s">
        <v>442</v>
      </c>
      <c r="E5950" s="534">
        <v>799.5</v>
      </c>
    </row>
    <row r="5951" spans="2:5" x14ac:dyDescent="0.2">
      <c r="B5951" s="533">
        <v>7242</v>
      </c>
      <c r="C5951" s="533" t="s">
        <v>5123</v>
      </c>
      <c r="D5951" s="656" t="s">
        <v>442</v>
      </c>
      <c r="E5951" s="534">
        <v>836.87498500000004</v>
      </c>
    </row>
    <row r="5952" spans="2:5" x14ac:dyDescent="0.2">
      <c r="B5952" s="533">
        <v>7243</v>
      </c>
      <c r="C5952" s="533" t="s">
        <v>4856</v>
      </c>
      <c r="D5952" s="656" t="s">
        <v>442</v>
      </c>
      <c r="E5952" s="534">
        <v>808.62857499999996</v>
      </c>
    </row>
    <row r="5953" spans="2:5" x14ac:dyDescent="0.2">
      <c r="B5953" s="533">
        <v>7244</v>
      </c>
      <c r="C5953" s="533" t="s">
        <v>5010</v>
      </c>
      <c r="D5953" s="656" t="s">
        <v>442</v>
      </c>
      <c r="E5953" s="534">
        <v>824.48570900000004</v>
      </c>
    </row>
    <row r="5954" spans="2:5" x14ac:dyDescent="0.2">
      <c r="B5954" s="533">
        <v>7245</v>
      </c>
      <c r="C5954" s="533" t="s">
        <v>4894</v>
      </c>
      <c r="D5954" s="656" t="s">
        <v>442</v>
      </c>
      <c r="E5954" s="534">
        <v>812.61537999999996</v>
      </c>
    </row>
    <row r="5955" spans="2:5" x14ac:dyDescent="0.2">
      <c r="B5955" s="533">
        <v>7246</v>
      </c>
      <c r="C5955" s="533" t="s">
        <v>2338</v>
      </c>
      <c r="D5955" s="656" t="s">
        <v>442</v>
      </c>
      <c r="E5955" s="534">
        <v>796.97999300000004</v>
      </c>
    </row>
    <row r="5956" spans="2:5" x14ac:dyDescent="0.2">
      <c r="B5956" s="533">
        <v>7247</v>
      </c>
      <c r="C5956" s="533" t="s">
        <v>4486</v>
      </c>
      <c r="D5956" s="656" t="s">
        <v>442</v>
      </c>
      <c r="E5956" s="534">
        <v>779.860004</v>
      </c>
    </row>
    <row r="5957" spans="2:5" x14ac:dyDescent="0.2">
      <c r="B5957" s="533">
        <v>7248</v>
      </c>
      <c r="C5957" s="533" t="s">
        <v>4638</v>
      </c>
      <c r="D5957" s="656" t="s">
        <v>442</v>
      </c>
      <c r="E5957" s="534">
        <v>792.177775</v>
      </c>
    </row>
    <row r="5958" spans="2:5" x14ac:dyDescent="0.2">
      <c r="B5958" s="533">
        <v>7249</v>
      </c>
      <c r="C5958" s="533" t="s">
        <v>4792</v>
      </c>
      <c r="D5958" s="656" t="s">
        <v>442</v>
      </c>
      <c r="E5958" s="534">
        <v>803.57000100000005</v>
      </c>
    </row>
    <row r="5959" spans="2:5" x14ac:dyDescent="0.2">
      <c r="B5959" s="533">
        <v>7250</v>
      </c>
      <c r="C5959" s="533" t="s">
        <v>6961</v>
      </c>
      <c r="D5959" s="656" t="s">
        <v>442</v>
      </c>
      <c r="E5959" s="534">
        <v>778.29998799999998</v>
      </c>
    </row>
    <row r="5960" spans="2:5" x14ac:dyDescent="0.2">
      <c r="B5960" s="533">
        <v>7251</v>
      </c>
      <c r="C5960" s="533" t="s">
        <v>4440</v>
      </c>
      <c r="D5960" s="656" t="s">
        <v>442</v>
      </c>
      <c r="E5960" s="534">
        <v>776.75</v>
      </c>
    </row>
    <row r="5961" spans="2:5" x14ac:dyDescent="0.2">
      <c r="B5961" s="533">
        <v>7252</v>
      </c>
      <c r="C5961" s="533" t="s">
        <v>7500</v>
      </c>
      <c r="D5961" s="656" t="s">
        <v>442</v>
      </c>
      <c r="E5961" s="534">
        <v>759.57501200000002</v>
      </c>
    </row>
    <row r="5962" spans="2:5" x14ac:dyDescent="0.2">
      <c r="B5962" s="533">
        <v>7253</v>
      </c>
      <c r="C5962" s="533" t="s">
        <v>4442</v>
      </c>
      <c r="D5962" s="656" t="s">
        <v>442</v>
      </c>
      <c r="E5962" s="534">
        <v>776.85000600000001</v>
      </c>
    </row>
    <row r="5963" spans="2:5" x14ac:dyDescent="0.2">
      <c r="B5963" s="533">
        <v>7254</v>
      </c>
      <c r="C5963" s="533" t="s">
        <v>4637</v>
      </c>
      <c r="D5963" s="656" t="s">
        <v>442</v>
      </c>
      <c r="E5963" s="534">
        <v>792.17500299999995</v>
      </c>
    </row>
    <row r="5964" spans="2:5" x14ac:dyDescent="0.2">
      <c r="B5964" s="533">
        <v>7255</v>
      </c>
      <c r="C5964" s="533" t="s">
        <v>4694</v>
      </c>
      <c r="D5964" s="656" t="s">
        <v>442</v>
      </c>
      <c r="E5964" s="534">
        <v>796.16667700000005</v>
      </c>
    </row>
    <row r="5965" spans="2:5" x14ac:dyDescent="0.2">
      <c r="B5965" s="533">
        <v>7256</v>
      </c>
      <c r="C5965" s="533" t="s">
        <v>4598</v>
      </c>
      <c r="D5965" s="656" t="s">
        <v>442</v>
      </c>
      <c r="E5965" s="534">
        <v>788.40002400000003</v>
      </c>
    </row>
    <row r="5966" spans="2:5" x14ac:dyDescent="0.2">
      <c r="B5966" s="533">
        <v>7257</v>
      </c>
      <c r="C5966" s="533" t="s">
        <v>5087</v>
      </c>
      <c r="D5966" s="656" t="s">
        <v>442</v>
      </c>
      <c r="E5966" s="534">
        <v>832.59997599999997</v>
      </c>
    </row>
    <row r="5967" spans="2:5" x14ac:dyDescent="0.2">
      <c r="B5967" s="533">
        <v>7258</v>
      </c>
      <c r="C5967" s="533" t="s">
        <v>5166</v>
      </c>
      <c r="D5967" s="656" t="s">
        <v>442</v>
      </c>
      <c r="E5967" s="534">
        <v>841.633331</v>
      </c>
    </row>
    <row r="5968" spans="2:5" x14ac:dyDescent="0.2">
      <c r="B5968" s="533">
        <v>7259</v>
      </c>
      <c r="C5968" s="533" t="s">
        <v>6923</v>
      </c>
      <c r="D5968" s="656" t="s">
        <v>442</v>
      </c>
      <c r="E5968" s="534">
        <v>825.04000199999996</v>
      </c>
    </row>
    <row r="5969" spans="2:5" x14ac:dyDescent="0.2">
      <c r="B5969" s="533">
        <v>7260</v>
      </c>
      <c r="C5969" s="533" t="s">
        <v>4888</v>
      </c>
      <c r="D5969" s="656" t="s">
        <v>442</v>
      </c>
      <c r="E5969" s="534">
        <v>811.83333300000004</v>
      </c>
    </row>
    <row r="5970" spans="2:5" x14ac:dyDescent="0.2">
      <c r="B5970" s="533">
        <v>7261</v>
      </c>
      <c r="C5970" s="533" t="s">
        <v>689</v>
      </c>
      <c r="D5970" s="656" t="s">
        <v>442</v>
      </c>
      <c r="E5970" s="534">
        <v>837.46665399999995</v>
      </c>
    </row>
    <row r="5971" spans="2:5" x14ac:dyDescent="0.2">
      <c r="B5971" s="533">
        <v>7262</v>
      </c>
      <c r="C5971" s="533" t="s">
        <v>6952</v>
      </c>
      <c r="D5971" s="656" t="s">
        <v>442</v>
      </c>
      <c r="E5971" s="534">
        <v>813.63749700000005</v>
      </c>
    </row>
    <row r="5972" spans="2:5" x14ac:dyDescent="0.2">
      <c r="B5972" s="533">
        <v>7263</v>
      </c>
      <c r="C5972" s="533" t="s">
        <v>4956</v>
      </c>
      <c r="D5972" s="656" t="s">
        <v>442</v>
      </c>
      <c r="E5972" s="534">
        <v>818.69999199999995</v>
      </c>
    </row>
    <row r="5973" spans="2:5" x14ac:dyDescent="0.2">
      <c r="B5973" s="533">
        <v>7264</v>
      </c>
      <c r="C5973" s="533" t="s">
        <v>4954</v>
      </c>
      <c r="D5973" s="656" t="s">
        <v>442</v>
      </c>
      <c r="E5973" s="534">
        <v>818.13749700000005</v>
      </c>
    </row>
    <row r="5974" spans="2:5" x14ac:dyDescent="0.2">
      <c r="B5974" s="533">
        <v>7265</v>
      </c>
      <c r="C5974" s="533" t="s">
        <v>7280</v>
      </c>
      <c r="D5974" s="656" t="s">
        <v>442</v>
      </c>
      <c r="E5974" s="534">
        <v>811.11111100000005</v>
      </c>
    </row>
    <row r="5975" spans="2:5" x14ac:dyDescent="0.2">
      <c r="B5975" s="533">
        <v>7266</v>
      </c>
      <c r="C5975" s="533" t="s">
        <v>5096</v>
      </c>
      <c r="D5975" s="656" t="s">
        <v>442</v>
      </c>
      <c r="E5975" s="534">
        <v>833.87498500000004</v>
      </c>
    </row>
    <row r="5976" spans="2:5" x14ac:dyDescent="0.2">
      <c r="B5976" s="533">
        <v>7267</v>
      </c>
      <c r="C5976" s="533" t="s">
        <v>5226</v>
      </c>
      <c r="D5976" s="656" t="s">
        <v>442</v>
      </c>
      <c r="E5976" s="534">
        <v>851.39998400000002</v>
      </c>
    </row>
    <row r="5977" spans="2:5" x14ac:dyDescent="0.2">
      <c r="B5977" s="533">
        <v>7268</v>
      </c>
      <c r="C5977" s="533" t="s">
        <v>2992</v>
      </c>
      <c r="D5977" s="656" t="s">
        <v>442</v>
      </c>
      <c r="E5977" s="534">
        <v>846.32000700000003</v>
      </c>
    </row>
    <row r="5978" spans="2:5" x14ac:dyDescent="0.2">
      <c r="B5978" s="533">
        <v>7269</v>
      </c>
      <c r="C5978" s="533" t="s">
        <v>5191</v>
      </c>
      <c r="D5978" s="656" t="s">
        <v>442</v>
      </c>
      <c r="E5978" s="534">
        <v>845.671426</v>
      </c>
    </row>
    <row r="5979" spans="2:5" x14ac:dyDescent="0.2">
      <c r="B5979" s="533">
        <v>7270</v>
      </c>
      <c r="C5979" s="533" t="s">
        <v>4353</v>
      </c>
      <c r="D5979" s="656" t="s">
        <v>442</v>
      </c>
      <c r="E5979" s="534">
        <v>805.21666500000003</v>
      </c>
    </row>
    <row r="5980" spans="2:5" x14ac:dyDescent="0.2">
      <c r="B5980" s="533">
        <v>7271</v>
      </c>
      <c r="C5980" s="533" t="s">
        <v>5129</v>
      </c>
      <c r="D5980" s="656" t="s">
        <v>442</v>
      </c>
      <c r="E5980" s="534">
        <v>837.759998</v>
      </c>
    </row>
    <row r="5981" spans="2:5" x14ac:dyDescent="0.2">
      <c r="B5981" s="533">
        <v>7272</v>
      </c>
      <c r="C5981" s="533" t="s">
        <v>5139</v>
      </c>
      <c r="D5981" s="656" t="s">
        <v>442</v>
      </c>
      <c r="E5981" s="534">
        <v>838.55999799999995</v>
      </c>
    </row>
    <row r="5982" spans="2:5" x14ac:dyDescent="0.2">
      <c r="B5982" s="533">
        <v>7273</v>
      </c>
      <c r="C5982" s="533" t="s">
        <v>6640</v>
      </c>
      <c r="D5982" s="656" t="s">
        <v>442</v>
      </c>
      <c r="E5982" s="534">
        <v>879.28181600000005</v>
      </c>
    </row>
    <row r="5983" spans="2:5" x14ac:dyDescent="0.2">
      <c r="B5983" s="533">
        <v>7274</v>
      </c>
      <c r="C5983" s="533" t="s">
        <v>4705</v>
      </c>
      <c r="D5983" s="656" t="s">
        <v>442</v>
      </c>
      <c r="E5983" s="534">
        <v>797.40001199999995</v>
      </c>
    </row>
    <row r="5984" spans="2:5" x14ac:dyDescent="0.2">
      <c r="B5984" s="533">
        <v>7275</v>
      </c>
      <c r="C5984" s="533" t="s">
        <v>4891</v>
      </c>
      <c r="D5984" s="656" t="s">
        <v>442</v>
      </c>
      <c r="E5984" s="534">
        <v>812.25000799999998</v>
      </c>
    </row>
    <row r="5985" spans="2:5" x14ac:dyDescent="0.2">
      <c r="B5985" s="533">
        <v>7276</v>
      </c>
      <c r="C5985" s="533" t="s">
        <v>4763</v>
      </c>
      <c r="D5985" s="656" t="s">
        <v>442</v>
      </c>
      <c r="E5985" s="534">
        <v>801.87143400000002</v>
      </c>
    </row>
    <row r="5986" spans="2:5" x14ac:dyDescent="0.2">
      <c r="B5986" s="533">
        <v>7277</v>
      </c>
      <c r="C5986" s="533" t="s">
        <v>798</v>
      </c>
      <c r="D5986" s="656" t="s">
        <v>442</v>
      </c>
      <c r="E5986" s="534">
        <v>785.375</v>
      </c>
    </row>
    <row r="5987" spans="2:5" x14ac:dyDescent="0.2">
      <c r="B5987" s="533">
        <v>7278</v>
      </c>
      <c r="C5987" s="533" t="s">
        <v>4918</v>
      </c>
      <c r="D5987" s="656" t="s">
        <v>442</v>
      </c>
      <c r="E5987" s="534">
        <v>814.81667100000004</v>
      </c>
    </row>
    <row r="5988" spans="2:5" x14ac:dyDescent="0.2">
      <c r="B5988" s="533">
        <v>7279</v>
      </c>
      <c r="C5988" s="533" t="s">
        <v>4788</v>
      </c>
      <c r="D5988" s="656" t="s">
        <v>442</v>
      </c>
      <c r="E5988" s="534">
        <v>803.19999700000005</v>
      </c>
    </row>
    <row r="5989" spans="2:5" x14ac:dyDescent="0.2">
      <c r="B5989" s="533">
        <v>7280</v>
      </c>
      <c r="C5989" s="533" t="s">
        <v>3275</v>
      </c>
      <c r="D5989" s="656" t="s">
        <v>442</v>
      </c>
      <c r="E5989" s="534">
        <v>809.48000500000001</v>
      </c>
    </row>
    <row r="5990" spans="2:5" x14ac:dyDescent="0.2">
      <c r="B5990" s="533">
        <v>7281</v>
      </c>
      <c r="C5990" s="533" t="s">
        <v>4967</v>
      </c>
      <c r="D5990" s="656" t="s">
        <v>442</v>
      </c>
      <c r="E5990" s="534">
        <v>819.87142500000004</v>
      </c>
    </row>
    <row r="5991" spans="2:5" x14ac:dyDescent="0.2">
      <c r="B5991" s="533">
        <v>7282</v>
      </c>
      <c r="C5991" s="533" t="s">
        <v>5137</v>
      </c>
      <c r="D5991" s="656" t="s">
        <v>442</v>
      </c>
      <c r="E5991" s="534">
        <v>838.39999799999998</v>
      </c>
    </row>
    <row r="5992" spans="2:5" x14ac:dyDescent="0.2">
      <c r="B5992" s="533">
        <v>7283</v>
      </c>
      <c r="C5992" s="533" t="s">
        <v>4674</v>
      </c>
      <c r="D5992" s="656" t="s">
        <v>442</v>
      </c>
      <c r="E5992" s="534">
        <v>794.46250899999995</v>
      </c>
    </row>
    <row r="5993" spans="2:5" x14ac:dyDescent="0.2">
      <c r="B5993" s="533">
        <v>7284</v>
      </c>
      <c r="C5993" s="533" t="s">
        <v>5141</v>
      </c>
      <c r="D5993" s="656" t="s">
        <v>442</v>
      </c>
      <c r="E5993" s="534">
        <v>838.75</v>
      </c>
    </row>
    <row r="5994" spans="2:5" x14ac:dyDescent="0.2">
      <c r="B5994" s="533">
        <v>7285</v>
      </c>
      <c r="C5994" s="533" t="s">
        <v>4898</v>
      </c>
      <c r="D5994" s="656" t="s">
        <v>442</v>
      </c>
      <c r="E5994" s="534">
        <v>812.85000600000001</v>
      </c>
    </row>
    <row r="5995" spans="2:5" x14ac:dyDescent="0.2">
      <c r="B5995" s="533">
        <v>7286</v>
      </c>
      <c r="C5995" s="533" t="s">
        <v>442</v>
      </c>
      <c r="D5995" s="656" t="s">
        <v>442</v>
      </c>
      <c r="E5995" s="534">
        <v>767.179169</v>
      </c>
    </row>
    <row r="5996" spans="2:5" x14ac:dyDescent="0.2">
      <c r="B5996" s="533">
        <v>7287</v>
      </c>
      <c r="C5996" s="533" t="s">
        <v>3035</v>
      </c>
      <c r="D5996" s="656" t="s">
        <v>442</v>
      </c>
      <c r="E5996" s="534">
        <v>758.75000799999998</v>
      </c>
    </row>
    <row r="5997" spans="2:5" x14ac:dyDescent="0.2">
      <c r="B5997" s="533">
        <v>7288</v>
      </c>
      <c r="C5997" s="533" t="s">
        <v>3862</v>
      </c>
      <c r="D5997" s="656" t="s">
        <v>442</v>
      </c>
      <c r="E5997" s="534">
        <v>737.14482599999997</v>
      </c>
    </row>
    <row r="5998" spans="2:5" x14ac:dyDescent="0.2">
      <c r="B5998" s="533">
        <v>7289</v>
      </c>
      <c r="C5998" s="533" t="s">
        <v>4474</v>
      </c>
      <c r="D5998" s="656" t="s">
        <v>442</v>
      </c>
      <c r="E5998" s="534">
        <v>778.69999199999995</v>
      </c>
    </row>
    <row r="5999" spans="2:5" x14ac:dyDescent="0.2">
      <c r="B5999" s="533">
        <v>7290</v>
      </c>
      <c r="C5999" s="533" t="s">
        <v>4337</v>
      </c>
      <c r="D5999" s="656" t="s">
        <v>442</v>
      </c>
      <c r="E5999" s="534">
        <v>767.96665399999995</v>
      </c>
    </row>
    <row r="6000" spans="2:5" x14ac:dyDescent="0.2">
      <c r="B6000" s="533">
        <v>7291</v>
      </c>
      <c r="C6000" s="533" t="s">
        <v>4541</v>
      </c>
      <c r="D6000" s="656" t="s">
        <v>442</v>
      </c>
      <c r="E6000" s="534">
        <v>784.01667299999997</v>
      </c>
    </row>
    <row r="6001" spans="2:5" x14ac:dyDescent="0.2">
      <c r="B6001" s="533">
        <v>7292</v>
      </c>
      <c r="C6001" s="533" t="s">
        <v>6796</v>
      </c>
      <c r="D6001" s="656" t="s">
        <v>442</v>
      </c>
      <c r="E6001" s="534">
        <v>788.76153999999997</v>
      </c>
    </row>
    <row r="6002" spans="2:5" x14ac:dyDescent="0.2">
      <c r="B6002" s="533">
        <v>7293</v>
      </c>
      <c r="C6002" s="533" t="s">
        <v>1906</v>
      </c>
      <c r="D6002" s="656" t="s">
        <v>442</v>
      </c>
      <c r="E6002" s="534">
        <v>842.726315</v>
      </c>
    </row>
    <row r="6003" spans="2:5" x14ac:dyDescent="0.2">
      <c r="B6003" s="533">
        <v>7294</v>
      </c>
      <c r="C6003" s="533" t="s">
        <v>4829</v>
      </c>
      <c r="D6003" s="656" t="s">
        <v>442</v>
      </c>
      <c r="E6003" s="534">
        <v>806.56153800000004</v>
      </c>
    </row>
    <row r="6004" spans="2:5" x14ac:dyDescent="0.2">
      <c r="B6004" s="533">
        <v>7295</v>
      </c>
      <c r="C6004" s="533" t="s">
        <v>3584</v>
      </c>
      <c r="D6004" s="656" t="s">
        <v>442</v>
      </c>
      <c r="E6004" s="534">
        <v>812.80715899999996</v>
      </c>
    </row>
    <row r="6005" spans="2:5" x14ac:dyDescent="0.2">
      <c r="B6005" s="533">
        <v>7296</v>
      </c>
      <c r="C6005" s="533" t="s">
        <v>4801</v>
      </c>
      <c r="D6005" s="656" t="s">
        <v>442</v>
      </c>
      <c r="E6005" s="534">
        <v>804.09999600000003</v>
      </c>
    </row>
    <row r="6006" spans="2:5" x14ac:dyDescent="0.2">
      <c r="B6006" s="533">
        <v>7297</v>
      </c>
      <c r="C6006" s="533" t="s">
        <v>5042</v>
      </c>
      <c r="D6006" s="656" t="s">
        <v>442</v>
      </c>
      <c r="E6006" s="534">
        <v>828.53332499999999</v>
      </c>
    </row>
    <row r="6007" spans="2:5" x14ac:dyDescent="0.2">
      <c r="B6007" s="533">
        <v>7298</v>
      </c>
      <c r="C6007" s="533" t="s">
        <v>5112</v>
      </c>
      <c r="D6007" s="656" t="s">
        <v>442</v>
      </c>
      <c r="E6007" s="534">
        <v>835.29998799999998</v>
      </c>
    </row>
    <row r="6008" spans="2:5" x14ac:dyDescent="0.2">
      <c r="B6008" s="533">
        <v>7299</v>
      </c>
      <c r="C6008" s="533" t="s">
        <v>4937</v>
      </c>
      <c r="D6008" s="656" t="s">
        <v>442</v>
      </c>
      <c r="E6008" s="534">
        <v>816.20001200000002</v>
      </c>
    </row>
    <row r="6009" spans="2:5" x14ac:dyDescent="0.2">
      <c r="B6009" s="533">
        <v>7300</v>
      </c>
      <c r="C6009" s="533" t="s">
        <v>5292</v>
      </c>
      <c r="D6009" s="656" t="s">
        <v>442</v>
      </c>
      <c r="E6009" s="534">
        <v>862.22500600000001</v>
      </c>
    </row>
    <row r="6010" spans="2:5" x14ac:dyDescent="0.2">
      <c r="B6010" s="533">
        <v>7301</v>
      </c>
      <c r="C6010" s="533" t="s">
        <v>5409</v>
      </c>
      <c r="D6010" s="656" t="s">
        <v>442</v>
      </c>
      <c r="E6010" s="534">
        <v>882</v>
      </c>
    </row>
    <row r="6011" spans="2:5" x14ac:dyDescent="0.2">
      <c r="B6011" s="533">
        <v>7302</v>
      </c>
      <c r="C6011" s="533" t="s">
        <v>5280</v>
      </c>
      <c r="D6011" s="656" t="s">
        <v>442</v>
      </c>
      <c r="E6011" s="534">
        <v>859.63334099999997</v>
      </c>
    </row>
    <row r="6012" spans="2:5" x14ac:dyDescent="0.2">
      <c r="B6012" s="533">
        <v>7303</v>
      </c>
      <c r="C6012" s="533" t="s">
        <v>5661</v>
      </c>
      <c r="D6012" s="656" t="s">
        <v>442</v>
      </c>
      <c r="E6012" s="534">
        <v>930.78333499999997</v>
      </c>
    </row>
    <row r="6013" spans="2:5" x14ac:dyDescent="0.2">
      <c r="B6013" s="533">
        <v>7304</v>
      </c>
      <c r="C6013" s="533" t="s">
        <v>5132</v>
      </c>
      <c r="D6013" s="656" t="s">
        <v>442</v>
      </c>
      <c r="E6013" s="534">
        <v>837.78928699999994</v>
      </c>
    </row>
    <row r="6014" spans="2:5" x14ac:dyDescent="0.2">
      <c r="B6014" s="533">
        <v>7305</v>
      </c>
      <c r="C6014" s="533" t="s">
        <v>5590</v>
      </c>
      <c r="D6014" s="656" t="s">
        <v>442</v>
      </c>
      <c r="E6014" s="534">
        <v>911.16667700000005</v>
      </c>
    </row>
    <row r="6015" spans="2:5" x14ac:dyDescent="0.2">
      <c r="B6015" s="533">
        <v>7306</v>
      </c>
      <c r="C6015" s="533" t="s">
        <v>3294</v>
      </c>
      <c r="D6015" s="656" t="s">
        <v>442</v>
      </c>
      <c r="E6015" s="534">
        <v>914.23333700000001</v>
      </c>
    </row>
    <row r="6016" spans="2:5" x14ac:dyDescent="0.2">
      <c r="B6016" s="533">
        <v>7307</v>
      </c>
      <c r="C6016" s="533" t="s">
        <v>5381</v>
      </c>
      <c r="D6016" s="656" t="s">
        <v>442</v>
      </c>
      <c r="E6016" s="534">
        <v>876.73076900000001</v>
      </c>
    </row>
    <row r="6017" spans="2:5" x14ac:dyDescent="0.2">
      <c r="B6017" s="533">
        <v>7308</v>
      </c>
      <c r="C6017" s="533" t="s">
        <v>7483</v>
      </c>
      <c r="D6017" s="656" t="s">
        <v>442</v>
      </c>
      <c r="E6017" s="534">
        <v>878.43333900000005</v>
      </c>
    </row>
    <row r="6018" spans="2:5" x14ac:dyDescent="0.2">
      <c r="B6018" s="533">
        <v>7309</v>
      </c>
      <c r="C6018" s="533" t="s">
        <v>7076</v>
      </c>
      <c r="D6018" s="656" t="s">
        <v>442</v>
      </c>
      <c r="E6018" s="534">
        <v>831.75263700000005</v>
      </c>
    </row>
    <row r="6019" spans="2:5" x14ac:dyDescent="0.2">
      <c r="B6019" s="533">
        <v>7310</v>
      </c>
      <c r="C6019" s="533" t="s">
        <v>5514</v>
      </c>
      <c r="D6019" s="656" t="s">
        <v>442</v>
      </c>
      <c r="E6019" s="534">
        <v>899.20910100000003</v>
      </c>
    </row>
    <row r="6020" spans="2:5" x14ac:dyDescent="0.2">
      <c r="B6020" s="533">
        <v>7311</v>
      </c>
      <c r="C6020" s="533" t="s">
        <v>5464</v>
      </c>
      <c r="D6020" s="656" t="s">
        <v>442</v>
      </c>
      <c r="E6020" s="534">
        <v>892.39999399999999</v>
      </c>
    </row>
    <row r="6021" spans="2:5" x14ac:dyDescent="0.2">
      <c r="B6021" s="533">
        <v>7312</v>
      </c>
      <c r="C6021" s="533" t="s">
        <v>3787</v>
      </c>
      <c r="D6021" s="656" t="s">
        <v>442</v>
      </c>
      <c r="E6021" s="534">
        <v>893.56153800000004</v>
      </c>
    </row>
    <row r="6022" spans="2:5" x14ac:dyDescent="0.2">
      <c r="B6022" s="533">
        <v>7313</v>
      </c>
      <c r="C6022" s="533" t="s">
        <v>5735</v>
      </c>
      <c r="D6022" s="656" t="s">
        <v>442</v>
      </c>
      <c r="E6022" s="534">
        <v>952.04000199999996</v>
      </c>
    </row>
    <row r="6023" spans="2:5" x14ac:dyDescent="0.2">
      <c r="B6023" s="533">
        <v>7314</v>
      </c>
      <c r="C6023" s="533" t="s">
        <v>7220</v>
      </c>
      <c r="D6023" s="656" t="s">
        <v>442</v>
      </c>
      <c r="E6023" s="534">
        <v>916.28000499999996</v>
      </c>
    </row>
    <row r="6024" spans="2:5" x14ac:dyDescent="0.2">
      <c r="B6024" s="533">
        <v>7315</v>
      </c>
      <c r="C6024" s="533" t="s">
        <v>5582</v>
      </c>
      <c r="D6024" s="656" t="s">
        <v>442</v>
      </c>
      <c r="E6024" s="534">
        <v>909.95000200000004</v>
      </c>
    </row>
    <row r="6025" spans="2:5" x14ac:dyDescent="0.2">
      <c r="B6025" s="533">
        <v>7316</v>
      </c>
      <c r="C6025" s="533" t="s">
        <v>5583</v>
      </c>
      <c r="D6025" s="656" t="s">
        <v>442</v>
      </c>
      <c r="E6025" s="534">
        <v>910.08235400000001</v>
      </c>
    </row>
    <row r="6026" spans="2:5" x14ac:dyDescent="0.2">
      <c r="B6026" s="533">
        <v>7317</v>
      </c>
      <c r="C6026" s="533" t="s">
        <v>2449</v>
      </c>
      <c r="D6026" s="656" t="s">
        <v>442</v>
      </c>
      <c r="E6026" s="534">
        <v>888.19998199999998</v>
      </c>
    </row>
    <row r="6027" spans="2:5" x14ac:dyDescent="0.2">
      <c r="B6027" s="533">
        <v>7318</v>
      </c>
      <c r="C6027" s="533" t="s">
        <v>5619</v>
      </c>
      <c r="D6027" s="656" t="s">
        <v>442</v>
      </c>
      <c r="E6027" s="534">
        <v>918.22727799999996</v>
      </c>
    </row>
    <row r="6028" spans="2:5" x14ac:dyDescent="0.2">
      <c r="B6028" s="533">
        <v>7319</v>
      </c>
      <c r="C6028" s="533" t="s">
        <v>5624</v>
      </c>
      <c r="D6028" s="656" t="s">
        <v>442</v>
      </c>
      <c r="E6028" s="534">
        <v>919.79998799999998</v>
      </c>
    </row>
    <row r="6029" spans="2:5" x14ac:dyDescent="0.2">
      <c r="B6029" s="533">
        <v>7320</v>
      </c>
      <c r="C6029" s="533" t="s">
        <v>6844</v>
      </c>
      <c r="D6029" s="656" t="s">
        <v>442</v>
      </c>
      <c r="E6029" s="534">
        <v>861.63636399999996</v>
      </c>
    </row>
    <row r="6030" spans="2:5" x14ac:dyDescent="0.2">
      <c r="B6030" s="533">
        <v>7321</v>
      </c>
      <c r="C6030" s="533" t="s">
        <v>5654</v>
      </c>
      <c r="D6030" s="656" t="s">
        <v>442</v>
      </c>
      <c r="E6030" s="534">
        <v>928.44374800000003</v>
      </c>
    </row>
    <row r="6031" spans="2:5" x14ac:dyDescent="0.2">
      <c r="B6031" s="533">
        <v>7322</v>
      </c>
      <c r="C6031" s="533" t="s">
        <v>5170</v>
      </c>
      <c r="D6031" s="656" t="s">
        <v>442</v>
      </c>
      <c r="E6031" s="534">
        <v>842.24667599999998</v>
      </c>
    </row>
    <row r="6032" spans="2:5" x14ac:dyDescent="0.2">
      <c r="B6032" s="533">
        <v>7323</v>
      </c>
      <c r="C6032" s="533" t="s">
        <v>5131</v>
      </c>
      <c r="D6032" s="656" t="s">
        <v>442</v>
      </c>
      <c r="E6032" s="534">
        <v>837.78571399999998</v>
      </c>
    </row>
    <row r="6033" spans="2:5" x14ac:dyDescent="0.2">
      <c r="B6033" s="533">
        <v>7324</v>
      </c>
      <c r="C6033" s="533" t="s">
        <v>5121</v>
      </c>
      <c r="D6033" s="656" t="s">
        <v>442</v>
      </c>
      <c r="E6033" s="534">
        <v>836.62500399999999</v>
      </c>
    </row>
    <row r="6034" spans="2:5" x14ac:dyDescent="0.2">
      <c r="B6034" s="533">
        <v>7326</v>
      </c>
      <c r="C6034" s="533" t="s">
        <v>6551</v>
      </c>
      <c r="D6034" s="656" t="s">
        <v>442</v>
      </c>
      <c r="E6034" s="534">
        <v>875.05516899999998</v>
      </c>
    </row>
    <row r="6035" spans="2:5" x14ac:dyDescent="0.2">
      <c r="B6035" s="533">
        <v>7327</v>
      </c>
      <c r="C6035" s="533" t="s">
        <v>1492</v>
      </c>
      <c r="D6035" s="656" t="s">
        <v>442</v>
      </c>
      <c r="E6035" s="534">
        <v>952.89998400000002</v>
      </c>
    </row>
    <row r="6036" spans="2:5" x14ac:dyDescent="0.2">
      <c r="B6036" s="533">
        <v>7328</v>
      </c>
      <c r="C6036" s="533" t="s">
        <v>5682</v>
      </c>
      <c r="D6036" s="656" t="s">
        <v>442</v>
      </c>
      <c r="E6036" s="534">
        <v>935.76667599999996</v>
      </c>
    </row>
    <row r="6037" spans="2:5" x14ac:dyDescent="0.2">
      <c r="B6037" s="533">
        <v>7329</v>
      </c>
      <c r="C6037" s="533" t="s">
        <v>2910</v>
      </c>
      <c r="D6037" s="656" t="s">
        <v>442</v>
      </c>
      <c r="E6037" s="534">
        <v>868.34000200000003</v>
      </c>
    </row>
    <row r="6038" spans="2:5" x14ac:dyDescent="0.2">
      <c r="B6038" s="533">
        <v>7330</v>
      </c>
      <c r="C6038" s="533" t="s">
        <v>5680</v>
      </c>
      <c r="D6038" s="656" t="s">
        <v>442</v>
      </c>
      <c r="E6038" s="534">
        <v>935.55001100000004</v>
      </c>
    </row>
    <row r="6039" spans="2:5" x14ac:dyDescent="0.2">
      <c r="B6039" s="533">
        <v>7331</v>
      </c>
      <c r="C6039" s="533" t="s">
        <v>5262</v>
      </c>
      <c r="D6039" s="656" t="s">
        <v>442</v>
      </c>
      <c r="E6039" s="534">
        <v>856.85000300000002</v>
      </c>
    </row>
    <row r="6040" spans="2:5" x14ac:dyDescent="0.2">
      <c r="B6040" s="533">
        <v>7332</v>
      </c>
      <c r="C6040" s="533" t="s">
        <v>2128</v>
      </c>
      <c r="D6040" s="656" t="s">
        <v>442</v>
      </c>
      <c r="E6040" s="534">
        <v>848.18125499999996</v>
      </c>
    </row>
    <row r="6041" spans="2:5" x14ac:dyDescent="0.2">
      <c r="B6041" s="533">
        <v>7333</v>
      </c>
      <c r="C6041" s="533" t="s">
        <v>5461</v>
      </c>
      <c r="D6041" s="656" t="s">
        <v>442</v>
      </c>
      <c r="E6041" s="534">
        <v>891.54000499999995</v>
      </c>
    </row>
    <row r="6042" spans="2:5" x14ac:dyDescent="0.2">
      <c r="B6042" s="533">
        <v>7334</v>
      </c>
      <c r="C6042" s="533" t="s">
        <v>5506</v>
      </c>
      <c r="D6042" s="656" t="s">
        <v>442</v>
      </c>
      <c r="E6042" s="534">
        <v>897.4375</v>
      </c>
    </row>
    <row r="6043" spans="2:5" x14ac:dyDescent="0.2">
      <c r="B6043" s="533">
        <v>7335</v>
      </c>
      <c r="C6043" s="533" t="s">
        <v>7451</v>
      </c>
      <c r="D6043" s="656" t="s">
        <v>442</v>
      </c>
      <c r="E6043" s="534">
        <v>892.97272299999997</v>
      </c>
    </row>
    <row r="6044" spans="2:5" x14ac:dyDescent="0.2">
      <c r="B6044" s="533">
        <v>7336</v>
      </c>
      <c r="C6044" s="533" t="s">
        <v>5481</v>
      </c>
      <c r="D6044" s="656" t="s">
        <v>442</v>
      </c>
      <c r="E6044" s="534">
        <v>894.06874100000005</v>
      </c>
    </row>
    <row r="6045" spans="2:5" x14ac:dyDescent="0.2">
      <c r="B6045" s="533">
        <v>7337</v>
      </c>
      <c r="C6045" s="533" t="s">
        <v>7144</v>
      </c>
      <c r="D6045" s="656" t="s">
        <v>442</v>
      </c>
      <c r="E6045" s="534">
        <v>814.66666699999996</v>
      </c>
    </row>
    <row r="6046" spans="2:5" x14ac:dyDescent="0.2">
      <c r="B6046" s="533">
        <v>7351</v>
      </c>
      <c r="C6046" s="533" t="s">
        <v>4648</v>
      </c>
      <c r="D6046" s="656" t="s">
        <v>447</v>
      </c>
      <c r="E6046" s="534">
        <v>792.78000499999996</v>
      </c>
    </row>
    <row r="6047" spans="2:5" x14ac:dyDescent="0.2">
      <c r="B6047" s="533">
        <v>7352</v>
      </c>
      <c r="C6047" s="533" t="s">
        <v>4658</v>
      </c>
      <c r="D6047" s="656" t="s">
        <v>447</v>
      </c>
      <c r="E6047" s="534">
        <v>793.56666099999995</v>
      </c>
    </row>
    <row r="6048" spans="2:5" x14ac:dyDescent="0.2">
      <c r="B6048" s="533">
        <v>7353</v>
      </c>
      <c r="C6048" s="533" t="s">
        <v>4791</v>
      </c>
      <c r="D6048" s="656" t="s">
        <v>447</v>
      </c>
      <c r="E6048" s="534">
        <v>803.42000099999996</v>
      </c>
    </row>
    <row r="6049" spans="2:5" x14ac:dyDescent="0.2">
      <c r="B6049" s="533">
        <v>7354</v>
      </c>
      <c r="C6049" s="533" t="s">
        <v>7514</v>
      </c>
      <c r="D6049" s="656" t="s">
        <v>447</v>
      </c>
      <c r="E6049" s="534">
        <v>808.65714800000001</v>
      </c>
    </row>
    <row r="6050" spans="2:5" x14ac:dyDescent="0.2">
      <c r="B6050" s="533">
        <v>7355</v>
      </c>
      <c r="C6050" s="533" t="s">
        <v>4536</v>
      </c>
      <c r="D6050" s="656" t="s">
        <v>447</v>
      </c>
      <c r="E6050" s="534">
        <v>783.61111100000005</v>
      </c>
    </row>
    <row r="6051" spans="2:5" x14ac:dyDescent="0.2">
      <c r="B6051" s="533">
        <v>7356</v>
      </c>
      <c r="C6051" s="533" t="s">
        <v>4774</v>
      </c>
      <c r="D6051" s="656" t="s">
        <v>447</v>
      </c>
      <c r="E6051" s="534">
        <v>802.21666500000003</v>
      </c>
    </row>
    <row r="6052" spans="2:5" x14ac:dyDescent="0.2">
      <c r="B6052" s="533">
        <v>7357</v>
      </c>
      <c r="C6052" s="533" t="s">
        <v>1038</v>
      </c>
      <c r="D6052" s="656" t="s">
        <v>447</v>
      </c>
      <c r="E6052" s="534">
        <v>821.81427900000006</v>
      </c>
    </row>
    <row r="6053" spans="2:5" x14ac:dyDescent="0.2">
      <c r="B6053" s="533">
        <v>7358</v>
      </c>
      <c r="C6053" s="533" t="s">
        <v>4496</v>
      </c>
      <c r="D6053" s="656" t="s">
        <v>447</v>
      </c>
      <c r="E6053" s="534">
        <v>780.32498899999996</v>
      </c>
    </row>
    <row r="6054" spans="2:5" x14ac:dyDescent="0.2">
      <c r="B6054" s="533">
        <v>7359</v>
      </c>
      <c r="C6054" s="533" t="s">
        <v>4876</v>
      </c>
      <c r="D6054" s="656" t="s">
        <v>447</v>
      </c>
      <c r="E6054" s="534">
        <v>810.00001499999996</v>
      </c>
    </row>
    <row r="6055" spans="2:5" x14ac:dyDescent="0.2">
      <c r="B6055" s="533">
        <v>7360</v>
      </c>
      <c r="C6055" s="533" t="s">
        <v>5072</v>
      </c>
      <c r="D6055" s="656" t="s">
        <v>447</v>
      </c>
      <c r="E6055" s="534">
        <v>831.21999500000004</v>
      </c>
    </row>
    <row r="6056" spans="2:5" x14ac:dyDescent="0.2">
      <c r="B6056" s="533">
        <v>7361</v>
      </c>
      <c r="C6056" s="533" t="s">
        <v>5019</v>
      </c>
      <c r="D6056" s="656" t="s">
        <v>447</v>
      </c>
      <c r="E6056" s="534">
        <v>825.79998799999998</v>
      </c>
    </row>
    <row r="6057" spans="2:5" x14ac:dyDescent="0.2">
      <c r="B6057" s="533">
        <v>7362</v>
      </c>
      <c r="C6057" s="533" t="s">
        <v>5118</v>
      </c>
      <c r="D6057" s="656" t="s">
        <v>447</v>
      </c>
      <c r="E6057" s="534">
        <v>836.48571800000002</v>
      </c>
    </row>
    <row r="6058" spans="2:5" x14ac:dyDescent="0.2">
      <c r="B6058" s="533">
        <v>7363</v>
      </c>
      <c r="C6058" s="533" t="s">
        <v>5058</v>
      </c>
      <c r="D6058" s="656" t="s">
        <v>447</v>
      </c>
      <c r="E6058" s="534">
        <v>830.31428700000004</v>
      </c>
    </row>
    <row r="6059" spans="2:5" x14ac:dyDescent="0.2">
      <c r="B6059" s="533">
        <v>7364</v>
      </c>
      <c r="C6059" s="533" t="s">
        <v>5231</v>
      </c>
      <c r="D6059" s="656" t="s">
        <v>447</v>
      </c>
      <c r="E6059" s="534">
        <v>852.0625</v>
      </c>
    </row>
    <row r="6060" spans="2:5" x14ac:dyDescent="0.2">
      <c r="B6060" s="533">
        <v>7365</v>
      </c>
      <c r="C6060" s="533" t="s">
        <v>5271</v>
      </c>
      <c r="D6060" s="656" t="s">
        <v>447</v>
      </c>
      <c r="E6060" s="534">
        <v>858.36666500000001</v>
      </c>
    </row>
    <row r="6061" spans="2:5" x14ac:dyDescent="0.2">
      <c r="B6061" s="533">
        <v>7366</v>
      </c>
      <c r="C6061" s="533" t="s">
        <v>4434</v>
      </c>
      <c r="D6061" s="656" t="s">
        <v>447</v>
      </c>
      <c r="E6061" s="534">
        <v>776.40000399999997</v>
      </c>
    </row>
    <row r="6062" spans="2:5" x14ac:dyDescent="0.2">
      <c r="B6062" s="533">
        <v>7367</v>
      </c>
      <c r="C6062" s="533" t="s">
        <v>4294</v>
      </c>
      <c r="D6062" s="656" t="s">
        <v>447</v>
      </c>
      <c r="E6062" s="534">
        <v>764.94998199999998</v>
      </c>
    </row>
    <row r="6063" spans="2:5" x14ac:dyDescent="0.2">
      <c r="B6063" s="533">
        <v>7368</v>
      </c>
      <c r="C6063" s="533" t="s">
        <v>7471</v>
      </c>
      <c r="D6063" s="656" t="s">
        <v>447</v>
      </c>
      <c r="E6063" s="534">
        <v>779.32000700000003</v>
      </c>
    </row>
    <row r="6064" spans="2:5" x14ac:dyDescent="0.2">
      <c r="B6064" s="533">
        <v>7369</v>
      </c>
      <c r="C6064" s="533" t="s">
        <v>4590</v>
      </c>
      <c r="D6064" s="656" t="s">
        <v>447</v>
      </c>
      <c r="E6064" s="534">
        <v>787.81667100000004</v>
      </c>
    </row>
    <row r="6065" spans="2:5" x14ac:dyDescent="0.2">
      <c r="B6065" s="533">
        <v>7370</v>
      </c>
      <c r="C6065" s="533" t="s">
        <v>4672</v>
      </c>
      <c r="D6065" s="656" t="s">
        <v>447</v>
      </c>
      <c r="E6065" s="534">
        <v>794.36665900000003</v>
      </c>
    </row>
    <row r="6066" spans="2:5" x14ac:dyDescent="0.2">
      <c r="B6066" s="533">
        <v>7371</v>
      </c>
      <c r="C6066" s="533" t="s">
        <v>4711</v>
      </c>
      <c r="D6066" s="656" t="s">
        <v>447</v>
      </c>
      <c r="E6066" s="534">
        <v>797.59231299999999</v>
      </c>
    </row>
    <row r="6067" spans="2:5" x14ac:dyDescent="0.2">
      <c r="B6067" s="533">
        <v>7372</v>
      </c>
      <c r="C6067" s="533" t="s">
        <v>4632</v>
      </c>
      <c r="D6067" s="656" t="s">
        <v>447</v>
      </c>
      <c r="E6067" s="534">
        <v>791.65713900000003</v>
      </c>
    </row>
    <row r="6068" spans="2:5" x14ac:dyDescent="0.2">
      <c r="B6068" s="533">
        <v>7373</v>
      </c>
      <c r="C6068" s="533" t="s">
        <v>4730</v>
      </c>
      <c r="D6068" s="656" t="s">
        <v>447</v>
      </c>
      <c r="E6068" s="534">
        <v>799.32501200000002</v>
      </c>
    </row>
    <row r="6069" spans="2:5" x14ac:dyDescent="0.2">
      <c r="B6069" s="533">
        <v>7374</v>
      </c>
      <c r="C6069" s="533" t="s">
        <v>4006</v>
      </c>
      <c r="D6069" s="656" t="s">
        <v>447</v>
      </c>
      <c r="E6069" s="534">
        <v>825.92500299999995</v>
      </c>
    </row>
    <row r="6070" spans="2:5" x14ac:dyDescent="0.2">
      <c r="B6070" s="533">
        <v>7375</v>
      </c>
      <c r="C6070" s="533" t="s">
        <v>4882</v>
      </c>
      <c r="D6070" s="656" t="s">
        <v>447</v>
      </c>
      <c r="E6070" s="534">
        <v>811.240002</v>
      </c>
    </row>
    <row r="6071" spans="2:5" x14ac:dyDescent="0.2">
      <c r="B6071" s="533">
        <v>7376</v>
      </c>
      <c r="C6071" s="533" t="s">
        <v>1151</v>
      </c>
      <c r="D6071" s="656" t="s">
        <v>447</v>
      </c>
      <c r="E6071" s="534">
        <v>818.85555699999998</v>
      </c>
    </row>
    <row r="6072" spans="2:5" x14ac:dyDescent="0.2">
      <c r="B6072" s="533">
        <v>7377</v>
      </c>
      <c r="C6072" s="533" t="s">
        <v>4859</v>
      </c>
      <c r="D6072" s="656" t="s">
        <v>447</v>
      </c>
      <c r="E6072" s="534">
        <v>808.69999199999995</v>
      </c>
    </row>
    <row r="6073" spans="2:5" x14ac:dyDescent="0.2">
      <c r="B6073" s="533">
        <v>7378</v>
      </c>
      <c r="C6073" s="533" t="s">
        <v>5065</v>
      </c>
      <c r="D6073" s="656" t="s">
        <v>447</v>
      </c>
      <c r="E6073" s="534">
        <v>830.92498799999998</v>
      </c>
    </row>
    <row r="6074" spans="2:5" x14ac:dyDescent="0.2">
      <c r="B6074" s="533">
        <v>7379</v>
      </c>
      <c r="C6074" s="533" t="s">
        <v>2077</v>
      </c>
      <c r="D6074" s="656" t="s">
        <v>447</v>
      </c>
      <c r="E6074" s="534">
        <v>827.14999399999999</v>
      </c>
    </row>
    <row r="6075" spans="2:5" x14ac:dyDescent="0.2">
      <c r="B6075" s="533">
        <v>7380</v>
      </c>
      <c r="C6075" s="533" t="s">
        <v>5154</v>
      </c>
      <c r="D6075" s="656" t="s">
        <v>447</v>
      </c>
      <c r="E6075" s="534">
        <v>839.63999000000001</v>
      </c>
    </row>
    <row r="6076" spans="2:5" x14ac:dyDescent="0.2">
      <c r="B6076" s="533">
        <v>7381</v>
      </c>
      <c r="C6076" s="533" t="s">
        <v>4899</v>
      </c>
      <c r="D6076" s="656" t="s">
        <v>447</v>
      </c>
      <c r="E6076" s="534">
        <v>812.88750700000003</v>
      </c>
    </row>
    <row r="6077" spans="2:5" x14ac:dyDescent="0.2">
      <c r="B6077" s="533">
        <v>7382</v>
      </c>
      <c r="C6077" s="533" t="s">
        <v>4323</v>
      </c>
      <c r="D6077" s="656" t="s">
        <v>447</v>
      </c>
      <c r="E6077" s="534">
        <v>853.24999000000003</v>
      </c>
    </row>
    <row r="6078" spans="2:5" x14ac:dyDescent="0.2">
      <c r="B6078" s="533">
        <v>7383</v>
      </c>
      <c r="C6078" s="533" t="s">
        <v>7021</v>
      </c>
      <c r="D6078" s="656" t="s">
        <v>447</v>
      </c>
      <c r="E6078" s="534">
        <v>849.72499100000005</v>
      </c>
    </row>
    <row r="6079" spans="2:5" x14ac:dyDescent="0.2">
      <c r="B6079" s="533">
        <v>7384</v>
      </c>
      <c r="C6079" s="533" t="s">
        <v>2992</v>
      </c>
      <c r="D6079" s="656" t="s">
        <v>447</v>
      </c>
      <c r="E6079" s="534">
        <v>852.97500600000001</v>
      </c>
    </row>
    <row r="6080" spans="2:5" x14ac:dyDescent="0.2">
      <c r="B6080" s="533">
        <v>7385</v>
      </c>
      <c r="C6080" s="533" t="s">
        <v>5285</v>
      </c>
      <c r="D6080" s="656" t="s">
        <v>447</v>
      </c>
      <c r="E6080" s="534">
        <v>860.79998799999998</v>
      </c>
    </row>
    <row r="6081" spans="2:5" x14ac:dyDescent="0.2">
      <c r="B6081" s="533">
        <v>7386</v>
      </c>
      <c r="C6081" s="533" t="s">
        <v>7000</v>
      </c>
      <c r="D6081" s="656" t="s">
        <v>447</v>
      </c>
      <c r="E6081" s="534">
        <v>853.30000800000005</v>
      </c>
    </row>
    <row r="6082" spans="2:5" x14ac:dyDescent="0.2">
      <c r="B6082" s="533">
        <v>7387</v>
      </c>
      <c r="C6082" s="533" t="s">
        <v>5268</v>
      </c>
      <c r="D6082" s="656" t="s">
        <v>447</v>
      </c>
      <c r="E6082" s="534">
        <v>857.76666299999999</v>
      </c>
    </row>
    <row r="6083" spans="2:5" x14ac:dyDescent="0.2">
      <c r="B6083" s="533">
        <v>7388</v>
      </c>
      <c r="C6083" s="533" t="s">
        <v>5236</v>
      </c>
      <c r="D6083" s="656" t="s">
        <v>447</v>
      </c>
      <c r="E6083" s="534">
        <v>853.17142200000001</v>
      </c>
    </row>
    <row r="6084" spans="2:5" x14ac:dyDescent="0.2">
      <c r="B6084" s="533">
        <v>7389</v>
      </c>
      <c r="C6084" s="533" t="s">
        <v>5088</v>
      </c>
      <c r="D6084" s="656" t="s">
        <v>447</v>
      </c>
      <c r="E6084" s="534">
        <v>832.668182</v>
      </c>
    </row>
    <row r="6085" spans="2:5" x14ac:dyDescent="0.2">
      <c r="B6085" s="533">
        <v>7390</v>
      </c>
      <c r="C6085" s="533" t="s">
        <v>5251</v>
      </c>
      <c r="D6085" s="656" t="s">
        <v>447</v>
      </c>
      <c r="E6085" s="534">
        <v>855</v>
      </c>
    </row>
    <row r="6086" spans="2:5" x14ac:dyDescent="0.2">
      <c r="B6086" s="533">
        <v>7391</v>
      </c>
      <c r="C6086" s="533" t="s">
        <v>5022</v>
      </c>
      <c r="D6086" s="656" t="s">
        <v>447</v>
      </c>
      <c r="E6086" s="534">
        <v>826.03332499999999</v>
      </c>
    </row>
    <row r="6087" spans="2:5" x14ac:dyDescent="0.2">
      <c r="B6087" s="533">
        <v>7392</v>
      </c>
      <c r="C6087" s="533" t="s">
        <v>2879</v>
      </c>
      <c r="D6087" s="656" t="s">
        <v>447</v>
      </c>
      <c r="E6087" s="534">
        <v>840.75</v>
      </c>
    </row>
    <row r="6088" spans="2:5" x14ac:dyDescent="0.2">
      <c r="B6088" s="533">
        <v>7393</v>
      </c>
      <c r="C6088" s="533" t="s">
        <v>7473</v>
      </c>
      <c r="D6088" s="656" t="s">
        <v>447</v>
      </c>
      <c r="E6088" s="534">
        <v>853.56667100000004</v>
      </c>
    </row>
    <row r="6089" spans="2:5" x14ac:dyDescent="0.2">
      <c r="B6089" s="533">
        <v>7394</v>
      </c>
      <c r="C6089" s="533" t="s">
        <v>3465</v>
      </c>
      <c r="D6089" s="656" t="s">
        <v>447</v>
      </c>
      <c r="E6089" s="534">
        <v>858.90002400000003</v>
      </c>
    </row>
    <row r="6090" spans="2:5" x14ac:dyDescent="0.2">
      <c r="B6090" s="533">
        <v>7395</v>
      </c>
      <c r="C6090" s="533" t="s">
        <v>5005</v>
      </c>
      <c r="D6090" s="656" t="s">
        <v>447</v>
      </c>
      <c r="E6090" s="534">
        <v>824.08571099999995</v>
      </c>
    </row>
    <row r="6091" spans="2:5" x14ac:dyDescent="0.2">
      <c r="B6091" s="533">
        <v>7396</v>
      </c>
      <c r="C6091" s="533" t="s">
        <v>5151</v>
      </c>
      <c r="D6091" s="656" t="s">
        <v>447</v>
      </c>
      <c r="E6091" s="534">
        <v>839.51666299999999</v>
      </c>
    </row>
    <row r="6092" spans="2:5" x14ac:dyDescent="0.2">
      <c r="B6092" s="533">
        <v>7397</v>
      </c>
      <c r="C6092" s="533" t="s">
        <v>5245</v>
      </c>
      <c r="D6092" s="656" t="s">
        <v>447</v>
      </c>
      <c r="E6092" s="534">
        <v>854.31999499999995</v>
      </c>
    </row>
    <row r="6093" spans="2:5" x14ac:dyDescent="0.2">
      <c r="B6093" s="533">
        <v>7398</v>
      </c>
      <c r="C6093" s="533" t="s">
        <v>5296</v>
      </c>
      <c r="D6093" s="656" t="s">
        <v>447</v>
      </c>
      <c r="E6093" s="534">
        <v>863.13334099999997</v>
      </c>
    </row>
    <row r="6094" spans="2:5" x14ac:dyDescent="0.2">
      <c r="B6094" s="533">
        <v>7399</v>
      </c>
      <c r="C6094" s="533" t="s">
        <v>5307</v>
      </c>
      <c r="D6094" s="656" t="s">
        <v>447</v>
      </c>
      <c r="E6094" s="534">
        <v>865.125</v>
      </c>
    </row>
    <row r="6095" spans="2:5" x14ac:dyDescent="0.2">
      <c r="B6095" s="533">
        <v>7400</v>
      </c>
      <c r="C6095" s="533" t="s">
        <v>5411</v>
      </c>
      <c r="D6095" s="656" t="s">
        <v>447</v>
      </c>
      <c r="E6095" s="534">
        <v>882.68000500000005</v>
      </c>
    </row>
    <row r="6096" spans="2:5" x14ac:dyDescent="0.2">
      <c r="B6096" s="533">
        <v>7401</v>
      </c>
      <c r="C6096" s="533" t="s">
        <v>3495</v>
      </c>
      <c r="D6096" s="656" t="s">
        <v>447</v>
      </c>
      <c r="E6096" s="534">
        <v>716.19998199999998</v>
      </c>
    </row>
    <row r="6097" spans="2:5" x14ac:dyDescent="0.2">
      <c r="B6097" s="533">
        <v>7402</v>
      </c>
      <c r="C6097" s="533" t="s">
        <v>3527</v>
      </c>
      <c r="D6097" s="656" t="s">
        <v>447</v>
      </c>
      <c r="E6097" s="534">
        <v>718.19999499999994</v>
      </c>
    </row>
    <row r="6098" spans="2:5" x14ac:dyDescent="0.2">
      <c r="B6098" s="533">
        <v>7403</v>
      </c>
      <c r="C6098" s="533" t="s">
        <v>3367</v>
      </c>
      <c r="D6098" s="656" t="s">
        <v>447</v>
      </c>
      <c r="E6098" s="534">
        <v>709.59999600000003</v>
      </c>
    </row>
    <row r="6099" spans="2:5" x14ac:dyDescent="0.2">
      <c r="B6099" s="533">
        <v>7404</v>
      </c>
      <c r="C6099" s="533" t="s">
        <v>3559</v>
      </c>
      <c r="D6099" s="656" t="s">
        <v>447</v>
      </c>
      <c r="E6099" s="534">
        <v>719.58000500000003</v>
      </c>
    </row>
    <row r="6100" spans="2:5" x14ac:dyDescent="0.2">
      <c r="B6100" s="533">
        <v>7405</v>
      </c>
      <c r="C6100" s="533" t="s">
        <v>7103</v>
      </c>
      <c r="D6100" s="656" t="s">
        <v>447</v>
      </c>
      <c r="E6100" s="534">
        <v>751.54998799999998</v>
      </c>
    </row>
    <row r="6101" spans="2:5" x14ac:dyDescent="0.2">
      <c r="B6101" s="533">
        <v>7406</v>
      </c>
      <c r="C6101" s="533" t="s">
        <v>6686</v>
      </c>
      <c r="D6101" s="656" t="s">
        <v>447</v>
      </c>
      <c r="E6101" s="534">
        <v>728.83332900000005</v>
      </c>
    </row>
    <row r="6102" spans="2:5" x14ac:dyDescent="0.2">
      <c r="B6102" s="533">
        <v>7407</v>
      </c>
      <c r="C6102" s="533" t="s">
        <v>3388</v>
      </c>
      <c r="D6102" s="656" t="s">
        <v>447</v>
      </c>
      <c r="E6102" s="534">
        <v>710.82999900000004</v>
      </c>
    </row>
    <row r="6103" spans="2:5" x14ac:dyDescent="0.2">
      <c r="B6103" s="533">
        <v>7408</v>
      </c>
      <c r="C6103" s="533" t="s">
        <v>3161</v>
      </c>
      <c r="D6103" s="656" t="s">
        <v>447</v>
      </c>
      <c r="E6103" s="534">
        <v>699.76666299999999</v>
      </c>
    </row>
    <row r="6104" spans="2:5" x14ac:dyDescent="0.2">
      <c r="B6104" s="533">
        <v>7409</v>
      </c>
      <c r="C6104" s="533" t="s">
        <v>3734</v>
      </c>
      <c r="D6104" s="656" t="s">
        <v>447</v>
      </c>
      <c r="E6104" s="534">
        <v>729.40000399999997</v>
      </c>
    </row>
    <row r="6105" spans="2:5" x14ac:dyDescent="0.2">
      <c r="B6105" s="533">
        <v>7410</v>
      </c>
      <c r="C6105" s="533" t="s">
        <v>3352</v>
      </c>
      <c r="D6105" s="656" t="s">
        <v>447</v>
      </c>
      <c r="E6105" s="534">
        <v>767</v>
      </c>
    </row>
    <row r="6106" spans="2:5" x14ac:dyDescent="0.2">
      <c r="B6106" s="533">
        <v>7411</v>
      </c>
      <c r="C6106" s="533" t="s">
        <v>3570</v>
      </c>
      <c r="D6106" s="656" t="s">
        <v>447</v>
      </c>
      <c r="E6106" s="534">
        <v>720.25714100000005</v>
      </c>
    </row>
    <row r="6107" spans="2:5" x14ac:dyDescent="0.2">
      <c r="B6107" s="533">
        <v>7412</v>
      </c>
      <c r="C6107" s="533" t="s">
        <v>3768</v>
      </c>
      <c r="D6107" s="656" t="s">
        <v>447</v>
      </c>
      <c r="E6107" s="534">
        <v>731.58572000000004</v>
      </c>
    </row>
    <row r="6108" spans="2:5" x14ac:dyDescent="0.2">
      <c r="B6108" s="533">
        <v>7413</v>
      </c>
      <c r="C6108" s="533" t="s">
        <v>3847</v>
      </c>
      <c r="D6108" s="656" t="s">
        <v>447</v>
      </c>
      <c r="E6108" s="534">
        <v>746.52857300000005</v>
      </c>
    </row>
    <row r="6109" spans="2:5" x14ac:dyDescent="0.2">
      <c r="B6109" s="533">
        <v>7414</v>
      </c>
      <c r="C6109" s="533" t="s">
        <v>1895</v>
      </c>
      <c r="D6109" s="656" t="s">
        <v>447</v>
      </c>
      <c r="E6109" s="534">
        <v>734.883331</v>
      </c>
    </row>
    <row r="6110" spans="2:5" x14ac:dyDescent="0.2">
      <c r="B6110" s="533">
        <v>7415</v>
      </c>
      <c r="C6110" s="533" t="s">
        <v>4102</v>
      </c>
      <c r="D6110" s="656" t="s">
        <v>447</v>
      </c>
      <c r="E6110" s="534">
        <v>751.41427999999996</v>
      </c>
    </row>
    <row r="6111" spans="2:5" x14ac:dyDescent="0.2">
      <c r="B6111" s="533">
        <v>7416</v>
      </c>
      <c r="C6111" s="533" t="s">
        <v>7444</v>
      </c>
      <c r="D6111" s="656" t="s">
        <v>447</v>
      </c>
      <c r="E6111" s="534">
        <v>723</v>
      </c>
    </row>
    <row r="6112" spans="2:5" x14ac:dyDescent="0.2">
      <c r="B6112" s="533">
        <v>7417</v>
      </c>
      <c r="C6112" s="533" t="s">
        <v>3288</v>
      </c>
      <c r="D6112" s="656" t="s">
        <v>447</v>
      </c>
      <c r="E6112" s="534">
        <v>705.61428100000001</v>
      </c>
    </row>
    <row r="6113" spans="2:5" x14ac:dyDescent="0.2">
      <c r="B6113" s="533">
        <v>7418</v>
      </c>
      <c r="C6113" s="533" t="s">
        <v>4002</v>
      </c>
      <c r="D6113" s="656" t="s">
        <v>447</v>
      </c>
      <c r="E6113" s="534">
        <v>745.59999600000003</v>
      </c>
    </row>
    <row r="6114" spans="2:5" x14ac:dyDescent="0.2">
      <c r="B6114" s="533">
        <v>7419</v>
      </c>
      <c r="C6114" s="533" t="s">
        <v>3776</v>
      </c>
      <c r="D6114" s="656" t="s">
        <v>447</v>
      </c>
      <c r="E6114" s="534">
        <v>731.95001200000002</v>
      </c>
    </row>
    <row r="6115" spans="2:5" x14ac:dyDescent="0.2">
      <c r="B6115" s="533">
        <v>7420</v>
      </c>
      <c r="C6115" s="533" t="s">
        <v>3892</v>
      </c>
      <c r="D6115" s="656" t="s">
        <v>447</v>
      </c>
      <c r="E6115" s="534">
        <v>739.125</v>
      </c>
    </row>
    <row r="6116" spans="2:5" x14ac:dyDescent="0.2">
      <c r="B6116" s="533">
        <v>7421</v>
      </c>
      <c r="C6116" s="533" t="s">
        <v>3897</v>
      </c>
      <c r="D6116" s="656" t="s">
        <v>447</v>
      </c>
      <c r="E6116" s="534">
        <v>739.49998800000003</v>
      </c>
    </row>
    <row r="6117" spans="2:5" x14ac:dyDescent="0.2">
      <c r="B6117" s="533">
        <v>7422</v>
      </c>
      <c r="C6117" s="533" t="s">
        <v>3409</v>
      </c>
      <c r="D6117" s="656" t="s">
        <v>447</v>
      </c>
      <c r="E6117" s="534">
        <v>712.18400399999996</v>
      </c>
    </row>
    <row r="6118" spans="2:5" x14ac:dyDescent="0.2">
      <c r="B6118" s="533">
        <v>7423</v>
      </c>
      <c r="C6118" s="533" t="s">
        <v>954</v>
      </c>
      <c r="D6118" s="656" t="s">
        <v>447</v>
      </c>
      <c r="E6118" s="534">
        <v>748.33750199999997</v>
      </c>
    </row>
    <row r="6119" spans="2:5" x14ac:dyDescent="0.2">
      <c r="B6119" s="533">
        <v>7424</v>
      </c>
      <c r="C6119" s="533" t="s">
        <v>3900</v>
      </c>
      <c r="D6119" s="656" t="s">
        <v>447</v>
      </c>
      <c r="E6119" s="534">
        <v>739.53334600000005</v>
      </c>
    </row>
    <row r="6120" spans="2:5" x14ac:dyDescent="0.2">
      <c r="B6120" s="533">
        <v>7425</v>
      </c>
      <c r="C6120" s="533" t="s">
        <v>4079</v>
      </c>
      <c r="D6120" s="656" t="s">
        <v>447</v>
      </c>
      <c r="E6120" s="534">
        <v>750.43332899999996</v>
      </c>
    </row>
    <row r="6121" spans="2:5" x14ac:dyDescent="0.2">
      <c r="B6121" s="533">
        <v>7426</v>
      </c>
      <c r="C6121" s="533" t="s">
        <v>3636</v>
      </c>
      <c r="D6121" s="656" t="s">
        <v>447</v>
      </c>
      <c r="E6121" s="534">
        <v>724.19999700000005</v>
      </c>
    </row>
    <row r="6122" spans="2:5" x14ac:dyDescent="0.2">
      <c r="B6122" s="533">
        <v>7427</v>
      </c>
      <c r="C6122" s="533" t="s">
        <v>4193</v>
      </c>
      <c r="D6122" s="656" t="s">
        <v>447</v>
      </c>
      <c r="E6122" s="534">
        <v>757.82221100000004</v>
      </c>
    </row>
    <row r="6123" spans="2:5" x14ac:dyDescent="0.2">
      <c r="B6123" s="533">
        <v>7428</v>
      </c>
      <c r="C6123" s="533" t="s">
        <v>3990</v>
      </c>
      <c r="D6123" s="656" t="s">
        <v>447</v>
      </c>
      <c r="E6123" s="534">
        <v>744.8</v>
      </c>
    </row>
    <row r="6124" spans="2:5" x14ac:dyDescent="0.2">
      <c r="B6124" s="533">
        <v>7429</v>
      </c>
      <c r="C6124" s="533" t="s">
        <v>4356</v>
      </c>
      <c r="D6124" s="656" t="s">
        <v>447</v>
      </c>
      <c r="E6124" s="534">
        <v>769.46001000000001</v>
      </c>
    </row>
    <row r="6125" spans="2:5" x14ac:dyDescent="0.2">
      <c r="B6125" s="533">
        <v>7430</v>
      </c>
      <c r="C6125" s="533" t="s">
        <v>7429</v>
      </c>
      <c r="D6125" s="656" t="s">
        <v>447</v>
      </c>
      <c r="E6125" s="534">
        <v>774.90001199999995</v>
      </c>
    </row>
    <row r="6126" spans="2:5" x14ac:dyDescent="0.2">
      <c r="B6126" s="533">
        <v>7431</v>
      </c>
      <c r="C6126" s="533" t="s">
        <v>2145</v>
      </c>
      <c r="D6126" s="656" t="s">
        <v>447</v>
      </c>
      <c r="E6126" s="534">
        <v>771.67778199999998</v>
      </c>
    </row>
    <row r="6127" spans="2:5" x14ac:dyDescent="0.2">
      <c r="B6127" s="533">
        <v>7432</v>
      </c>
      <c r="C6127" s="533" t="s">
        <v>4238</v>
      </c>
      <c r="D6127" s="656" t="s">
        <v>447</v>
      </c>
      <c r="E6127" s="534">
        <v>760.79998799999998</v>
      </c>
    </row>
    <row r="6128" spans="2:5" x14ac:dyDescent="0.2">
      <c r="B6128" s="533">
        <v>7433</v>
      </c>
      <c r="C6128" s="533" t="s">
        <v>4599</v>
      </c>
      <c r="D6128" s="656" t="s">
        <v>447</v>
      </c>
      <c r="E6128" s="534">
        <v>788.5</v>
      </c>
    </row>
    <row r="6129" spans="2:5" x14ac:dyDescent="0.2">
      <c r="B6129" s="533">
        <v>7434</v>
      </c>
      <c r="C6129" s="533" t="s">
        <v>3493</v>
      </c>
      <c r="D6129" s="656" t="s">
        <v>447</v>
      </c>
      <c r="E6129" s="534">
        <v>716.10001</v>
      </c>
    </row>
    <row r="6130" spans="2:5" x14ac:dyDescent="0.2">
      <c r="B6130" s="533">
        <v>7435</v>
      </c>
      <c r="C6130" s="533" t="s">
        <v>3781</v>
      </c>
      <c r="D6130" s="656" t="s">
        <v>447</v>
      </c>
      <c r="E6130" s="534">
        <v>732.15998500000001</v>
      </c>
    </row>
    <row r="6131" spans="2:5" x14ac:dyDescent="0.2">
      <c r="B6131" s="533">
        <v>7436</v>
      </c>
      <c r="C6131" s="533" t="s">
        <v>3763</v>
      </c>
      <c r="D6131" s="656" t="s">
        <v>447</v>
      </c>
      <c r="E6131" s="534">
        <v>731.27692100000002</v>
      </c>
    </row>
    <row r="6132" spans="2:5" x14ac:dyDescent="0.2">
      <c r="B6132" s="533">
        <v>7437</v>
      </c>
      <c r="C6132" s="533" t="s">
        <v>6967</v>
      </c>
      <c r="D6132" s="656" t="s">
        <v>447</v>
      </c>
      <c r="E6132" s="534">
        <v>787.77500199999997</v>
      </c>
    </row>
    <row r="6133" spans="2:5" x14ac:dyDescent="0.2">
      <c r="B6133" s="533">
        <v>7438</v>
      </c>
      <c r="C6133" s="533" t="s">
        <v>7278</v>
      </c>
      <c r="D6133" s="656" t="s">
        <v>447</v>
      </c>
      <c r="E6133" s="534">
        <v>770.25</v>
      </c>
    </row>
    <row r="6134" spans="2:5" x14ac:dyDescent="0.2">
      <c r="B6134" s="533">
        <v>7439</v>
      </c>
      <c r="C6134" s="533" t="s">
        <v>4522</v>
      </c>
      <c r="D6134" s="656" t="s">
        <v>447</v>
      </c>
      <c r="E6134" s="534">
        <v>782.23333700000001</v>
      </c>
    </row>
    <row r="6135" spans="2:5" x14ac:dyDescent="0.2">
      <c r="B6135" s="533">
        <v>7440</v>
      </c>
      <c r="C6135" s="533" t="s">
        <v>4495</v>
      </c>
      <c r="D6135" s="656" t="s">
        <v>447</v>
      </c>
      <c r="E6135" s="534">
        <v>780.24284999999998</v>
      </c>
    </row>
    <row r="6136" spans="2:5" x14ac:dyDescent="0.2">
      <c r="B6136" s="533">
        <v>7441</v>
      </c>
      <c r="C6136" s="533" t="s">
        <v>4914</v>
      </c>
      <c r="D6136" s="656" t="s">
        <v>447</v>
      </c>
      <c r="E6136" s="534">
        <v>814.41428900000005</v>
      </c>
    </row>
    <row r="6137" spans="2:5" x14ac:dyDescent="0.2">
      <c r="B6137" s="533">
        <v>7442</v>
      </c>
      <c r="C6137" s="533" t="s">
        <v>4828</v>
      </c>
      <c r="D6137" s="656" t="s">
        <v>447</v>
      </c>
      <c r="E6137" s="534">
        <v>806.54998799999998</v>
      </c>
    </row>
    <row r="6138" spans="2:5" x14ac:dyDescent="0.2">
      <c r="B6138" s="533">
        <v>7443</v>
      </c>
      <c r="C6138" s="533" t="s">
        <v>2438</v>
      </c>
      <c r="D6138" s="656" t="s">
        <v>447</v>
      </c>
      <c r="E6138" s="534">
        <v>806.8</v>
      </c>
    </row>
    <row r="6139" spans="2:5" x14ac:dyDescent="0.2">
      <c r="B6139" s="533">
        <v>7444</v>
      </c>
      <c r="C6139" s="533" t="s">
        <v>3213</v>
      </c>
      <c r="D6139" s="656" t="s">
        <v>447</v>
      </c>
      <c r="E6139" s="534">
        <v>702.23749499999997</v>
      </c>
    </row>
    <row r="6140" spans="2:5" x14ac:dyDescent="0.2">
      <c r="B6140" s="533">
        <v>7445</v>
      </c>
      <c r="C6140" s="533" t="s">
        <v>4052</v>
      </c>
      <c r="D6140" s="656" t="s">
        <v>447</v>
      </c>
      <c r="E6140" s="534">
        <v>748.91666699999996</v>
      </c>
    </row>
    <row r="6141" spans="2:5" x14ac:dyDescent="0.2">
      <c r="B6141" s="533">
        <v>7446</v>
      </c>
      <c r="C6141" s="533" t="s">
        <v>4225</v>
      </c>
      <c r="D6141" s="656" t="s">
        <v>447</v>
      </c>
      <c r="E6141" s="534">
        <v>759.98889199999996</v>
      </c>
    </row>
    <row r="6142" spans="2:5" x14ac:dyDescent="0.2">
      <c r="B6142" s="533">
        <v>7447</v>
      </c>
      <c r="C6142" s="533" t="s">
        <v>4301</v>
      </c>
      <c r="D6142" s="656" t="s">
        <v>447</v>
      </c>
      <c r="E6142" s="534">
        <v>765.46249399999999</v>
      </c>
    </row>
    <row r="6143" spans="2:5" x14ac:dyDescent="0.2">
      <c r="B6143" s="533">
        <v>7448</v>
      </c>
      <c r="C6143" s="533" t="s">
        <v>6521</v>
      </c>
      <c r="D6143" s="656" t="s">
        <v>447</v>
      </c>
      <c r="E6143" s="534">
        <v>727.85833200000002</v>
      </c>
    </row>
    <row r="6144" spans="2:5" x14ac:dyDescent="0.2">
      <c r="B6144" s="533">
        <v>7449</v>
      </c>
      <c r="C6144" s="533" t="s">
        <v>3873</v>
      </c>
      <c r="D6144" s="656" t="s">
        <v>447</v>
      </c>
      <c r="E6144" s="534">
        <v>737.83335399999999</v>
      </c>
    </row>
    <row r="6145" spans="2:5" x14ac:dyDescent="0.2">
      <c r="B6145" s="533">
        <v>7450</v>
      </c>
      <c r="C6145" s="533" t="s">
        <v>4195</v>
      </c>
      <c r="D6145" s="656" t="s">
        <v>447</v>
      </c>
      <c r="E6145" s="534">
        <v>757.94000200000005</v>
      </c>
    </row>
    <row r="6146" spans="2:5" x14ac:dyDescent="0.2">
      <c r="B6146" s="533">
        <v>7451</v>
      </c>
      <c r="C6146" s="533" t="s">
        <v>4908</v>
      </c>
      <c r="D6146" s="656" t="s">
        <v>447</v>
      </c>
      <c r="E6146" s="534">
        <v>813.98333700000001</v>
      </c>
    </row>
    <row r="6147" spans="2:5" x14ac:dyDescent="0.2">
      <c r="B6147" s="533">
        <v>7452</v>
      </c>
      <c r="C6147" s="533" t="s">
        <v>4623</v>
      </c>
      <c r="D6147" s="656" t="s">
        <v>447</v>
      </c>
      <c r="E6147" s="534">
        <v>791</v>
      </c>
    </row>
    <row r="6148" spans="2:5" x14ac:dyDescent="0.2">
      <c r="B6148" s="533">
        <v>7453</v>
      </c>
      <c r="C6148" s="533" t="s">
        <v>5067</v>
      </c>
      <c r="D6148" s="656" t="s">
        <v>447</v>
      </c>
      <c r="E6148" s="534">
        <v>830.96666500000003</v>
      </c>
    </row>
    <row r="6149" spans="2:5" x14ac:dyDescent="0.2">
      <c r="B6149" s="533">
        <v>7454</v>
      </c>
      <c r="C6149" s="533" t="s">
        <v>4868</v>
      </c>
      <c r="D6149" s="656" t="s">
        <v>447</v>
      </c>
      <c r="E6149" s="534">
        <v>809.5</v>
      </c>
    </row>
    <row r="6150" spans="2:5" x14ac:dyDescent="0.2">
      <c r="B6150" s="533">
        <v>7455</v>
      </c>
      <c r="C6150" s="533" t="s">
        <v>5155</v>
      </c>
      <c r="D6150" s="656" t="s">
        <v>447</v>
      </c>
      <c r="E6150" s="534">
        <v>839.70001200000002</v>
      </c>
    </row>
    <row r="6151" spans="2:5" x14ac:dyDescent="0.2">
      <c r="B6151" s="533">
        <v>7456</v>
      </c>
      <c r="C6151" s="533" t="s">
        <v>4998</v>
      </c>
      <c r="D6151" s="656" t="s">
        <v>447</v>
      </c>
      <c r="E6151" s="534">
        <v>823.67142999999999</v>
      </c>
    </row>
    <row r="6152" spans="2:5" x14ac:dyDescent="0.2">
      <c r="B6152" s="533">
        <v>7457</v>
      </c>
      <c r="C6152" s="533" t="s">
        <v>4745</v>
      </c>
      <c r="D6152" s="656" t="s">
        <v>447</v>
      </c>
      <c r="E6152" s="534">
        <v>800.09997599999997</v>
      </c>
    </row>
    <row r="6153" spans="2:5" x14ac:dyDescent="0.2">
      <c r="B6153" s="533">
        <v>7458</v>
      </c>
      <c r="C6153" s="533" t="s">
        <v>4520</v>
      </c>
      <c r="D6153" s="656" t="s">
        <v>447</v>
      </c>
      <c r="E6153" s="534">
        <v>781.70001200000002</v>
      </c>
    </row>
    <row r="6154" spans="2:5" x14ac:dyDescent="0.2">
      <c r="B6154" s="533">
        <v>7459</v>
      </c>
      <c r="C6154" s="533" t="s">
        <v>4854</v>
      </c>
      <c r="D6154" s="656" t="s">
        <v>447</v>
      </c>
      <c r="E6154" s="534">
        <v>808.51428199999998</v>
      </c>
    </row>
    <row r="6155" spans="2:5" x14ac:dyDescent="0.2">
      <c r="B6155" s="533">
        <v>7460</v>
      </c>
      <c r="C6155" s="533" t="s">
        <v>1767</v>
      </c>
      <c r="D6155" s="656" t="s">
        <v>447</v>
      </c>
      <c r="E6155" s="534">
        <v>803.90002400000003</v>
      </c>
    </row>
    <row r="6156" spans="2:5" x14ac:dyDescent="0.2">
      <c r="B6156" s="533">
        <v>7461</v>
      </c>
      <c r="C6156" s="533" t="s">
        <v>4786</v>
      </c>
      <c r="D6156" s="656" t="s">
        <v>447</v>
      </c>
      <c r="E6156" s="534">
        <v>803.02499399999999</v>
      </c>
    </row>
    <row r="6157" spans="2:5" x14ac:dyDescent="0.2">
      <c r="B6157" s="533">
        <v>7462</v>
      </c>
      <c r="C6157" s="533" t="s">
        <v>5138</v>
      </c>
      <c r="D6157" s="656" t="s">
        <v>447</v>
      </c>
      <c r="E6157" s="534">
        <v>838.53635499999996</v>
      </c>
    </row>
    <row r="6158" spans="2:5" x14ac:dyDescent="0.2">
      <c r="B6158" s="533">
        <v>7463</v>
      </c>
      <c r="C6158" s="533" t="s">
        <v>5001</v>
      </c>
      <c r="D6158" s="656" t="s">
        <v>447</v>
      </c>
      <c r="E6158" s="534">
        <v>823.92499499999997</v>
      </c>
    </row>
    <row r="6159" spans="2:5" x14ac:dyDescent="0.2">
      <c r="B6159" s="533">
        <v>7464</v>
      </c>
      <c r="C6159" s="533" t="s">
        <v>2043</v>
      </c>
      <c r="D6159" s="656" t="s">
        <v>447</v>
      </c>
      <c r="E6159" s="534">
        <v>823.87691099999995</v>
      </c>
    </row>
    <row r="6160" spans="2:5" x14ac:dyDescent="0.2">
      <c r="B6160" s="533">
        <v>7465</v>
      </c>
      <c r="C6160" s="533" t="s">
        <v>5130</v>
      </c>
      <c r="D6160" s="656" t="s">
        <v>447</v>
      </c>
      <c r="E6160" s="534">
        <v>837.76250500000003</v>
      </c>
    </row>
    <row r="6161" spans="2:5" x14ac:dyDescent="0.2">
      <c r="B6161" s="533">
        <v>7501</v>
      </c>
      <c r="C6161" s="533" t="s">
        <v>3902</v>
      </c>
      <c r="D6161" s="656" t="s">
        <v>451</v>
      </c>
      <c r="E6161" s="534">
        <v>739.66666699999996</v>
      </c>
    </row>
    <row r="6162" spans="2:5" x14ac:dyDescent="0.2">
      <c r="B6162" s="533">
        <v>7502</v>
      </c>
      <c r="C6162" s="533" t="s">
        <v>7039</v>
      </c>
      <c r="D6162" s="656" t="s">
        <v>451</v>
      </c>
      <c r="E6162" s="534">
        <v>766.18571299999996</v>
      </c>
    </row>
    <row r="6163" spans="2:5" x14ac:dyDescent="0.2">
      <c r="B6163" s="533">
        <v>7503</v>
      </c>
      <c r="C6163" s="533" t="s">
        <v>4418</v>
      </c>
      <c r="D6163" s="656" t="s">
        <v>451</v>
      </c>
      <c r="E6163" s="534">
        <v>774.97500600000001</v>
      </c>
    </row>
    <row r="6164" spans="2:5" x14ac:dyDescent="0.2">
      <c r="B6164" s="533">
        <v>7504</v>
      </c>
      <c r="C6164" s="533" t="s">
        <v>4578</v>
      </c>
      <c r="D6164" s="656" t="s">
        <v>451</v>
      </c>
      <c r="E6164" s="534">
        <v>786.82223199999999</v>
      </c>
    </row>
    <row r="6165" spans="2:5" x14ac:dyDescent="0.2">
      <c r="B6165" s="533">
        <v>7506</v>
      </c>
      <c r="C6165" s="533" t="s">
        <v>4822</v>
      </c>
      <c r="D6165" s="656" t="s">
        <v>451</v>
      </c>
      <c r="E6165" s="534">
        <v>806.29999799999996</v>
      </c>
    </row>
    <row r="6166" spans="2:5" x14ac:dyDescent="0.2">
      <c r="B6166" s="533">
        <v>7507</v>
      </c>
      <c r="C6166" s="533" t="s">
        <v>5040</v>
      </c>
      <c r="D6166" s="656" t="s">
        <v>451</v>
      </c>
      <c r="E6166" s="534">
        <v>828.36665900000003</v>
      </c>
    </row>
    <row r="6167" spans="2:5" x14ac:dyDescent="0.2">
      <c r="B6167" s="533">
        <v>7508</v>
      </c>
      <c r="C6167" s="533" t="s">
        <v>1732</v>
      </c>
      <c r="D6167" s="656" t="s">
        <v>451</v>
      </c>
      <c r="E6167" s="534">
        <v>816.76666299999999</v>
      </c>
    </row>
    <row r="6168" spans="2:5" x14ac:dyDescent="0.2">
      <c r="B6168" s="533">
        <v>7509</v>
      </c>
      <c r="C6168" s="533" t="s">
        <v>5073</v>
      </c>
      <c r="D6168" s="656" t="s">
        <v>451</v>
      </c>
      <c r="E6168" s="534">
        <v>831.29998799999998</v>
      </c>
    </row>
    <row r="6169" spans="2:5" x14ac:dyDescent="0.2">
      <c r="B6169" s="533">
        <v>7510</v>
      </c>
      <c r="C6169" s="533" t="s">
        <v>2319</v>
      </c>
      <c r="D6169" s="656" t="s">
        <v>451</v>
      </c>
      <c r="E6169" s="534">
        <v>818.37142500000004</v>
      </c>
    </row>
    <row r="6170" spans="2:5" x14ac:dyDescent="0.2">
      <c r="B6170" s="533">
        <v>7511</v>
      </c>
      <c r="C6170" s="533" t="s">
        <v>5107</v>
      </c>
      <c r="D6170" s="656" t="s">
        <v>451</v>
      </c>
      <c r="E6170" s="534">
        <v>834.98570900000004</v>
      </c>
    </row>
    <row r="6171" spans="2:5" x14ac:dyDescent="0.2">
      <c r="B6171" s="533">
        <v>7512</v>
      </c>
      <c r="C6171" s="533" t="s">
        <v>5186</v>
      </c>
      <c r="D6171" s="656" t="s">
        <v>451</v>
      </c>
      <c r="E6171" s="534">
        <v>845.072721</v>
      </c>
    </row>
    <row r="6172" spans="2:5" x14ac:dyDescent="0.2">
      <c r="B6172" s="533">
        <v>7513</v>
      </c>
      <c r="C6172" s="533" t="s">
        <v>5146</v>
      </c>
      <c r="D6172" s="656" t="s">
        <v>451</v>
      </c>
      <c r="E6172" s="534">
        <v>839.27499399999999</v>
      </c>
    </row>
    <row r="6173" spans="2:5" x14ac:dyDescent="0.2">
      <c r="B6173" s="533">
        <v>7514</v>
      </c>
      <c r="C6173" s="533" t="s">
        <v>5279</v>
      </c>
      <c r="D6173" s="656" t="s">
        <v>451</v>
      </c>
      <c r="E6173" s="534">
        <v>859.5</v>
      </c>
    </row>
    <row r="6174" spans="2:5" x14ac:dyDescent="0.2">
      <c r="B6174" s="533">
        <v>7515</v>
      </c>
      <c r="C6174" s="533" t="s">
        <v>5124</v>
      </c>
      <c r="D6174" s="656" t="s">
        <v>451</v>
      </c>
      <c r="E6174" s="534">
        <v>836.88000499999998</v>
      </c>
    </row>
    <row r="6175" spans="2:5" x14ac:dyDescent="0.2">
      <c r="B6175" s="533">
        <v>7516</v>
      </c>
      <c r="C6175" s="533" t="s">
        <v>5301</v>
      </c>
      <c r="D6175" s="656" t="s">
        <v>451</v>
      </c>
      <c r="E6175" s="534">
        <v>863.67500299999995</v>
      </c>
    </row>
    <row r="6176" spans="2:5" x14ac:dyDescent="0.2">
      <c r="B6176" s="533">
        <v>7517</v>
      </c>
      <c r="C6176" s="533" t="s">
        <v>1910</v>
      </c>
      <c r="D6176" s="656" t="s">
        <v>451</v>
      </c>
      <c r="E6176" s="534">
        <v>870.03334600000005</v>
      </c>
    </row>
    <row r="6177" spans="2:5" x14ac:dyDescent="0.2">
      <c r="B6177" s="533">
        <v>7518</v>
      </c>
      <c r="C6177" s="533" t="s">
        <v>798</v>
      </c>
      <c r="D6177" s="656" t="s">
        <v>451</v>
      </c>
      <c r="E6177" s="534">
        <v>879.353341</v>
      </c>
    </row>
    <row r="6178" spans="2:5" x14ac:dyDescent="0.2">
      <c r="B6178" s="533">
        <v>7519</v>
      </c>
      <c r="C6178" s="533" t="s">
        <v>5525</v>
      </c>
      <c r="D6178" s="656" t="s">
        <v>451</v>
      </c>
      <c r="E6178" s="534">
        <v>901.19998799999996</v>
      </c>
    </row>
    <row r="6179" spans="2:5" x14ac:dyDescent="0.2">
      <c r="B6179" s="533">
        <v>7520</v>
      </c>
      <c r="C6179" s="533" t="s">
        <v>5443</v>
      </c>
      <c r="D6179" s="656" t="s">
        <v>451</v>
      </c>
      <c r="E6179" s="534">
        <v>888.16666699999996</v>
      </c>
    </row>
    <row r="6180" spans="2:5" x14ac:dyDescent="0.2">
      <c r="B6180" s="533">
        <v>7521</v>
      </c>
      <c r="C6180" s="533" t="s">
        <v>5410</v>
      </c>
      <c r="D6180" s="656" t="s">
        <v>451</v>
      </c>
      <c r="E6180" s="534">
        <v>882.20000100000004</v>
      </c>
    </row>
    <row r="6181" spans="2:5" x14ac:dyDescent="0.2">
      <c r="B6181" s="533">
        <v>7522</v>
      </c>
      <c r="C6181" s="533" t="s">
        <v>4928</v>
      </c>
      <c r="D6181" s="656" t="s">
        <v>451</v>
      </c>
      <c r="E6181" s="534">
        <v>879.366669</v>
      </c>
    </row>
    <row r="6182" spans="2:5" x14ac:dyDescent="0.2">
      <c r="B6182" s="533">
        <v>7523</v>
      </c>
      <c r="C6182" s="533" t="s">
        <v>5265</v>
      </c>
      <c r="D6182" s="656" t="s">
        <v>451</v>
      </c>
      <c r="E6182" s="534">
        <v>857.07777899999996</v>
      </c>
    </row>
    <row r="6183" spans="2:5" x14ac:dyDescent="0.2">
      <c r="B6183" s="533">
        <v>7524</v>
      </c>
      <c r="C6183" s="533" t="s">
        <v>5227</v>
      </c>
      <c r="D6183" s="656" t="s">
        <v>451</v>
      </c>
      <c r="E6183" s="534">
        <v>851.77499399999999</v>
      </c>
    </row>
    <row r="6184" spans="2:5" x14ac:dyDescent="0.2">
      <c r="B6184" s="533">
        <v>7525</v>
      </c>
      <c r="C6184" s="533" t="s">
        <v>5404</v>
      </c>
      <c r="D6184" s="656" t="s">
        <v>451</v>
      </c>
      <c r="E6184" s="534">
        <v>880.70713999999998</v>
      </c>
    </row>
    <row r="6185" spans="2:5" x14ac:dyDescent="0.2">
      <c r="B6185" s="533">
        <v>7526</v>
      </c>
      <c r="C6185" s="533" t="s">
        <v>7053</v>
      </c>
      <c r="D6185" s="656" t="s">
        <v>451</v>
      </c>
      <c r="E6185" s="534">
        <v>875.85000600000001</v>
      </c>
    </row>
    <row r="6186" spans="2:5" x14ac:dyDescent="0.2">
      <c r="B6186" s="533">
        <v>7527</v>
      </c>
      <c r="C6186" s="533" t="s">
        <v>5295</v>
      </c>
      <c r="D6186" s="656" t="s">
        <v>451</v>
      </c>
      <c r="E6186" s="534">
        <v>863.04998799999998</v>
      </c>
    </row>
    <row r="6187" spans="2:5" x14ac:dyDescent="0.2">
      <c r="B6187" s="533">
        <v>7528</v>
      </c>
      <c r="C6187" s="533" t="s">
        <v>5316</v>
      </c>
      <c r="D6187" s="656" t="s">
        <v>451</v>
      </c>
      <c r="E6187" s="534">
        <v>866.759998</v>
      </c>
    </row>
    <row r="6188" spans="2:5" x14ac:dyDescent="0.2">
      <c r="B6188" s="533">
        <v>7529</v>
      </c>
      <c r="C6188" s="533" t="s">
        <v>5457</v>
      </c>
      <c r="D6188" s="656" t="s">
        <v>451</v>
      </c>
      <c r="E6188" s="534">
        <v>891.35000600000001</v>
      </c>
    </row>
    <row r="6189" spans="2:5" x14ac:dyDescent="0.2">
      <c r="B6189" s="533">
        <v>7530</v>
      </c>
      <c r="C6189" s="533" t="s">
        <v>5449</v>
      </c>
      <c r="D6189" s="656" t="s">
        <v>456</v>
      </c>
      <c r="E6189" s="534">
        <v>889.52499399999999</v>
      </c>
    </row>
    <row r="6190" spans="2:5" x14ac:dyDescent="0.2">
      <c r="B6190" s="533">
        <v>7531</v>
      </c>
      <c r="C6190" s="533" t="s">
        <v>5326</v>
      </c>
      <c r="D6190" s="656" t="s">
        <v>456</v>
      </c>
      <c r="E6190" s="534">
        <v>868.53332499999999</v>
      </c>
    </row>
    <row r="6191" spans="2:5" x14ac:dyDescent="0.2">
      <c r="B6191" s="533">
        <v>7532</v>
      </c>
      <c r="C6191" s="533" t="s">
        <v>5440</v>
      </c>
      <c r="D6191" s="656" t="s">
        <v>456</v>
      </c>
      <c r="E6191" s="534">
        <v>887.45001200000002</v>
      </c>
    </row>
    <row r="6192" spans="2:5" x14ac:dyDescent="0.2">
      <c r="B6192" s="533">
        <v>7533</v>
      </c>
      <c r="C6192" s="533" t="s">
        <v>5421</v>
      </c>
      <c r="D6192" s="656" t="s">
        <v>456</v>
      </c>
      <c r="E6192" s="534">
        <v>884.29166699999996</v>
      </c>
    </row>
    <row r="6193" spans="2:5" x14ac:dyDescent="0.2">
      <c r="B6193" s="533">
        <v>7534</v>
      </c>
      <c r="C6193" s="533" t="s">
        <v>5430</v>
      </c>
      <c r="D6193" s="656" t="s">
        <v>456</v>
      </c>
      <c r="E6193" s="534">
        <v>885.71665399999995</v>
      </c>
    </row>
    <row r="6194" spans="2:5" x14ac:dyDescent="0.2">
      <c r="B6194" s="533">
        <v>7535</v>
      </c>
      <c r="C6194" s="533" t="s">
        <v>5445</v>
      </c>
      <c r="D6194" s="656" t="s">
        <v>456</v>
      </c>
      <c r="E6194" s="534">
        <v>888.47499100000005</v>
      </c>
    </row>
    <row r="6195" spans="2:5" x14ac:dyDescent="0.2">
      <c r="B6195" s="533">
        <v>7536</v>
      </c>
      <c r="C6195" s="533" t="s">
        <v>5542</v>
      </c>
      <c r="D6195" s="656" t="s">
        <v>456</v>
      </c>
      <c r="E6195" s="534">
        <v>904.68750799999998</v>
      </c>
    </row>
    <row r="6196" spans="2:5" x14ac:dyDescent="0.2">
      <c r="B6196" s="533">
        <v>7537</v>
      </c>
      <c r="C6196" s="533" t="s">
        <v>5442</v>
      </c>
      <c r="D6196" s="656" t="s">
        <v>456</v>
      </c>
      <c r="E6196" s="534">
        <v>887.70833300000004</v>
      </c>
    </row>
    <row r="6197" spans="2:5" x14ac:dyDescent="0.2">
      <c r="B6197" s="533">
        <v>7538</v>
      </c>
      <c r="C6197" s="533" t="s">
        <v>5428</v>
      </c>
      <c r="D6197" s="656" t="s">
        <v>456</v>
      </c>
      <c r="E6197" s="534">
        <v>885.42858000000001</v>
      </c>
    </row>
    <row r="6198" spans="2:5" x14ac:dyDescent="0.2">
      <c r="B6198" s="533">
        <v>7539</v>
      </c>
      <c r="C6198" s="533" t="s">
        <v>5278</v>
      </c>
      <c r="D6198" s="656" t="s">
        <v>456</v>
      </c>
      <c r="E6198" s="534">
        <v>859.3</v>
      </c>
    </row>
    <row r="6199" spans="2:5" x14ac:dyDescent="0.2">
      <c r="B6199" s="533">
        <v>7540</v>
      </c>
      <c r="C6199" s="533" t="s">
        <v>5353</v>
      </c>
      <c r="D6199" s="656" t="s">
        <v>456</v>
      </c>
      <c r="E6199" s="534">
        <v>873.25556800000004</v>
      </c>
    </row>
    <row r="6200" spans="2:5" x14ac:dyDescent="0.2">
      <c r="B6200" s="533">
        <v>7541</v>
      </c>
      <c r="C6200" s="533" t="s">
        <v>5397</v>
      </c>
      <c r="D6200" s="656" t="s">
        <v>456</v>
      </c>
      <c r="E6200" s="534">
        <v>880.07778299999995</v>
      </c>
    </row>
    <row r="6201" spans="2:5" x14ac:dyDescent="0.2">
      <c r="B6201" s="533">
        <v>7542</v>
      </c>
      <c r="C6201" s="533" t="s">
        <v>5473</v>
      </c>
      <c r="D6201" s="656" t="s">
        <v>456</v>
      </c>
      <c r="E6201" s="534">
        <v>893.35999800000002</v>
      </c>
    </row>
    <row r="6202" spans="2:5" x14ac:dyDescent="0.2">
      <c r="B6202" s="533">
        <v>7543</v>
      </c>
      <c r="C6202" s="533" t="s">
        <v>6627</v>
      </c>
      <c r="D6202" s="656" t="s">
        <v>456</v>
      </c>
      <c r="E6202" s="534">
        <v>899.79999799999996</v>
      </c>
    </row>
    <row r="6203" spans="2:5" x14ac:dyDescent="0.2">
      <c r="B6203" s="533">
        <v>7544</v>
      </c>
      <c r="C6203" s="533" t="s">
        <v>5637</v>
      </c>
      <c r="D6203" s="656" t="s">
        <v>456</v>
      </c>
      <c r="E6203" s="534">
        <v>924.24000899999999</v>
      </c>
    </row>
    <row r="6204" spans="2:5" x14ac:dyDescent="0.2">
      <c r="B6204" s="533">
        <v>7545</v>
      </c>
      <c r="C6204" s="533" t="s">
        <v>5319</v>
      </c>
      <c r="D6204" s="656" t="s">
        <v>456</v>
      </c>
      <c r="E6204" s="534">
        <v>867.125</v>
      </c>
    </row>
    <row r="6205" spans="2:5" x14ac:dyDescent="0.2">
      <c r="B6205" s="533">
        <v>7546</v>
      </c>
      <c r="C6205" s="533" t="s">
        <v>5513</v>
      </c>
      <c r="D6205" s="656" t="s">
        <v>456</v>
      </c>
      <c r="E6205" s="534">
        <v>899.20001200000002</v>
      </c>
    </row>
    <row r="6206" spans="2:5" x14ac:dyDescent="0.2">
      <c r="B6206" s="533">
        <v>7547</v>
      </c>
      <c r="C6206" s="533" t="s">
        <v>6690</v>
      </c>
      <c r="D6206" s="656" t="s">
        <v>456</v>
      </c>
      <c r="E6206" s="534">
        <v>885.07000700000003</v>
      </c>
    </row>
    <row r="6207" spans="2:5" x14ac:dyDescent="0.2">
      <c r="B6207" s="533">
        <v>7548</v>
      </c>
      <c r="C6207" s="533" t="s">
        <v>5618</v>
      </c>
      <c r="D6207" s="656" t="s">
        <v>456</v>
      </c>
      <c r="E6207" s="534">
        <v>918.14999399999999</v>
      </c>
    </row>
    <row r="6208" spans="2:5" x14ac:dyDescent="0.2">
      <c r="B6208" s="533">
        <v>7549</v>
      </c>
      <c r="C6208" s="533" t="s">
        <v>7303</v>
      </c>
      <c r="D6208" s="656" t="s">
        <v>456</v>
      </c>
      <c r="E6208" s="534">
        <v>860.36000200000001</v>
      </c>
    </row>
    <row r="6209" spans="2:5" x14ac:dyDescent="0.2">
      <c r="B6209" s="533">
        <v>7550</v>
      </c>
      <c r="C6209" s="533" t="s">
        <v>5303</v>
      </c>
      <c r="D6209" s="656" t="s">
        <v>456</v>
      </c>
      <c r="E6209" s="534">
        <v>863.79998799999998</v>
      </c>
    </row>
    <row r="6210" spans="2:5" x14ac:dyDescent="0.2">
      <c r="B6210" s="533">
        <v>7551</v>
      </c>
      <c r="C6210" s="533" t="s">
        <v>5501</v>
      </c>
      <c r="D6210" s="656" t="s">
        <v>456</v>
      </c>
      <c r="E6210" s="534">
        <v>896.80909899999995</v>
      </c>
    </row>
    <row r="6211" spans="2:5" x14ac:dyDescent="0.2">
      <c r="B6211" s="533">
        <v>7552</v>
      </c>
      <c r="C6211" s="533" t="s">
        <v>5641</v>
      </c>
      <c r="D6211" s="656" t="s">
        <v>456</v>
      </c>
      <c r="E6211" s="534">
        <v>925.08000500000003</v>
      </c>
    </row>
    <row r="6212" spans="2:5" x14ac:dyDescent="0.2">
      <c r="B6212" s="533">
        <v>7553</v>
      </c>
      <c r="C6212" s="533" t="s">
        <v>5524</v>
      </c>
      <c r="D6212" s="656" t="s">
        <v>456</v>
      </c>
      <c r="E6212" s="534">
        <v>901.08333300000004</v>
      </c>
    </row>
    <row r="6213" spans="2:5" x14ac:dyDescent="0.2">
      <c r="B6213" s="533">
        <v>7554</v>
      </c>
      <c r="C6213" s="533" t="s">
        <v>5653</v>
      </c>
      <c r="D6213" s="656" t="s">
        <v>456</v>
      </c>
      <c r="E6213" s="534">
        <v>928.16875100000004</v>
      </c>
    </row>
    <row r="6214" spans="2:5" x14ac:dyDescent="0.2">
      <c r="B6214" s="533">
        <v>7555</v>
      </c>
      <c r="C6214" s="533" t="s">
        <v>5626</v>
      </c>
      <c r="D6214" s="656" t="s">
        <v>456</v>
      </c>
      <c r="E6214" s="534">
        <v>920.10768900000005</v>
      </c>
    </row>
    <row r="6215" spans="2:5" x14ac:dyDescent="0.2">
      <c r="B6215" s="533">
        <v>7556</v>
      </c>
      <c r="C6215" s="533" t="s">
        <v>1714</v>
      </c>
      <c r="D6215" s="656" t="s">
        <v>456</v>
      </c>
      <c r="E6215" s="534">
        <v>898.66249800000003</v>
      </c>
    </row>
    <row r="6216" spans="2:5" x14ac:dyDescent="0.2">
      <c r="B6216" s="533">
        <v>7557</v>
      </c>
      <c r="C6216" s="533" t="s">
        <v>5672</v>
      </c>
      <c r="D6216" s="656" t="s">
        <v>456</v>
      </c>
      <c r="E6216" s="534">
        <v>933.95999800000004</v>
      </c>
    </row>
    <row r="6217" spans="2:5" x14ac:dyDescent="0.2">
      <c r="B6217" s="533">
        <v>7558</v>
      </c>
      <c r="C6217" s="533" t="s">
        <v>4618</v>
      </c>
      <c r="D6217" s="656" t="s">
        <v>456</v>
      </c>
      <c r="E6217" s="534">
        <v>929.72500600000001</v>
      </c>
    </row>
    <row r="6218" spans="2:5" x14ac:dyDescent="0.2">
      <c r="B6218" s="533">
        <v>7559</v>
      </c>
      <c r="C6218" s="533" t="s">
        <v>5695</v>
      </c>
      <c r="D6218" s="656" t="s">
        <v>456</v>
      </c>
      <c r="E6218" s="534">
        <v>940.03750200000002</v>
      </c>
    </row>
    <row r="6219" spans="2:5" x14ac:dyDescent="0.2">
      <c r="B6219" s="533">
        <v>7560</v>
      </c>
      <c r="C6219" s="533" t="s">
        <v>5754</v>
      </c>
      <c r="D6219" s="656" t="s">
        <v>456</v>
      </c>
      <c r="E6219" s="534">
        <v>956.96249399999999</v>
      </c>
    </row>
    <row r="6220" spans="2:5" x14ac:dyDescent="0.2">
      <c r="B6220" s="533">
        <v>7561</v>
      </c>
      <c r="C6220" s="533" t="s">
        <v>6944</v>
      </c>
      <c r="D6220" s="656" t="s">
        <v>456</v>
      </c>
      <c r="E6220" s="534">
        <v>931.99998600000004</v>
      </c>
    </row>
    <row r="6221" spans="2:5" x14ac:dyDescent="0.2">
      <c r="B6221" s="533">
        <v>7562</v>
      </c>
      <c r="C6221" s="533" t="s">
        <v>5703</v>
      </c>
      <c r="D6221" s="656" t="s">
        <v>456</v>
      </c>
      <c r="E6221" s="534">
        <v>942.36666400000001</v>
      </c>
    </row>
    <row r="6222" spans="2:5" x14ac:dyDescent="0.2">
      <c r="B6222" s="533">
        <v>7563</v>
      </c>
      <c r="C6222" s="533" t="s">
        <v>3968</v>
      </c>
      <c r="D6222" s="656" t="s">
        <v>456</v>
      </c>
      <c r="E6222" s="534">
        <v>954.97776999999996</v>
      </c>
    </row>
    <row r="6223" spans="2:5" x14ac:dyDescent="0.2">
      <c r="B6223" s="533">
        <v>7564</v>
      </c>
      <c r="C6223" s="533" t="s">
        <v>3937</v>
      </c>
      <c r="D6223" s="656" t="s">
        <v>456</v>
      </c>
      <c r="E6223" s="534">
        <v>953.44000200000005</v>
      </c>
    </row>
    <row r="6224" spans="2:5" x14ac:dyDescent="0.2">
      <c r="B6224" s="533">
        <v>7565</v>
      </c>
      <c r="C6224" s="533" t="s">
        <v>1451</v>
      </c>
      <c r="D6224" s="656" t="s">
        <v>456</v>
      </c>
      <c r="E6224" s="534">
        <v>911.59000200000003</v>
      </c>
    </row>
    <row r="6225" spans="2:5" x14ac:dyDescent="0.2">
      <c r="B6225" s="533">
        <v>7566</v>
      </c>
      <c r="C6225" s="533" t="s">
        <v>2601</v>
      </c>
      <c r="D6225" s="656" t="s">
        <v>446</v>
      </c>
      <c r="E6225" s="534">
        <v>939.38333599999999</v>
      </c>
    </row>
    <row r="6226" spans="2:5" x14ac:dyDescent="0.2">
      <c r="B6226" s="533">
        <v>7567</v>
      </c>
      <c r="C6226" s="533" t="s">
        <v>5610</v>
      </c>
      <c r="D6226" s="656" t="s">
        <v>446</v>
      </c>
      <c r="E6226" s="534">
        <v>916.14285700000005</v>
      </c>
    </row>
    <row r="6227" spans="2:5" x14ac:dyDescent="0.2">
      <c r="B6227" s="533">
        <v>7568</v>
      </c>
      <c r="C6227" s="533" t="s">
        <v>5781</v>
      </c>
      <c r="D6227" s="656" t="s">
        <v>446</v>
      </c>
      <c r="E6227" s="534">
        <v>963.54000199999996</v>
      </c>
    </row>
    <row r="6228" spans="2:5" x14ac:dyDescent="0.2">
      <c r="B6228" s="533">
        <v>7569</v>
      </c>
      <c r="C6228" s="533" t="s">
        <v>5698</v>
      </c>
      <c r="D6228" s="656" t="s">
        <v>446</v>
      </c>
      <c r="E6228" s="534">
        <v>940.46250199999997</v>
      </c>
    </row>
    <row r="6229" spans="2:5" x14ac:dyDescent="0.2">
      <c r="B6229" s="533">
        <v>7570</v>
      </c>
      <c r="C6229" s="533" t="s">
        <v>446</v>
      </c>
      <c r="D6229" s="656" t="s">
        <v>446</v>
      </c>
      <c r="E6229" s="534">
        <v>935.47142199999996</v>
      </c>
    </row>
    <row r="6230" spans="2:5" x14ac:dyDescent="0.2">
      <c r="B6230" s="533">
        <v>7571</v>
      </c>
      <c r="C6230" s="533" t="s">
        <v>5806</v>
      </c>
      <c r="D6230" s="656" t="s">
        <v>446</v>
      </c>
      <c r="E6230" s="534">
        <v>969.15713900000003</v>
      </c>
    </row>
    <row r="6231" spans="2:5" x14ac:dyDescent="0.2">
      <c r="B6231" s="533">
        <v>7572</v>
      </c>
      <c r="C6231" s="533" t="s">
        <v>5834</v>
      </c>
      <c r="D6231" s="656" t="s">
        <v>446</v>
      </c>
      <c r="E6231" s="534">
        <v>979.87142900000003</v>
      </c>
    </row>
    <row r="6232" spans="2:5" x14ac:dyDescent="0.2">
      <c r="B6232" s="533">
        <v>7573</v>
      </c>
      <c r="C6232" s="533" t="s">
        <v>5893</v>
      </c>
      <c r="D6232" s="656" t="s">
        <v>446</v>
      </c>
      <c r="E6232" s="534">
        <v>999.77500399999997</v>
      </c>
    </row>
    <row r="6233" spans="2:5" x14ac:dyDescent="0.2">
      <c r="B6233" s="533">
        <v>7574</v>
      </c>
      <c r="C6233" s="533" t="s">
        <v>5750</v>
      </c>
      <c r="D6233" s="656" t="s">
        <v>456</v>
      </c>
      <c r="E6233" s="534">
        <v>956.40002400000003</v>
      </c>
    </row>
    <row r="6234" spans="2:5" x14ac:dyDescent="0.2">
      <c r="B6234" s="533">
        <v>7575</v>
      </c>
      <c r="C6234" s="533" t="s">
        <v>5733</v>
      </c>
      <c r="D6234" s="656" t="s">
        <v>456</v>
      </c>
      <c r="E6234" s="534">
        <v>951.86667899999998</v>
      </c>
    </row>
    <row r="6235" spans="2:5" x14ac:dyDescent="0.2">
      <c r="B6235" s="533">
        <v>7576</v>
      </c>
      <c r="C6235" s="533" t="s">
        <v>7015</v>
      </c>
      <c r="D6235" s="656" t="s">
        <v>456</v>
      </c>
      <c r="E6235" s="534">
        <v>943.883331</v>
      </c>
    </row>
    <row r="6236" spans="2:5" x14ac:dyDescent="0.2">
      <c r="B6236" s="533">
        <v>7577</v>
      </c>
      <c r="C6236" s="533" t="s">
        <v>5756</v>
      </c>
      <c r="D6236" s="656" t="s">
        <v>456</v>
      </c>
      <c r="E6236" s="534">
        <v>957.06666099999995</v>
      </c>
    </row>
    <row r="6237" spans="2:5" x14ac:dyDescent="0.2">
      <c r="B6237" s="533">
        <v>7578</v>
      </c>
      <c r="C6237" s="533" t="s">
        <v>5742</v>
      </c>
      <c r="D6237" s="656" t="s">
        <v>456</v>
      </c>
      <c r="E6237" s="534">
        <v>953.67500299999995</v>
      </c>
    </row>
    <row r="6238" spans="2:5" x14ac:dyDescent="0.2">
      <c r="B6238" s="533">
        <v>7579</v>
      </c>
      <c r="C6238" s="533" t="s">
        <v>5780</v>
      </c>
      <c r="D6238" s="656" t="s">
        <v>456</v>
      </c>
      <c r="E6238" s="534">
        <v>963.14999399999999</v>
      </c>
    </row>
    <row r="6239" spans="2:5" x14ac:dyDescent="0.2">
      <c r="B6239" s="533">
        <v>7580</v>
      </c>
      <c r="C6239" s="533" t="s">
        <v>5933</v>
      </c>
      <c r="D6239" s="656" t="s">
        <v>456</v>
      </c>
      <c r="E6239" s="534">
        <v>1023.100008</v>
      </c>
    </row>
    <row r="6240" spans="2:5" x14ac:dyDescent="0.2">
      <c r="B6240" s="533">
        <v>7581</v>
      </c>
      <c r="C6240" s="533" t="s">
        <v>5786</v>
      </c>
      <c r="D6240" s="656" t="s">
        <v>456</v>
      </c>
      <c r="E6240" s="534">
        <v>964.79998799999998</v>
      </c>
    </row>
    <row r="6241" spans="2:5" x14ac:dyDescent="0.2">
      <c r="B6241" s="533">
        <v>7582</v>
      </c>
      <c r="C6241" s="533" t="s">
        <v>5857</v>
      </c>
      <c r="D6241" s="656" t="s">
        <v>456</v>
      </c>
      <c r="E6241" s="534">
        <v>986.85881900000004</v>
      </c>
    </row>
    <row r="6242" spans="2:5" x14ac:dyDescent="0.2">
      <c r="B6242" s="533">
        <v>7583</v>
      </c>
      <c r="C6242" s="533" t="s">
        <v>6027</v>
      </c>
      <c r="D6242" s="656" t="s">
        <v>456</v>
      </c>
      <c r="E6242" s="534">
        <v>1071.0333350000001</v>
      </c>
    </row>
    <row r="6243" spans="2:5" x14ac:dyDescent="0.2">
      <c r="B6243" s="533">
        <v>7584</v>
      </c>
      <c r="C6243" s="533" t="s">
        <v>5937</v>
      </c>
      <c r="D6243" s="656" t="s">
        <v>456</v>
      </c>
      <c r="E6243" s="534">
        <v>1025.037491</v>
      </c>
    </row>
    <row r="6244" spans="2:5" x14ac:dyDescent="0.2">
      <c r="B6244" s="533">
        <v>7585</v>
      </c>
      <c r="C6244" s="533" t="s">
        <v>5975</v>
      </c>
      <c r="D6244" s="656" t="s">
        <v>456</v>
      </c>
      <c r="E6244" s="534">
        <v>1041.0875020000001</v>
      </c>
    </row>
    <row r="6245" spans="2:5" x14ac:dyDescent="0.2">
      <c r="B6245" s="533">
        <v>7586</v>
      </c>
      <c r="C6245" s="533" t="s">
        <v>6043</v>
      </c>
      <c r="D6245" s="656" t="s">
        <v>456</v>
      </c>
      <c r="E6245" s="534">
        <v>1080.045443</v>
      </c>
    </row>
    <row r="6246" spans="2:5" x14ac:dyDescent="0.2">
      <c r="B6246" s="533">
        <v>7587</v>
      </c>
      <c r="C6246" s="533" t="s">
        <v>6123</v>
      </c>
      <c r="D6246" s="656" t="s">
        <v>456</v>
      </c>
      <c r="E6246" s="534">
        <v>1145.9000020000001</v>
      </c>
    </row>
    <row r="6247" spans="2:5" x14ac:dyDescent="0.2">
      <c r="B6247" s="533">
        <v>7588</v>
      </c>
      <c r="C6247" s="533" t="s">
        <v>6564</v>
      </c>
      <c r="D6247" s="656" t="s">
        <v>456</v>
      </c>
      <c r="E6247" s="534">
        <v>1158.6000100000001</v>
      </c>
    </row>
    <row r="6248" spans="2:5" x14ac:dyDescent="0.2">
      <c r="B6248" s="533">
        <v>7589</v>
      </c>
      <c r="C6248" s="533" t="s">
        <v>5894</v>
      </c>
      <c r="D6248" s="656" t="s">
        <v>456</v>
      </c>
      <c r="E6248" s="534">
        <v>1000.671426</v>
      </c>
    </row>
    <row r="6249" spans="2:5" x14ac:dyDescent="0.2">
      <c r="B6249" s="533">
        <v>7590</v>
      </c>
      <c r="C6249" s="533" t="s">
        <v>5917</v>
      </c>
      <c r="D6249" s="656" t="s">
        <v>456</v>
      </c>
      <c r="E6249" s="534">
        <v>1013.2166539999999</v>
      </c>
    </row>
    <row r="6250" spans="2:5" x14ac:dyDescent="0.2">
      <c r="B6250" s="533">
        <v>7591</v>
      </c>
      <c r="C6250" s="533" t="s">
        <v>5907</v>
      </c>
      <c r="D6250" s="656" t="s">
        <v>456</v>
      </c>
      <c r="E6250" s="534">
        <v>1007.199992</v>
      </c>
    </row>
    <row r="6251" spans="2:5" x14ac:dyDescent="0.2">
      <c r="B6251" s="533">
        <v>7592</v>
      </c>
      <c r="C6251" s="533" t="s">
        <v>5998</v>
      </c>
      <c r="D6251" s="656" t="s">
        <v>456</v>
      </c>
      <c r="E6251" s="534">
        <v>1052.733348</v>
      </c>
    </row>
    <row r="6252" spans="2:5" x14ac:dyDescent="0.2">
      <c r="B6252" s="533">
        <v>7593</v>
      </c>
      <c r="C6252" s="533" t="s">
        <v>6023</v>
      </c>
      <c r="D6252" s="656" t="s">
        <v>456</v>
      </c>
      <c r="E6252" s="534">
        <v>1068.5428469999999</v>
      </c>
    </row>
    <row r="6253" spans="2:5" x14ac:dyDescent="0.2">
      <c r="B6253" s="533">
        <v>7594</v>
      </c>
      <c r="C6253" s="533" t="s">
        <v>5985</v>
      </c>
      <c r="D6253" s="656" t="s">
        <v>456</v>
      </c>
      <c r="E6253" s="534">
        <v>1044.6000160000001</v>
      </c>
    </row>
    <row r="6254" spans="2:5" x14ac:dyDescent="0.2">
      <c r="B6254" s="533">
        <v>7595</v>
      </c>
      <c r="C6254" s="533" t="s">
        <v>6081</v>
      </c>
      <c r="D6254" s="656" t="s">
        <v>456</v>
      </c>
      <c r="E6254" s="534">
        <v>1106.971436</v>
      </c>
    </row>
    <row r="6255" spans="2:5" x14ac:dyDescent="0.2">
      <c r="B6255" s="533">
        <v>7596</v>
      </c>
      <c r="C6255" s="533" t="s">
        <v>6104</v>
      </c>
      <c r="D6255" s="656" t="s">
        <v>456</v>
      </c>
      <c r="E6255" s="534">
        <v>1125.3599850000001</v>
      </c>
    </row>
    <row r="6256" spans="2:5" x14ac:dyDescent="0.2">
      <c r="B6256" s="533">
        <v>7597</v>
      </c>
      <c r="C6256" s="533" t="s">
        <v>6143</v>
      </c>
      <c r="D6256" s="656" t="s">
        <v>456</v>
      </c>
      <c r="E6256" s="534">
        <v>1153.599976</v>
      </c>
    </row>
    <row r="6257" spans="2:5" x14ac:dyDescent="0.2">
      <c r="B6257" s="533">
        <v>7598</v>
      </c>
      <c r="C6257" s="533" t="s">
        <v>5915</v>
      </c>
      <c r="D6257" s="656" t="s">
        <v>456</v>
      </c>
      <c r="E6257" s="534">
        <v>1012.533325</v>
      </c>
    </row>
    <row r="6258" spans="2:5" x14ac:dyDescent="0.2">
      <c r="B6258" s="533">
        <v>7599</v>
      </c>
      <c r="C6258" s="533" t="s">
        <v>6007</v>
      </c>
      <c r="D6258" s="656" t="s">
        <v>456</v>
      </c>
      <c r="E6258" s="534">
        <v>1055.4368609999999</v>
      </c>
    </row>
    <row r="6259" spans="2:5" x14ac:dyDescent="0.2">
      <c r="B6259" s="533">
        <v>7600</v>
      </c>
      <c r="C6259" s="533" t="s">
        <v>6036</v>
      </c>
      <c r="D6259" s="656" t="s">
        <v>456</v>
      </c>
      <c r="E6259" s="534">
        <v>1077.625</v>
      </c>
    </row>
    <row r="6260" spans="2:5" x14ac:dyDescent="0.2">
      <c r="B6260" s="533">
        <v>7601</v>
      </c>
      <c r="C6260" s="533" t="s">
        <v>6042</v>
      </c>
      <c r="D6260" s="656" t="s">
        <v>456</v>
      </c>
      <c r="E6260" s="534">
        <v>1079.919995</v>
      </c>
    </row>
    <row r="6261" spans="2:5" x14ac:dyDescent="0.2">
      <c r="B6261" s="533">
        <v>7602</v>
      </c>
      <c r="C6261" s="533" t="s">
        <v>6113</v>
      </c>
      <c r="D6261" s="656" t="s">
        <v>456</v>
      </c>
      <c r="E6261" s="534">
        <v>1137.265629</v>
      </c>
    </row>
    <row r="6262" spans="2:5" x14ac:dyDescent="0.2">
      <c r="B6262" s="533">
        <v>7603</v>
      </c>
      <c r="C6262" s="533" t="s">
        <v>5945</v>
      </c>
      <c r="D6262" s="656" t="s">
        <v>456</v>
      </c>
      <c r="E6262" s="534">
        <v>1028.3941219999999</v>
      </c>
    </row>
    <row r="6263" spans="2:5" x14ac:dyDescent="0.2">
      <c r="B6263" s="533">
        <v>7604</v>
      </c>
      <c r="C6263" s="533" t="s">
        <v>1195</v>
      </c>
      <c r="D6263" s="656" t="s">
        <v>456</v>
      </c>
      <c r="E6263" s="534">
        <v>1070.271432</v>
      </c>
    </row>
    <row r="6264" spans="2:5" x14ac:dyDescent="0.2">
      <c r="B6264" s="533">
        <v>7605</v>
      </c>
      <c r="C6264" s="533" t="s">
        <v>6525</v>
      </c>
      <c r="D6264" s="656" t="s">
        <v>456</v>
      </c>
      <c r="E6264" s="534">
        <v>1144.184851</v>
      </c>
    </row>
    <row r="6265" spans="2:5" x14ac:dyDescent="0.2">
      <c r="B6265" s="533">
        <v>7606</v>
      </c>
      <c r="C6265" s="533" t="s">
        <v>5999</v>
      </c>
      <c r="D6265" s="656" t="s">
        <v>456</v>
      </c>
      <c r="E6265" s="534">
        <v>1053.049988</v>
      </c>
    </row>
    <row r="6266" spans="2:5" x14ac:dyDescent="0.2">
      <c r="B6266" s="533">
        <v>7607</v>
      </c>
      <c r="C6266" s="533" t="s">
        <v>6062</v>
      </c>
      <c r="D6266" s="656" t="s">
        <v>456</v>
      </c>
      <c r="E6266" s="534">
        <v>1093.03999</v>
      </c>
    </row>
    <row r="6267" spans="2:5" x14ac:dyDescent="0.2">
      <c r="B6267" s="533">
        <v>7608</v>
      </c>
      <c r="C6267" s="533" t="s">
        <v>6070</v>
      </c>
      <c r="D6267" s="656" t="s">
        <v>456</v>
      </c>
      <c r="E6267" s="534">
        <v>1098.816671</v>
      </c>
    </row>
    <row r="6268" spans="2:5" x14ac:dyDescent="0.2">
      <c r="B6268" s="533">
        <v>7609</v>
      </c>
      <c r="C6268" s="533" t="s">
        <v>5287</v>
      </c>
      <c r="D6268" s="656" t="s">
        <v>451</v>
      </c>
      <c r="E6268" s="534">
        <v>861.03334600000005</v>
      </c>
    </row>
    <row r="6269" spans="2:5" x14ac:dyDescent="0.2">
      <c r="B6269" s="533">
        <v>7651</v>
      </c>
      <c r="C6269" s="533" t="s">
        <v>4917</v>
      </c>
      <c r="D6269" s="656" t="s">
        <v>459</v>
      </c>
      <c r="E6269" s="534">
        <v>1375.008331</v>
      </c>
    </row>
    <row r="6270" spans="2:5" x14ac:dyDescent="0.2">
      <c r="B6270" s="533">
        <v>7652</v>
      </c>
      <c r="C6270" s="533" t="s">
        <v>6269</v>
      </c>
      <c r="D6270" s="656" t="s">
        <v>459</v>
      </c>
      <c r="E6270" s="534">
        <v>1313.5333390000001</v>
      </c>
    </row>
    <row r="6271" spans="2:5" x14ac:dyDescent="0.2">
      <c r="B6271" s="533">
        <v>7653</v>
      </c>
      <c r="C6271" s="533" t="s">
        <v>6330</v>
      </c>
      <c r="D6271" s="656" t="s">
        <v>459</v>
      </c>
      <c r="E6271" s="534">
        <v>1476.125</v>
      </c>
    </row>
    <row r="6272" spans="2:5" x14ac:dyDescent="0.2">
      <c r="B6272" s="533">
        <v>7654</v>
      </c>
      <c r="C6272" s="533" t="s">
        <v>6285</v>
      </c>
      <c r="D6272" s="656" t="s">
        <v>459</v>
      </c>
      <c r="E6272" s="534">
        <v>1339.7999990000001</v>
      </c>
    </row>
    <row r="6273" spans="2:5" x14ac:dyDescent="0.2">
      <c r="B6273" s="533">
        <v>7655</v>
      </c>
      <c r="C6273" s="533" t="s">
        <v>6224</v>
      </c>
      <c r="D6273" s="656" t="s">
        <v>459</v>
      </c>
      <c r="E6273" s="534">
        <v>1232.952935</v>
      </c>
    </row>
    <row r="6274" spans="2:5" x14ac:dyDescent="0.2">
      <c r="B6274" s="533">
        <v>7656</v>
      </c>
      <c r="C6274" s="533" t="s">
        <v>6185</v>
      </c>
      <c r="D6274" s="656" t="s">
        <v>459</v>
      </c>
      <c r="E6274" s="534">
        <v>1192.266656</v>
      </c>
    </row>
    <row r="6275" spans="2:5" x14ac:dyDescent="0.2">
      <c r="B6275" s="533">
        <v>7657</v>
      </c>
      <c r="C6275" s="533" t="s">
        <v>6174</v>
      </c>
      <c r="D6275" s="656" t="s">
        <v>459</v>
      </c>
      <c r="E6275" s="534">
        <v>1186.2466549999999</v>
      </c>
    </row>
    <row r="6276" spans="2:5" x14ac:dyDescent="0.2">
      <c r="B6276" s="533">
        <v>7658</v>
      </c>
      <c r="C6276" s="533" t="s">
        <v>6172</v>
      </c>
      <c r="D6276" s="656" t="s">
        <v>459</v>
      </c>
      <c r="E6276" s="534">
        <v>1184.415377</v>
      </c>
    </row>
    <row r="6277" spans="2:5" x14ac:dyDescent="0.2">
      <c r="B6277" s="533">
        <v>7659</v>
      </c>
      <c r="C6277" s="533" t="s">
        <v>6236</v>
      </c>
      <c r="D6277" s="656" t="s">
        <v>459</v>
      </c>
      <c r="E6277" s="534">
        <v>1244.6312640000001</v>
      </c>
    </row>
    <row r="6278" spans="2:5" x14ac:dyDescent="0.2">
      <c r="B6278" s="533">
        <v>7660</v>
      </c>
      <c r="C6278" s="533" t="s">
        <v>6173</v>
      </c>
      <c r="D6278" s="656" t="s">
        <v>459</v>
      </c>
      <c r="E6278" s="534">
        <v>1185.4000040000001</v>
      </c>
    </row>
    <row r="6279" spans="2:5" x14ac:dyDescent="0.2">
      <c r="B6279" s="533">
        <v>7661</v>
      </c>
      <c r="C6279" s="533" t="s">
        <v>7534</v>
      </c>
      <c r="D6279" s="656" t="s">
        <v>459</v>
      </c>
      <c r="E6279" s="534">
        <v>1211.25</v>
      </c>
    </row>
    <row r="6280" spans="2:5" x14ac:dyDescent="0.2">
      <c r="B6280" s="533">
        <v>7662</v>
      </c>
      <c r="C6280" s="533" t="s">
        <v>5626</v>
      </c>
      <c r="D6280" s="656" t="s">
        <v>459</v>
      </c>
      <c r="E6280" s="534">
        <v>1206.0571460000001</v>
      </c>
    </row>
    <row r="6281" spans="2:5" x14ac:dyDescent="0.2">
      <c r="B6281" s="533">
        <v>7663</v>
      </c>
      <c r="C6281" s="533" t="s">
        <v>4530</v>
      </c>
      <c r="D6281" s="656" t="s">
        <v>459</v>
      </c>
      <c r="E6281" s="534">
        <v>1278.711538</v>
      </c>
    </row>
    <row r="6282" spans="2:5" x14ac:dyDescent="0.2">
      <c r="B6282" s="533">
        <v>7664</v>
      </c>
      <c r="C6282" s="533" t="s">
        <v>6265</v>
      </c>
      <c r="D6282" s="656" t="s">
        <v>459</v>
      </c>
      <c r="E6282" s="534">
        <v>1299.613625</v>
      </c>
    </row>
    <row r="6283" spans="2:5" x14ac:dyDescent="0.2">
      <c r="B6283" s="533">
        <v>7665</v>
      </c>
      <c r="C6283" s="533" t="s">
        <v>6281</v>
      </c>
      <c r="D6283" s="656" t="s">
        <v>459</v>
      </c>
      <c r="E6283" s="534">
        <v>1336.3892949999999</v>
      </c>
    </row>
    <row r="6284" spans="2:5" x14ac:dyDescent="0.2">
      <c r="B6284" s="533">
        <v>7666</v>
      </c>
      <c r="C6284" s="533" t="s">
        <v>6374</v>
      </c>
      <c r="D6284" s="656" t="s">
        <v>459</v>
      </c>
      <c r="E6284" s="534">
        <v>1602.0799930000001</v>
      </c>
    </row>
    <row r="6285" spans="2:5" x14ac:dyDescent="0.2">
      <c r="B6285" s="533">
        <v>7667</v>
      </c>
      <c r="C6285" s="533" t="s">
        <v>7110</v>
      </c>
      <c r="D6285" s="656" t="s">
        <v>459</v>
      </c>
      <c r="E6285" s="534">
        <v>1687.2823490000001</v>
      </c>
    </row>
    <row r="6286" spans="2:5" x14ac:dyDescent="0.2">
      <c r="B6286" s="533">
        <v>7668</v>
      </c>
      <c r="C6286" s="533" t="s">
        <v>6359</v>
      </c>
      <c r="D6286" s="656" t="s">
        <v>459</v>
      </c>
      <c r="E6286" s="534">
        <v>1562.0750009999999</v>
      </c>
    </row>
    <row r="6287" spans="2:5" x14ac:dyDescent="0.2">
      <c r="B6287" s="533">
        <v>7669</v>
      </c>
      <c r="C6287" s="533" t="s">
        <v>6325</v>
      </c>
      <c r="D6287" s="656" t="s">
        <v>459</v>
      </c>
      <c r="E6287" s="534">
        <v>1454.306456</v>
      </c>
    </row>
    <row r="6288" spans="2:5" x14ac:dyDescent="0.2">
      <c r="B6288" s="533">
        <v>7670</v>
      </c>
      <c r="C6288" s="533" t="s">
        <v>445</v>
      </c>
      <c r="D6288" s="656" t="s">
        <v>445</v>
      </c>
      <c r="E6288" s="534">
        <v>1282.524999</v>
      </c>
    </row>
    <row r="6289" spans="2:5" x14ac:dyDescent="0.2">
      <c r="B6289" s="533">
        <v>7671</v>
      </c>
      <c r="C6289" s="533" t="s">
        <v>6247</v>
      </c>
      <c r="D6289" s="656" t="s">
        <v>445</v>
      </c>
      <c r="E6289" s="534">
        <v>1272.942119</v>
      </c>
    </row>
    <row r="6290" spans="2:5" x14ac:dyDescent="0.2">
      <c r="B6290" s="533">
        <v>7672</v>
      </c>
      <c r="C6290" s="533" t="s">
        <v>6239</v>
      </c>
      <c r="D6290" s="656" t="s">
        <v>445</v>
      </c>
      <c r="E6290" s="534">
        <v>1248.7791749999999</v>
      </c>
    </row>
    <row r="6291" spans="2:5" x14ac:dyDescent="0.2">
      <c r="B6291" s="533">
        <v>7673</v>
      </c>
      <c r="C6291" s="533" t="s">
        <v>6268</v>
      </c>
      <c r="D6291" s="656" t="s">
        <v>459</v>
      </c>
      <c r="E6291" s="534">
        <v>1312.8133459999999</v>
      </c>
    </row>
    <row r="6292" spans="2:5" x14ac:dyDescent="0.2">
      <c r="B6292" s="533">
        <v>7674</v>
      </c>
      <c r="C6292" s="533" t="s">
        <v>6313</v>
      </c>
      <c r="D6292" s="656" t="s">
        <v>459</v>
      </c>
      <c r="E6292" s="534">
        <v>1428.9399900000001</v>
      </c>
    </row>
    <row r="6293" spans="2:5" x14ac:dyDescent="0.2">
      <c r="B6293" s="533">
        <v>7675</v>
      </c>
      <c r="C6293" s="533" t="s">
        <v>6310</v>
      </c>
      <c r="D6293" s="656" t="s">
        <v>459</v>
      </c>
      <c r="E6293" s="534">
        <v>1418.581809</v>
      </c>
    </row>
    <row r="6294" spans="2:5" x14ac:dyDescent="0.2">
      <c r="B6294" s="533">
        <v>7676</v>
      </c>
      <c r="C6294" s="533" t="s">
        <v>3512</v>
      </c>
      <c r="D6294" s="656" t="s">
        <v>459</v>
      </c>
      <c r="E6294" s="534">
        <v>1693.252383</v>
      </c>
    </row>
    <row r="6295" spans="2:5" x14ac:dyDescent="0.2">
      <c r="B6295" s="533">
        <v>7677</v>
      </c>
      <c r="C6295" s="533" t="s">
        <v>6394</v>
      </c>
      <c r="D6295" s="656" t="s">
        <v>459</v>
      </c>
      <c r="E6295" s="534">
        <v>1675.2166609999999</v>
      </c>
    </row>
    <row r="6296" spans="2:5" x14ac:dyDescent="0.2">
      <c r="B6296" s="533">
        <v>7678</v>
      </c>
      <c r="C6296" s="533" t="s">
        <v>6379</v>
      </c>
      <c r="D6296" s="656" t="s">
        <v>459</v>
      </c>
      <c r="E6296" s="534">
        <v>1628.8999839999999</v>
      </c>
    </row>
    <row r="6297" spans="2:5" x14ac:dyDescent="0.2">
      <c r="B6297" s="533">
        <v>7679</v>
      </c>
      <c r="C6297" s="533" t="s">
        <v>6405</v>
      </c>
      <c r="D6297" s="656" t="s">
        <v>459</v>
      </c>
      <c r="E6297" s="534">
        <v>1709.749969</v>
      </c>
    </row>
    <row r="6298" spans="2:5" x14ac:dyDescent="0.2">
      <c r="B6298" s="533">
        <v>7680</v>
      </c>
      <c r="C6298" s="533" t="s">
        <v>6293</v>
      </c>
      <c r="D6298" s="656" t="s">
        <v>459</v>
      </c>
      <c r="E6298" s="534">
        <v>1356.9444510000001</v>
      </c>
    </row>
    <row r="6299" spans="2:5" x14ac:dyDescent="0.2">
      <c r="B6299" s="533">
        <v>7681</v>
      </c>
      <c r="C6299" s="533" t="s">
        <v>7156</v>
      </c>
      <c r="D6299" s="656" t="s">
        <v>459</v>
      </c>
      <c r="E6299" s="534">
        <v>1444.950012</v>
      </c>
    </row>
    <row r="6300" spans="2:5" x14ac:dyDescent="0.2">
      <c r="B6300" s="533">
        <v>7682</v>
      </c>
      <c r="C6300" s="533" t="s">
        <v>6368</v>
      </c>
      <c r="D6300" s="656" t="s">
        <v>459</v>
      </c>
      <c r="E6300" s="534">
        <v>1583.7846119999999</v>
      </c>
    </row>
    <row r="6301" spans="2:5" x14ac:dyDescent="0.2">
      <c r="B6301" s="533">
        <v>7683</v>
      </c>
      <c r="C6301" s="533" t="s">
        <v>7149</v>
      </c>
      <c r="D6301" s="656" t="s">
        <v>459</v>
      </c>
      <c r="E6301" s="534">
        <v>1363.546171</v>
      </c>
    </row>
    <row r="6302" spans="2:5" x14ac:dyDescent="0.2">
      <c r="B6302" s="533">
        <v>7684</v>
      </c>
      <c r="C6302" s="533" t="s">
        <v>6294</v>
      </c>
      <c r="D6302" s="656" t="s">
        <v>459</v>
      </c>
      <c r="E6302" s="534">
        <v>1364.660719</v>
      </c>
    </row>
    <row r="6303" spans="2:5" x14ac:dyDescent="0.2">
      <c r="B6303" s="533">
        <v>7685</v>
      </c>
      <c r="C6303" s="533" t="s">
        <v>6318</v>
      </c>
      <c r="D6303" s="656" t="s">
        <v>459</v>
      </c>
      <c r="E6303" s="534">
        <v>1439.959985</v>
      </c>
    </row>
    <row r="6304" spans="2:5" x14ac:dyDescent="0.2">
      <c r="B6304" s="533">
        <v>7686</v>
      </c>
      <c r="C6304" s="533" t="s">
        <v>1911</v>
      </c>
      <c r="D6304" s="656" t="s">
        <v>459</v>
      </c>
      <c r="E6304" s="534">
        <v>1484.0832929999999</v>
      </c>
    </row>
    <row r="6305" spans="2:5" x14ac:dyDescent="0.2">
      <c r="B6305" s="533">
        <v>7687</v>
      </c>
      <c r="C6305" s="533" t="s">
        <v>6335</v>
      </c>
      <c r="D6305" s="656" t="s">
        <v>459</v>
      </c>
      <c r="E6305" s="534">
        <v>1503.2647059999999</v>
      </c>
    </row>
    <row r="6306" spans="2:5" x14ac:dyDescent="0.2">
      <c r="B6306" s="533">
        <v>7688</v>
      </c>
      <c r="C6306" s="533" t="s">
        <v>3657</v>
      </c>
      <c r="D6306" s="656" t="s">
        <v>459</v>
      </c>
      <c r="E6306" s="534">
        <v>1423.778251</v>
      </c>
    </row>
    <row r="6307" spans="2:5" x14ac:dyDescent="0.2">
      <c r="B6307" s="533">
        <v>7689</v>
      </c>
      <c r="C6307" s="533" t="s">
        <v>6390</v>
      </c>
      <c r="D6307" s="656" t="s">
        <v>459</v>
      </c>
      <c r="E6307" s="534">
        <v>1651.288638</v>
      </c>
    </row>
    <row r="6308" spans="2:5" x14ac:dyDescent="0.2">
      <c r="B6308" s="533">
        <v>7690</v>
      </c>
      <c r="C6308" s="533" t="s">
        <v>6254</v>
      </c>
      <c r="D6308" s="656" t="s">
        <v>454</v>
      </c>
      <c r="E6308" s="534">
        <v>1283.0999919999999</v>
      </c>
    </row>
    <row r="6309" spans="2:5" x14ac:dyDescent="0.2">
      <c r="B6309" s="533">
        <v>7691</v>
      </c>
      <c r="C6309" s="533" t="s">
        <v>6209</v>
      </c>
      <c r="D6309" s="656" t="s">
        <v>454</v>
      </c>
      <c r="E6309" s="534">
        <v>1218.518188</v>
      </c>
    </row>
    <row r="6310" spans="2:5" x14ac:dyDescent="0.2">
      <c r="B6310" s="533">
        <v>7692</v>
      </c>
      <c r="C6310" s="533" t="s">
        <v>6156</v>
      </c>
      <c r="D6310" s="656" t="s">
        <v>454</v>
      </c>
      <c r="E6310" s="534">
        <v>1164.1437530000001</v>
      </c>
    </row>
    <row r="6311" spans="2:5" x14ac:dyDescent="0.2">
      <c r="B6311" s="533">
        <v>7693</v>
      </c>
      <c r="C6311" s="533" t="s">
        <v>6205</v>
      </c>
      <c r="D6311" s="656" t="s">
        <v>454</v>
      </c>
      <c r="E6311" s="534">
        <v>1213.7833459999999</v>
      </c>
    </row>
    <row r="6312" spans="2:5" x14ac:dyDescent="0.2">
      <c r="B6312" s="533">
        <v>7694</v>
      </c>
      <c r="C6312" s="533" t="s">
        <v>5070</v>
      </c>
      <c r="D6312" s="656" t="s">
        <v>454</v>
      </c>
      <c r="E6312" s="534">
        <v>1241.646146</v>
      </c>
    </row>
    <row r="6313" spans="2:5" x14ac:dyDescent="0.2">
      <c r="B6313" s="533">
        <v>7695</v>
      </c>
      <c r="C6313" s="533" t="s">
        <v>6601</v>
      </c>
      <c r="D6313" s="656" t="s">
        <v>454</v>
      </c>
      <c r="E6313" s="534">
        <v>1199.3</v>
      </c>
    </row>
    <row r="6314" spans="2:5" x14ac:dyDescent="0.2">
      <c r="B6314" s="533">
        <v>7696</v>
      </c>
      <c r="C6314" s="533" t="s">
        <v>1419</v>
      </c>
      <c r="D6314" s="656" t="s">
        <v>454</v>
      </c>
      <c r="E6314" s="534">
        <v>1222.3631660000001</v>
      </c>
    </row>
    <row r="6315" spans="2:5" x14ac:dyDescent="0.2">
      <c r="B6315" s="533">
        <v>7697</v>
      </c>
      <c r="C6315" s="533" t="s">
        <v>6945</v>
      </c>
      <c r="D6315" s="656" t="s">
        <v>454</v>
      </c>
      <c r="E6315" s="534">
        <v>1267.611539</v>
      </c>
    </row>
    <row r="6316" spans="2:5" x14ac:dyDescent="0.2">
      <c r="B6316" s="533">
        <v>7701</v>
      </c>
      <c r="C6316" s="533" t="s">
        <v>4881</v>
      </c>
      <c r="D6316" s="656" t="s">
        <v>450</v>
      </c>
      <c r="E6316" s="534">
        <v>811.21999500000004</v>
      </c>
    </row>
    <row r="6317" spans="2:5" x14ac:dyDescent="0.2">
      <c r="B6317" s="533">
        <v>7702</v>
      </c>
      <c r="C6317" s="533" t="s">
        <v>4936</v>
      </c>
      <c r="D6317" s="656" t="s">
        <v>450</v>
      </c>
      <c r="E6317" s="534">
        <v>816</v>
      </c>
    </row>
    <row r="6318" spans="2:5" x14ac:dyDescent="0.2">
      <c r="B6318" s="533">
        <v>7703</v>
      </c>
      <c r="C6318" s="533" t="s">
        <v>5000</v>
      </c>
      <c r="D6318" s="656" t="s">
        <v>450</v>
      </c>
      <c r="E6318" s="534">
        <v>823.88000499999998</v>
      </c>
    </row>
    <row r="6319" spans="2:5" x14ac:dyDescent="0.2">
      <c r="B6319" s="533">
        <v>7704</v>
      </c>
      <c r="C6319" s="533" t="s">
        <v>4751</v>
      </c>
      <c r="D6319" s="656" t="s">
        <v>450</v>
      </c>
      <c r="E6319" s="534">
        <v>800.80001800000002</v>
      </c>
    </row>
    <row r="6320" spans="2:5" x14ac:dyDescent="0.2">
      <c r="B6320" s="533">
        <v>7705</v>
      </c>
      <c r="C6320" s="533" t="s">
        <v>4911</v>
      </c>
      <c r="D6320" s="656" t="s">
        <v>450</v>
      </c>
      <c r="E6320" s="534">
        <v>814.09997599999997</v>
      </c>
    </row>
    <row r="6321" spans="2:5" x14ac:dyDescent="0.2">
      <c r="B6321" s="533">
        <v>7706</v>
      </c>
      <c r="C6321" s="533" t="s">
        <v>5116</v>
      </c>
      <c r="D6321" s="656" t="s">
        <v>450</v>
      </c>
      <c r="E6321" s="534">
        <v>835.91667700000005</v>
      </c>
    </row>
    <row r="6322" spans="2:5" x14ac:dyDescent="0.2">
      <c r="B6322" s="533">
        <v>7707</v>
      </c>
      <c r="C6322" s="533" t="s">
        <v>5229</v>
      </c>
      <c r="D6322" s="656" t="s">
        <v>450</v>
      </c>
      <c r="E6322" s="534">
        <v>851.88181899999995</v>
      </c>
    </row>
    <row r="6323" spans="2:5" x14ac:dyDescent="0.2">
      <c r="B6323" s="533">
        <v>7708</v>
      </c>
      <c r="C6323" s="533" t="s">
        <v>5290</v>
      </c>
      <c r="D6323" s="656" t="s">
        <v>450</v>
      </c>
      <c r="E6323" s="534">
        <v>862.02000699999996</v>
      </c>
    </row>
    <row r="6324" spans="2:5" x14ac:dyDescent="0.2">
      <c r="B6324" s="533">
        <v>7709</v>
      </c>
      <c r="C6324" s="533" t="s">
        <v>5459</v>
      </c>
      <c r="D6324" s="656" t="s">
        <v>450</v>
      </c>
      <c r="E6324" s="534">
        <v>891.51999499999999</v>
      </c>
    </row>
    <row r="6325" spans="2:5" x14ac:dyDescent="0.2">
      <c r="B6325" s="533">
        <v>7710</v>
      </c>
      <c r="C6325" s="533" t="s">
        <v>5387</v>
      </c>
      <c r="D6325" s="656" t="s">
        <v>450</v>
      </c>
      <c r="E6325" s="534">
        <v>878.88000499999998</v>
      </c>
    </row>
    <row r="6326" spans="2:5" x14ac:dyDescent="0.2">
      <c r="B6326" s="533">
        <v>7711</v>
      </c>
      <c r="C6326" s="533" t="s">
        <v>5446</v>
      </c>
      <c r="D6326" s="656" t="s">
        <v>450</v>
      </c>
      <c r="E6326" s="534">
        <v>888.73333700000001</v>
      </c>
    </row>
    <row r="6327" spans="2:5" x14ac:dyDescent="0.2">
      <c r="B6327" s="533">
        <v>7712</v>
      </c>
      <c r="C6327" s="533" t="s">
        <v>5436</v>
      </c>
      <c r="D6327" s="656" t="s">
        <v>450</v>
      </c>
      <c r="E6327" s="534">
        <v>886.73333700000001</v>
      </c>
    </row>
    <row r="6328" spans="2:5" x14ac:dyDescent="0.2">
      <c r="B6328" s="533">
        <v>7713</v>
      </c>
      <c r="C6328" s="533" t="s">
        <v>5475</v>
      </c>
      <c r="D6328" s="656" t="s">
        <v>450</v>
      </c>
      <c r="E6328" s="534">
        <v>893.65002400000003</v>
      </c>
    </row>
    <row r="6329" spans="2:5" x14ac:dyDescent="0.2">
      <c r="B6329" s="533">
        <v>7714</v>
      </c>
      <c r="C6329" s="533" t="s">
        <v>5327</v>
      </c>
      <c r="D6329" s="656" t="s">
        <v>450</v>
      </c>
      <c r="E6329" s="534">
        <v>868.79999699999996</v>
      </c>
    </row>
    <row r="6330" spans="2:5" x14ac:dyDescent="0.2">
      <c r="B6330" s="533">
        <v>7715</v>
      </c>
      <c r="C6330" s="533" t="s">
        <v>2446</v>
      </c>
      <c r="D6330" s="656" t="s">
        <v>450</v>
      </c>
      <c r="E6330" s="534">
        <v>881.17142999999999</v>
      </c>
    </row>
    <row r="6331" spans="2:5" x14ac:dyDescent="0.2">
      <c r="B6331" s="533">
        <v>7716</v>
      </c>
      <c r="C6331" s="533" t="s">
        <v>5252</v>
      </c>
      <c r="D6331" s="656" t="s">
        <v>450</v>
      </c>
      <c r="E6331" s="534">
        <v>855.20001200000002</v>
      </c>
    </row>
    <row r="6332" spans="2:5" x14ac:dyDescent="0.2">
      <c r="B6332" s="533">
        <v>7717</v>
      </c>
      <c r="C6332" s="533" t="s">
        <v>5134</v>
      </c>
      <c r="D6332" s="656" t="s">
        <v>450</v>
      </c>
      <c r="E6332" s="534">
        <v>837.91427999999996</v>
      </c>
    </row>
    <row r="6333" spans="2:5" x14ac:dyDescent="0.2">
      <c r="B6333" s="533">
        <v>7718</v>
      </c>
      <c r="C6333" s="533" t="s">
        <v>5588</v>
      </c>
      <c r="D6333" s="656" t="s">
        <v>450</v>
      </c>
      <c r="E6333" s="534">
        <v>910.74001499999997</v>
      </c>
    </row>
    <row r="6334" spans="2:5" x14ac:dyDescent="0.2">
      <c r="B6334" s="533">
        <v>7719</v>
      </c>
      <c r="C6334" s="533" t="s">
        <v>3968</v>
      </c>
      <c r="D6334" s="656" t="s">
        <v>450</v>
      </c>
      <c r="E6334" s="534">
        <v>883.97500600000001</v>
      </c>
    </row>
    <row r="6335" spans="2:5" x14ac:dyDescent="0.2">
      <c r="B6335" s="533">
        <v>7720</v>
      </c>
      <c r="C6335" s="533" t="s">
        <v>5390</v>
      </c>
      <c r="D6335" s="656" t="s">
        <v>450</v>
      </c>
      <c r="E6335" s="534">
        <v>879.19998899999996</v>
      </c>
    </row>
    <row r="6336" spans="2:5" x14ac:dyDescent="0.2">
      <c r="B6336" s="533">
        <v>7721</v>
      </c>
      <c r="C6336" s="533" t="s">
        <v>7029</v>
      </c>
      <c r="D6336" s="656" t="s">
        <v>450</v>
      </c>
      <c r="E6336" s="534">
        <v>854.95000200000004</v>
      </c>
    </row>
    <row r="6337" spans="2:5" x14ac:dyDescent="0.2">
      <c r="B6337" s="533">
        <v>7722</v>
      </c>
      <c r="C6337" s="533" t="s">
        <v>5351</v>
      </c>
      <c r="D6337" s="656" t="s">
        <v>450</v>
      </c>
      <c r="E6337" s="534">
        <v>872.38888899999995</v>
      </c>
    </row>
    <row r="6338" spans="2:5" x14ac:dyDescent="0.2">
      <c r="B6338" s="533">
        <v>7723</v>
      </c>
      <c r="C6338" s="533" t="s">
        <v>5447</v>
      </c>
      <c r="D6338" s="656" t="s">
        <v>450</v>
      </c>
      <c r="E6338" s="534">
        <v>888.89999399999999</v>
      </c>
    </row>
    <row r="6339" spans="2:5" x14ac:dyDescent="0.2">
      <c r="B6339" s="533">
        <v>7724</v>
      </c>
      <c r="C6339" s="533" t="s">
        <v>4391</v>
      </c>
      <c r="D6339" s="656" t="s">
        <v>450</v>
      </c>
      <c r="E6339" s="534">
        <v>772.22000700000001</v>
      </c>
    </row>
    <row r="6340" spans="2:5" x14ac:dyDescent="0.2">
      <c r="B6340" s="533">
        <v>7725</v>
      </c>
      <c r="C6340" s="533" t="s">
        <v>6954</v>
      </c>
      <c r="D6340" s="656" t="s">
        <v>450</v>
      </c>
      <c r="E6340" s="534">
        <v>807.22499800000003</v>
      </c>
    </row>
    <row r="6341" spans="2:5" x14ac:dyDescent="0.2">
      <c r="B6341" s="533">
        <v>7726</v>
      </c>
      <c r="C6341" s="533" t="s">
        <v>1589</v>
      </c>
      <c r="D6341" s="656" t="s">
        <v>450</v>
      </c>
      <c r="E6341" s="534">
        <v>825.39999899999998</v>
      </c>
    </row>
    <row r="6342" spans="2:5" x14ac:dyDescent="0.2">
      <c r="B6342" s="533">
        <v>7727</v>
      </c>
      <c r="C6342" s="533" t="s">
        <v>5070</v>
      </c>
      <c r="D6342" s="656" t="s">
        <v>450</v>
      </c>
      <c r="E6342" s="534">
        <v>831.11249499999997</v>
      </c>
    </row>
    <row r="6343" spans="2:5" x14ac:dyDescent="0.2">
      <c r="B6343" s="533">
        <v>7728</v>
      </c>
      <c r="C6343" s="533" t="s">
        <v>4994</v>
      </c>
      <c r="D6343" s="656" t="s">
        <v>450</v>
      </c>
      <c r="E6343" s="534">
        <v>823.259998</v>
      </c>
    </row>
    <row r="6344" spans="2:5" x14ac:dyDescent="0.2">
      <c r="B6344" s="533">
        <v>7729</v>
      </c>
      <c r="C6344" s="533" t="s">
        <v>5204</v>
      </c>
      <c r="D6344" s="656" t="s">
        <v>450</v>
      </c>
      <c r="E6344" s="534">
        <v>847.43332899999996</v>
      </c>
    </row>
    <row r="6345" spans="2:5" x14ac:dyDescent="0.2">
      <c r="B6345" s="533">
        <v>7730</v>
      </c>
      <c r="C6345" s="533" t="s">
        <v>5277</v>
      </c>
      <c r="D6345" s="656" t="s">
        <v>450</v>
      </c>
      <c r="E6345" s="534">
        <v>859.10001199999999</v>
      </c>
    </row>
    <row r="6346" spans="2:5" x14ac:dyDescent="0.2">
      <c r="B6346" s="533">
        <v>7731</v>
      </c>
      <c r="C6346" s="533" t="s">
        <v>5386</v>
      </c>
      <c r="D6346" s="656" t="s">
        <v>450</v>
      </c>
      <c r="E6346" s="534">
        <v>878.86667899999998</v>
      </c>
    </row>
    <row r="6347" spans="2:5" x14ac:dyDescent="0.2">
      <c r="B6347" s="533">
        <v>7732</v>
      </c>
      <c r="C6347" s="533" t="s">
        <v>5372</v>
      </c>
      <c r="D6347" s="656" t="s">
        <v>450</v>
      </c>
      <c r="E6347" s="534">
        <v>875.35999800000002</v>
      </c>
    </row>
    <row r="6348" spans="2:5" x14ac:dyDescent="0.2">
      <c r="B6348" s="533">
        <v>7733</v>
      </c>
      <c r="C6348" s="533" t="s">
        <v>5094</v>
      </c>
      <c r="D6348" s="656" t="s">
        <v>450</v>
      </c>
      <c r="E6348" s="534">
        <v>833.60000600000001</v>
      </c>
    </row>
    <row r="6349" spans="2:5" x14ac:dyDescent="0.2">
      <c r="B6349" s="533">
        <v>7734</v>
      </c>
      <c r="C6349" s="533" t="s">
        <v>5016</v>
      </c>
      <c r="D6349" s="656" t="s">
        <v>450</v>
      </c>
      <c r="E6349" s="534">
        <v>825.61764000000005</v>
      </c>
    </row>
    <row r="6350" spans="2:5" x14ac:dyDescent="0.2">
      <c r="B6350" s="533">
        <v>7735</v>
      </c>
      <c r="C6350" s="533" t="s">
        <v>1092</v>
      </c>
      <c r="D6350" s="656" t="s">
        <v>450</v>
      </c>
      <c r="E6350" s="534">
        <v>797.34000200000003</v>
      </c>
    </row>
    <row r="6351" spans="2:5" x14ac:dyDescent="0.2">
      <c r="B6351" s="533">
        <v>7736</v>
      </c>
      <c r="C6351" s="533" t="s">
        <v>7433</v>
      </c>
      <c r="D6351" s="656" t="s">
        <v>450</v>
      </c>
      <c r="E6351" s="534">
        <v>816.53334600000005</v>
      </c>
    </row>
    <row r="6352" spans="2:5" x14ac:dyDescent="0.2">
      <c r="B6352" s="533">
        <v>7737</v>
      </c>
      <c r="C6352" s="533" t="s">
        <v>5241</v>
      </c>
      <c r="D6352" s="656" t="s">
        <v>450</v>
      </c>
      <c r="E6352" s="534">
        <v>853.48333700000001</v>
      </c>
    </row>
    <row r="6353" spans="2:5" x14ac:dyDescent="0.2">
      <c r="B6353" s="533">
        <v>7738</v>
      </c>
      <c r="C6353" s="533" t="s">
        <v>4779</v>
      </c>
      <c r="D6353" s="656" t="s">
        <v>450</v>
      </c>
      <c r="E6353" s="534">
        <v>802.64000199999998</v>
      </c>
    </row>
    <row r="6354" spans="2:5" x14ac:dyDescent="0.2">
      <c r="B6354" s="533">
        <v>7739</v>
      </c>
      <c r="C6354" s="533" t="s">
        <v>4947</v>
      </c>
      <c r="D6354" s="656" t="s">
        <v>450</v>
      </c>
      <c r="E6354" s="534">
        <v>816.90002400000003</v>
      </c>
    </row>
    <row r="6355" spans="2:5" x14ac:dyDescent="0.2">
      <c r="B6355" s="533">
        <v>7740</v>
      </c>
      <c r="C6355" s="533" t="s">
        <v>1260</v>
      </c>
      <c r="D6355" s="656" t="s">
        <v>450</v>
      </c>
      <c r="E6355" s="534">
        <v>882.30000800000005</v>
      </c>
    </row>
    <row r="6356" spans="2:5" x14ac:dyDescent="0.2">
      <c r="B6356" s="533">
        <v>7741</v>
      </c>
      <c r="C6356" s="533" t="s">
        <v>4880</v>
      </c>
      <c r="D6356" s="656" t="s">
        <v>450</v>
      </c>
      <c r="E6356" s="534">
        <v>810.64285700000005</v>
      </c>
    </row>
    <row r="6357" spans="2:5" x14ac:dyDescent="0.2">
      <c r="B6357" s="533">
        <v>7742</v>
      </c>
      <c r="C6357" s="533" t="s">
        <v>5263</v>
      </c>
      <c r="D6357" s="656" t="s">
        <v>450</v>
      </c>
      <c r="E6357" s="534">
        <v>856.85000600000001</v>
      </c>
    </row>
    <row r="6358" spans="2:5" x14ac:dyDescent="0.2">
      <c r="B6358" s="533">
        <v>7743</v>
      </c>
      <c r="C6358" s="533" t="s">
        <v>5438</v>
      </c>
      <c r="D6358" s="656" t="s">
        <v>450</v>
      </c>
      <c r="E6358" s="534">
        <v>887.14285700000005</v>
      </c>
    </row>
    <row r="6359" spans="2:5" x14ac:dyDescent="0.2">
      <c r="B6359" s="533">
        <v>7744</v>
      </c>
      <c r="C6359" s="533" t="s">
        <v>5298</v>
      </c>
      <c r="D6359" s="656" t="s">
        <v>456</v>
      </c>
      <c r="E6359" s="534">
        <v>863.22999900000002</v>
      </c>
    </row>
    <row r="6360" spans="2:5" x14ac:dyDescent="0.2">
      <c r="B6360" s="533">
        <v>7745</v>
      </c>
      <c r="C6360" s="533" t="s">
        <v>2229</v>
      </c>
      <c r="D6360" s="656" t="s">
        <v>456</v>
      </c>
      <c r="E6360" s="534">
        <v>857.36667199999999</v>
      </c>
    </row>
    <row r="6361" spans="2:5" x14ac:dyDescent="0.2">
      <c r="B6361" s="533">
        <v>7746</v>
      </c>
      <c r="C6361" s="533" t="s">
        <v>5244</v>
      </c>
      <c r="D6361" s="656" t="s">
        <v>456</v>
      </c>
      <c r="E6361" s="534">
        <v>854.17498799999998</v>
      </c>
    </row>
    <row r="6362" spans="2:5" x14ac:dyDescent="0.2">
      <c r="B6362" s="533">
        <v>7747</v>
      </c>
      <c r="C6362" s="533" t="s">
        <v>5310</v>
      </c>
      <c r="D6362" s="656" t="s">
        <v>456</v>
      </c>
      <c r="E6362" s="534">
        <v>865.72499100000005</v>
      </c>
    </row>
    <row r="6363" spans="2:5" x14ac:dyDescent="0.2">
      <c r="B6363" s="533">
        <v>7748</v>
      </c>
      <c r="C6363" s="533" t="s">
        <v>7470</v>
      </c>
      <c r="D6363" s="656" t="s">
        <v>456</v>
      </c>
      <c r="E6363" s="534">
        <v>860.60000600000001</v>
      </c>
    </row>
    <row r="6364" spans="2:5" x14ac:dyDescent="0.2">
      <c r="B6364" s="533">
        <v>7749</v>
      </c>
      <c r="C6364" s="533" t="s">
        <v>1318</v>
      </c>
      <c r="D6364" s="656" t="s">
        <v>456</v>
      </c>
      <c r="E6364" s="534">
        <v>878.375</v>
      </c>
    </row>
    <row r="6365" spans="2:5" x14ac:dyDescent="0.2">
      <c r="B6365" s="533">
        <v>7750</v>
      </c>
      <c r="C6365" s="533" t="s">
        <v>7074</v>
      </c>
      <c r="D6365" s="656" t="s">
        <v>456</v>
      </c>
      <c r="E6365" s="534">
        <v>886.41665599999999</v>
      </c>
    </row>
    <row r="6366" spans="2:5" x14ac:dyDescent="0.2">
      <c r="B6366" s="533">
        <v>7751</v>
      </c>
      <c r="C6366" s="533" t="s">
        <v>5403</v>
      </c>
      <c r="D6366" s="656" t="s">
        <v>456</v>
      </c>
      <c r="E6366" s="534">
        <v>880.39000899999996</v>
      </c>
    </row>
    <row r="6367" spans="2:5" x14ac:dyDescent="0.2">
      <c r="B6367" s="533">
        <v>7752</v>
      </c>
      <c r="C6367" s="533" t="s">
        <v>7179</v>
      </c>
      <c r="D6367" s="656" t="s">
        <v>456</v>
      </c>
      <c r="E6367" s="534">
        <v>869.42857100000003</v>
      </c>
    </row>
    <row r="6368" spans="2:5" x14ac:dyDescent="0.2">
      <c r="B6368" s="533">
        <v>7753</v>
      </c>
      <c r="C6368" s="533" t="s">
        <v>5361</v>
      </c>
      <c r="D6368" s="656" t="s">
        <v>456</v>
      </c>
      <c r="E6368" s="534">
        <v>873.81817599999999</v>
      </c>
    </row>
    <row r="6369" spans="2:5" x14ac:dyDescent="0.2">
      <c r="B6369" s="533">
        <v>7754</v>
      </c>
      <c r="C6369" s="533" t="s">
        <v>1600</v>
      </c>
      <c r="D6369" s="656" t="s">
        <v>456</v>
      </c>
      <c r="E6369" s="534">
        <v>887.27059399999996</v>
      </c>
    </row>
    <row r="6370" spans="2:5" x14ac:dyDescent="0.2">
      <c r="B6370" s="533">
        <v>7755</v>
      </c>
      <c r="C6370" s="533" t="s">
        <v>5620</v>
      </c>
      <c r="D6370" s="656" t="s">
        <v>456</v>
      </c>
      <c r="E6370" s="534">
        <v>918.90909099999999</v>
      </c>
    </row>
    <row r="6371" spans="2:5" x14ac:dyDescent="0.2">
      <c r="B6371" s="533">
        <v>7756</v>
      </c>
      <c r="C6371" s="533" t="s">
        <v>7434</v>
      </c>
      <c r="D6371" s="656" t="s">
        <v>456</v>
      </c>
      <c r="E6371" s="534">
        <v>851.01429099999996</v>
      </c>
    </row>
    <row r="6372" spans="2:5" x14ac:dyDescent="0.2">
      <c r="B6372" s="533">
        <v>7757</v>
      </c>
      <c r="C6372" s="533" t="s">
        <v>2427</v>
      </c>
      <c r="D6372" s="656" t="s">
        <v>456</v>
      </c>
      <c r="E6372" s="534">
        <v>865.14999399999999</v>
      </c>
    </row>
    <row r="6373" spans="2:5" x14ac:dyDescent="0.2">
      <c r="B6373" s="533">
        <v>7758</v>
      </c>
      <c r="C6373" s="533" t="s">
        <v>1806</v>
      </c>
      <c r="D6373" s="656" t="s">
        <v>456</v>
      </c>
      <c r="E6373" s="534">
        <v>847.15713900000003</v>
      </c>
    </row>
    <row r="6374" spans="2:5" x14ac:dyDescent="0.2">
      <c r="B6374" s="533">
        <v>7759</v>
      </c>
      <c r="C6374" s="533" t="s">
        <v>5406</v>
      </c>
      <c r="D6374" s="656" t="s">
        <v>456</v>
      </c>
      <c r="E6374" s="534">
        <v>881.23333700000001</v>
      </c>
    </row>
    <row r="6375" spans="2:5" x14ac:dyDescent="0.2">
      <c r="B6375" s="533">
        <v>7760</v>
      </c>
      <c r="C6375" s="533" t="s">
        <v>5357</v>
      </c>
      <c r="D6375" s="656" t="s">
        <v>456</v>
      </c>
      <c r="E6375" s="534">
        <v>873.68333900000005</v>
      </c>
    </row>
    <row r="6376" spans="2:5" x14ac:dyDescent="0.2">
      <c r="B6376" s="533">
        <v>7761</v>
      </c>
      <c r="C6376" s="533" t="s">
        <v>5544</v>
      </c>
      <c r="D6376" s="656" t="s">
        <v>456</v>
      </c>
      <c r="E6376" s="534">
        <v>905.35833200000002</v>
      </c>
    </row>
    <row r="6377" spans="2:5" x14ac:dyDescent="0.2">
      <c r="B6377" s="533">
        <v>7762</v>
      </c>
      <c r="C6377" s="533" t="s">
        <v>5003</v>
      </c>
      <c r="D6377" s="656" t="s">
        <v>456</v>
      </c>
      <c r="E6377" s="534">
        <v>823.95000200000004</v>
      </c>
    </row>
    <row r="6378" spans="2:5" x14ac:dyDescent="0.2">
      <c r="B6378" s="533">
        <v>7763</v>
      </c>
      <c r="C6378" s="533" t="s">
        <v>5024</v>
      </c>
      <c r="D6378" s="656" t="s">
        <v>456</v>
      </c>
      <c r="E6378" s="534">
        <v>826.0625</v>
      </c>
    </row>
    <row r="6379" spans="2:5" x14ac:dyDescent="0.2">
      <c r="B6379" s="533">
        <v>7764</v>
      </c>
      <c r="C6379" s="533" t="s">
        <v>954</v>
      </c>
      <c r="D6379" s="656" t="s">
        <v>456</v>
      </c>
      <c r="E6379" s="534">
        <v>866.06363199999998</v>
      </c>
    </row>
    <row r="6380" spans="2:5" x14ac:dyDescent="0.2">
      <c r="B6380" s="533">
        <v>7765</v>
      </c>
      <c r="C6380" s="533" t="s">
        <v>5543</v>
      </c>
      <c r="D6380" s="656" t="s">
        <v>456</v>
      </c>
      <c r="E6380" s="534">
        <v>905.11998300000005</v>
      </c>
    </row>
    <row r="6381" spans="2:5" x14ac:dyDescent="0.2">
      <c r="B6381" s="533">
        <v>7766</v>
      </c>
      <c r="C6381" s="533" t="s">
        <v>5460</v>
      </c>
      <c r="D6381" s="656" t="s">
        <v>456</v>
      </c>
      <c r="E6381" s="534">
        <v>891.53332499999999</v>
      </c>
    </row>
    <row r="6382" spans="2:5" x14ac:dyDescent="0.2">
      <c r="B6382" s="533">
        <v>7767</v>
      </c>
      <c r="C6382" s="533" t="s">
        <v>3632</v>
      </c>
      <c r="D6382" s="656" t="s">
        <v>456</v>
      </c>
      <c r="E6382" s="534">
        <v>919.46364000000005</v>
      </c>
    </row>
    <row r="6383" spans="2:5" x14ac:dyDescent="0.2">
      <c r="B6383" s="533">
        <v>7768</v>
      </c>
      <c r="C6383" s="533" t="s">
        <v>5568</v>
      </c>
      <c r="D6383" s="656" t="s">
        <v>456</v>
      </c>
      <c r="E6383" s="534">
        <v>907.84000900000001</v>
      </c>
    </row>
    <row r="6384" spans="2:5" x14ac:dyDescent="0.2">
      <c r="B6384" s="533">
        <v>7769</v>
      </c>
      <c r="C6384" s="533" t="s">
        <v>5448</v>
      </c>
      <c r="D6384" s="656" t="s">
        <v>456</v>
      </c>
      <c r="E6384" s="534">
        <v>889.46365100000003</v>
      </c>
    </row>
    <row r="6385" spans="2:5" x14ac:dyDescent="0.2">
      <c r="B6385" s="533">
        <v>7770</v>
      </c>
      <c r="C6385" s="533" t="s">
        <v>5517</v>
      </c>
      <c r="D6385" s="656" t="s">
        <v>456</v>
      </c>
      <c r="E6385" s="534">
        <v>899.910526</v>
      </c>
    </row>
    <row r="6386" spans="2:5" x14ac:dyDescent="0.2">
      <c r="B6386" s="533">
        <v>7771</v>
      </c>
      <c r="C6386" s="533" t="s">
        <v>5569</v>
      </c>
      <c r="D6386" s="656" t="s">
        <v>456</v>
      </c>
      <c r="E6386" s="534">
        <v>907.866669</v>
      </c>
    </row>
    <row r="6387" spans="2:5" x14ac:dyDescent="0.2">
      <c r="B6387" s="533">
        <v>7772</v>
      </c>
      <c r="C6387" s="533" t="s">
        <v>5617</v>
      </c>
      <c r="D6387" s="656" t="s">
        <v>456</v>
      </c>
      <c r="E6387" s="534">
        <v>918.07500500000003</v>
      </c>
    </row>
    <row r="6388" spans="2:5" x14ac:dyDescent="0.2">
      <c r="B6388" s="533">
        <v>7773</v>
      </c>
      <c r="C6388" s="533" t="s">
        <v>5580</v>
      </c>
      <c r="D6388" s="656" t="s">
        <v>456</v>
      </c>
      <c r="E6388" s="534">
        <v>909.80000399999994</v>
      </c>
    </row>
    <row r="6389" spans="2:5" x14ac:dyDescent="0.2">
      <c r="B6389" s="533">
        <v>7774</v>
      </c>
      <c r="C6389" s="533" t="s">
        <v>5486</v>
      </c>
      <c r="D6389" s="656" t="s">
        <v>456</v>
      </c>
      <c r="E6389" s="534">
        <v>894.68636500000002</v>
      </c>
    </row>
    <row r="6390" spans="2:5" x14ac:dyDescent="0.2">
      <c r="B6390" s="533">
        <v>7775</v>
      </c>
      <c r="C6390" s="533" t="s">
        <v>5678</v>
      </c>
      <c r="D6390" s="656" t="s">
        <v>456</v>
      </c>
      <c r="E6390" s="534">
        <v>934.78749500000004</v>
      </c>
    </row>
    <row r="6391" spans="2:5" x14ac:dyDescent="0.2">
      <c r="B6391" s="533">
        <v>7776</v>
      </c>
      <c r="C6391" s="533" t="s">
        <v>5713</v>
      </c>
      <c r="D6391" s="656" t="s">
        <v>456</v>
      </c>
      <c r="E6391" s="534">
        <v>945.79166699999996</v>
      </c>
    </row>
    <row r="6392" spans="2:5" x14ac:dyDescent="0.2">
      <c r="B6392" s="533">
        <v>7777</v>
      </c>
      <c r="C6392" s="533" t="s">
        <v>5602</v>
      </c>
      <c r="D6392" s="656" t="s">
        <v>456</v>
      </c>
      <c r="E6392" s="534">
        <v>914.53333499999997</v>
      </c>
    </row>
    <row r="6393" spans="2:5" x14ac:dyDescent="0.2">
      <c r="B6393" s="533">
        <v>7778</v>
      </c>
      <c r="C6393" s="533" t="s">
        <v>5547</v>
      </c>
      <c r="D6393" s="656" t="s">
        <v>456</v>
      </c>
      <c r="E6393" s="534">
        <v>905.90909099999999</v>
      </c>
    </row>
    <row r="6394" spans="2:5" x14ac:dyDescent="0.2">
      <c r="B6394" s="533">
        <v>7779</v>
      </c>
      <c r="C6394" s="533" t="s">
        <v>3310</v>
      </c>
      <c r="D6394" s="656" t="s">
        <v>456</v>
      </c>
      <c r="E6394" s="534">
        <v>930.36665900000003</v>
      </c>
    </row>
    <row r="6395" spans="2:5" x14ac:dyDescent="0.2">
      <c r="B6395" s="533">
        <v>7780</v>
      </c>
      <c r="C6395" s="533" t="s">
        <v>5702</v>
      </c>
      <c r="D6395" s="656" t="s">
        <v>456</v>
      </c>
      <c r="E6395" s="534">
        <v>942.15000899999995</v>
      </c>
    </row>
    <row r="6396" spans="2:5" x14ac:dyDescent="0.2">
      <c r="B6396" s="533">
        <v>7781</v>
      </c>
      <c r="C6396" s="533" t="s">
        <v>5712</v>
      </c>
      <c r="D6396" s="656" t="s">
        <v>456</v>
      </c>
      <c r="E6396" s="534">
        <v>945.47894899999994</v>
      </c>
    </row>
    <row r="6397" spans="2:5" x14ac:dyDescent="0.2">
      <c r="B6397" s="533">
        <v>7782</v>
      </c>
      <c r="C6397" s="533" t="s">
        <v>5719</v>
      </c>
      <c r="D6397" s="656" t="s">
        <v>456</v>
      </c>
      <c r="E6397" s="534">
        <v>947.16666699999996</v>
      </c>
    </row>
    <row r="6398" spans="2:5" x14ac:dyDescent="0.2">
      <c r="B6398" s="533">
        <v>7783</v>
      </c>
      <c r="C6398" s="533" t="s">
        <v>5724</v>
      </c>
      <c r="D6398" s="656" t="s">
        <v>456</v>
      </c>
      <c r="E6398" s="534">
        <v>949.59997599999997</v>
      </c>
    </row>
    <row r="6399" spans="2:5" x14ac:dyDescent="0.2">
      <c r="B6399" s="533">
        <v>7784</v>
      </c>
      <c r="C6399" s="533" t="s">
        <v>5819</v>
      </c>
      <c r="D6399" s="656" t="s">
        <v>456</v>
      </c>
      <c r="E6399" s="534">
        <v>975.04999799999996</v>
      </c>
    </row>
    <row r="6400" spans="2:5" x14ac:dyDescent="0.2">
      <c r="B6400" s="533">
        <v>7785</v>
      </c>
      <c r="C6400" s="533" t="s">
        <v>5556</v>
      </c>
      <c r="D6400" s="656" t="s">
        <v>456</v>
      </c>
      <c r="E6400" s="534">
        <v>906.75999100000001</v>
      </c>
    </row>
    <row r="6401" spans="2:5" x14ac:dyDescent="0.2">
      <c r="B6401" s="533">
        <v>7786</v>
      </c>
      <c r="C6401" s="533" t="s">
        <v>5605</v>
      </c>
      <c r="D6401" s="656" t="s">
        <v>456</v>
      </c>
      <c r="E6401" s="534">
        <v>915.44444399999998</v>
      </c>
    </row>
    <row r="6402" spans="2:5" x14ac:dyDescent="0.2">
      <c r="B6402" s="533">
        <v>7787</v>
      </c>
      <c r="C6402" s="533" t="s">
        <v>7042</v>
      </c>
      <c r="D6402" s="656" t="s">
        <v>456</v>
      </c>
      <c r="E6402" s="534">
        <v>906.71818399999995</v>
      </c>
    </row>
    <row r="6403" spans="2:5" x14ac:dyDescent="0.2">
      <c r="B6403" s="533">
        <v>7788</v>
      </c>
      <c r="C6403" s="533" t="s">
        <v>3081</v>
      </c>
      <c r="D6403" s="656" t="s">
        <v>456</v>
      </c>
      <c r="E6403" s="534">
        <v>922.73749499999997</v>
      </c>
    </row>
    <row r="6404" spans="2:5" x14ac:dyDescent="0.2">
      <c r="B6404" s="533">
        <v>7789</v>
      </c>
      <c r="C6404" s="533" t="s">
        <v>397</v>
      </c>
      <c r="D6404" s="656" t="s">
        <v>456</v>
      </c>
      <c r="E6404" s="534">
        <v>917.18999599999995</v>
      </c>
    </row>
    <row r="6405" spans="2:5" x14ac:dyDescent="0.2">
      <c r="B6405" s="533">
        <v>7790</v>
      </c>
      <c r="C6405" s="533" t="s">
        <v>5701</v>
      </c>
      <c r="D6405" s="656" t="s">
        <v>456</v>
      </c>
      <c r="E6405" s="534">
        <v>941.91666199999997</v>
      </c>
    </row>
    <row r="6406" spans="2:5" x14ac:dyDescent="0.2">
      <c r="B6406" s="533">
        <v>7792</v>
      </c>
      <c r="C6406" s="533" t="s">
        <v>1860</v>
      </c>
      <c r="D6406" s="656" t="s">
        <v>456</v>
      </c>
      <c r="E6406" s="534">
        <v>968.20001200000002</v>
      </c>
    </row>
    <row r="6407" spans="2:5" x14ac:dyDescent="0.2">
      <c r="B6407" s="533">
        <v>7793</v>
      </c>
      <c r="C6407" s="533" t="s">
        <v>5859</v>
      </c>
      <c r="D6407" s="656" t="s">
        <v>456</v>
      </c>
      <c r="E6407" s="534">
        <v>987.163635</v>
      </c>
    </row>
    <row r="6408" spans="2:5" x14ac:dyDescent="0.2">
      <c r="B6408" s="533">
        <v>7794</v>
      </c>
      <c r="C6408" s="533" t="s">
        <v>5787</v>
      </c>
      <c r="D6408" s="656" t="s">
        <v>456</v>
      </c>
      <c r="E6408" s="534">
        <v>965.11251100000004</v>
      </c>
    </row>
    <row r="6409" spans="2:5" x14ac:dyDescent="0.2">
      <c r="B6409" s="533">
        <v>7795</v>
      </c>
      <c r="C6409" s="533" t="s">
        <v>5901</v>
      </c>
      <c r="D6409" s="656" t="s">
        <v>456</v>
      </c>
      <c r="E6409" s="534">
        <v>1005.866659</v>
      </c>
    </row>
    <row r="6410" spans="2:5" x14ac:dyDescent="0.2">
      <c r="B6410" s="533">
        <v>7796</v>
      </c>
      <c r="C6410" s="533" t="s">
        <v>7073</v>
      </c>
      <c r="D6410" s="656" t="s">
        <v>456</v>
      </c>
      <c r="E6410" s="534">
        <v>1069.375</v>
      </c>
    </row>
    <row r="6411" spans="2:5" x14ac:dyDescent="0.2">
      <c r="B6411" s="533">
        <v>7797</v>
      </c>
      <c r="C6411" s="533" t="s">
        <v>5887</v>
      </c>
      <c r="D6411" s="656" t="s">
        <v>456</v>
      </c>
      <c r="E6411" s="534">
        <v>996.60832200000004</v>
      </c>
    </row>
    <row r="6412" spans="2:5" x14ac:dyDescent="0.2">
      <c r="B6412" s="533">
        <v>7798</v>
      </c>
      <c r="C6412" s="533" t="s">
        <v>5843</v>
      </c>
      <c r="D6412" s="656" t="s">
        <v>456</v>
      </c>
      <c r="E6412" s="534">
        <v>983.93332899999996</v>
      </c>
    </row>
    <row r="6413" spans="2:5" x14ac:dyDescent="0.2">
      <c r="B6413" s="533">
        <v>7799</v>
      </c>
      <c r="C6413" s="533" t="s">
        <v>5849</v>
      </c>
      <c r="D6413" s="656" t="s">
        <v>456</v>
      </c>
      <c r="E6413" s="534">
        <v>985.66666699999996</v>
      </c>
    </row>
    <row r="6414" spans="2:5" x14ac:dyDescent="0.2">
      <c r="B6414" s="533">
        <v>7800</v>
      </c>
      <c r="C6414" s="533" t="s">
        <v>6019</v>
      </c>
      <c r="D6414" s="656" t="s">
        <v>456</v>
      </c>
      <c r="E6414" s="534">
        <v>1065.2624969999999</v>
      </c>
    </row>
    <row r="6415" spans="2:5" x14ac:dyDescent="0.2">
      <c r="B6415" s="533">
        <v>7801</v>
      </c>
      <c r="C6415" s="533" t="s">
        <v>6016</v>
      </c>
      <c r="D6415" s="656" t="s">
        <v>456</v>
      </c>
      <c r="E6415" s="534">
        <v>1062.587509</v>
      </c>
    </row>
    <row r="6416" spans="2:5" x14ac:dyDescent="0.2">
      <c r="B6416" s="533">
        <v>7802</v>
      </c>
      <c r="C6416" s="533" t="s">
        <v>6068</v>
      </c>
      <c r="D6416" s="656" t="s">
        <v>456</v>
      </c>
      <c r="E6416" s="534">
        <v>1097.5500030000001</v>
      </c>
    </row>
    <row r="6417" spans="2:5" x14ac:dyDescent="0.2">
      <c r="B6417" s="533">
        <v>7803</v>
      </c>
      <c r="C6417" s="533" t="s">
        <v>3599</v>
      </c>
      <c r="D6417" s="656" t="s">
        <v>456</v>
      </c>
      <c r="E6417" s="534">
        <v>936.57272599999999</v>
      </c>
    </row>
    <row r="6418" spans="2:5" x14ac:dyDescent="0.2">
      <c r="B6418" s="533">
        <v>7804</v>
      </c>
      <c r="C6418" s="533" t="s">
        <v>5856</v>
      </c>
      <c r="D6418" s="656" t="s">
        <v>456</v>
      </c>
      <c r="E6418" s="534">
        <v>986.57501200000002</v>
      </c>
    </row>
    <row r="6419" spans="2:5" x14ac:dyDescent="0.2">
      <c r="B6419" s="533">
        <v>7805</v>
      </c>
      <c r="C6419" s="533" t="s">
        <v>6528</v>
      </c>
      <c r="D6419" s="656" t="s">
        <v>456</v>
      </c>
      <c r="E6419" s="534">
        <v>965.44583399999999</v>
      </c>
    </row>
    <row r="6420" spans="2:5" x14ac:dyDescent="0.2">
      <c r="B6420" s="533">
        <v>7806</v>
      </c>
      <c r="C6420" s="533" t="s">
        <v>1338</v>
      </c>
      <c r="D6420" s="656" t="s">
        <v>456</v>
      </c>
      <c r="E6420" s="534">
        <v>951</v>
      </c>
    </row>
    <row r="6421" spans="2:5" x14ac:dyDescent="0.2">
      <c r="B6421" s="533">
        <v>7807</v>
      </c>
      <c r="C6421" s="533" t="s">
        <v>5758</v>
      </c>
      <c r="D6421" s="656" t="s">
        <v>456</v>
      </c>
      <c r="E6421" s="534">
        <v>957.54000699999995</v>
      </c>
    </row>
    <row r="6422" spans="2:5" x14ac:dyDescent="0.2">
      <c r="B6422" s="533">
        <v>7821</v>
      </c>
      <c r="C6422" s="533" t="s">
        <v>5504</v>
      </c>
      <c r="D6422" s="656" t="s">
        <v>454</v>
      </c>
      <c r="E6422" s="534">
        <v>897.37272499999995</v>
      </c>
    </row>
    <row r="6423" spans="2:5" x14ac:dyDescent="0.2">
      <c r="B6423" s="533">
        <v>7822</v>
      </c>
      <c r="C6423" s="533" t="s">
        <v>5523</v>
      </c>
      <c r="D6423" s="656" t="s">
        <v>454</v>
      </c>
      <c r="E6423" s="534">
        <v>901.06668100000002</v>
      </c>
    </row>
    <row r="6424" spans="2:5" x14ac:dyDescent="0.2">
      <c r="B6424" s="533">
        <v>7823</v>
      </c>
      <c r="C6424" s="533" t="s">
        <v>6890</v>
      </c>
      <c r="D6424" s="656" t="s">
        <v>454</v>
      </c>
      <c r="E6424" s="534">
        <v>900.52222400000005</v>
      </c>
    </row>
    <row r="6425" spans="2:5" x14ac:dyDescent="0.2">
      <c r="B6425" s="533">
        <v>7824</v>
      </c>
      <c r="C6425" s="533" t="s">
        <v>5597</v>
      </c>
      <c r="D6425" s="656" t="s">
        <v>454</v>
      </c>
      <c r="E6425" s="534">
        <v>913.58750199999997</v>
      </c>
    </row>
    <row r="6426" spans="2:5" x14ac:dyDescent="0.2">
      <c r="B6426" s="533">
        <v>7825</v>
      </c>
      <c r="C6426" s="533" t="s">
        <v>5683</v>
      </c>
      <c r="D6426" s="656" t="s">
        <v>454</v>
      </c>
      <c r="E6426" s="534">
        <v>935.95624899999996</v>
      </c>
    </row>
    <row r="6427" spans="2:5" x14ac:dyDescent="0.2">
      <c r="B6427" s="533">
        <v>7826</v>
      </c>
      <c r="C6427" s="533" t="s">
        <v>5746</v>
      </c>
      <c r="D6427" s="656" t="s">
        <v>454</v>
      </c>
      <c r="E6427" s="534">
        <v>954.82999900000004</v>
      </c>
    </row>
    <row r="6428" spans="2:5" x14ac:dyDescent="0.2">
      <c r="B6428" s="533">
        <v>7827</v>
      </c>
      <c r="C6428" s="533" t="s">
        <v>5665</v>
      </c>
      <c r="D6428" s="656" t="s">
        <v>454</v>
      </c>
      <c r="E6428" s="534">
        <v>931.92000099999996</v>
      </c>
    </row>
    <row r="6429" spans="2:5" x14ac:dyDescent="0.2">
      <c r="B6429" s="533">
        <v>7828</v>
      </c>
      <c r="C6429" s="533" t="s">
        <v>5747</v>
      </c>
      <c r="D6429" s="656" t="s">
        <v>454</v>
      </c>
      <c r="E6429" s="534">
        <v>955.10000600000001</v>
      </c>
    </row>
    <row r="6430" spans="2:5" x14ac:dyDescent="0.2">
      <c r="B6430" s="533">
        <v>7829</v>
      </c>
      <c r="C6430" s="533" t="s">
        <v>5773</v>
      </c>
      <c r="D6430" s="656" t="s">
        <v>454</v>
      </c>
      <c r="E6430" s="534">
        <v>961.01666299999999</v>
      </c>
    </row>
    <row r="6431" spans="2:5" x14ac:dyDescent="0.2">
      <c r="B6431" s="533">
        <v>7830</v>
      </c>
      <c r="C6431" s="533" t="s">
        <v>5807</v>
      </c>
      <c r="D6431" s="656" t="s">
        <v>454</v>
      </c>
      <c r="E6431" s="534">
        <v>969.23749499999997</v>
      </c>
    </row>
    <row r="6432" spans="2:5" x14ac:dyDescent="0.2">
      <c r="B6432" s="533">
        <v>7831</v>
      </c>
      <c r="C6432" s="533" t="s">
        <v>5801</v>
      </c>
      <c r="D6432" s="656" t="s">
        <v>454</v>
      </c>
      <c r="E6432" s="534">
        <v>968.759998</v>
      </c>
    </row>
    <row r="6433" spans="2:5" x14ac:dyDescent="0.2">
      <c r="B6433" s="533">
        <v>7832</v>
      </c>
      <c r="C6433" s="533" t="s">
        <v>5778</v>
      </c>
      <c r="D6433" s="656" t="s">
        <v>454</v>
      </c>
      <c r="E6433" s="534">
        <v>962.91666699999996</v>
      </c>
    </row>
    <row r="6434" spans="2:5" x14ac:dyDescent="0.2">
      <c r="B6434" s="533">
        <v>7833</v>
      </c>
      <c r="C6434" s="533" t="s">
        <v>5003</v>
      </c>
      <c r="D6434" s="656" t="s">
        <v>454</v>
      </c>
      <c r="E6434" s="534">
        <v>948.75</v>
      </c>
    </row>
    <row r="6435" spans="2:5" x14ac:dyDescent="0.2">
      <c r="B6435" s="533">
        <v>7834</v>
      </c>
      <c r="C6435" s="533" t="s">
        <v>3733</v>
      </c>
      <c r="D6435" s="656" t="s">
        <v>454</v>
      </c>
      <c r="E6435" s="534">
        <v>970.37693400000001</v>
      </c>
    </row>
    <row r="6436" spans="2:5" x14ac:dyDescent="0.2">
      <c r="B6436" s="533">
        <v>7835</v>
      </c>
      <c r="C6436" s="533" t="s">
        <v>5828</v>
      </c>
      <c r="D6436" s="656" t="s">
        <v>454</v>
      </c>
      <c r="E6436" s="534">
        <v>977.54998799999998</v>
      </c>
    </row>
    <row r="6437" spans="2:5" x14ac:dyDescent="0.2">
      <c r="B6437" s="533">
        <v>7836</v>
      </c>
      <c r="C6437" s="533" t="s">
        <v>5844</v>
      </c>
      <c r="D6437" s="656" t="s">
        <v>454</v>
      </c>
      <c r="E6437" s="534">
        <v>984.15713900000003</v>
      </c>
    </row>
    <row r="6438" spans="2:5" x14ac:dyDescent="0.2">
      <c r="B6438" s="533">
        <v>7837</v>
      </c>
      <c r="C6438" s="533" t="s">
        <v>5916</v>
      </c>
      <c r="D6438" s="656" t="s">
        <v>454</v>
      </c>
      <c r="E6438" s="534">
        <v>1012.927263</v>
      </c>
    </row>
    <row r="6439" spans="2:5" x14ac:dyDescent="0.2">
      <c r="B6439" s="533">
        <v>7838</v>
      </c>
      <c r="C6439" s="533" t="s">
        <v>5955</v>
      </c>
      <c r="D6439" s="656" t="s">
        <v>454</v>
      </c>
      <c r="E6439" s="534">
        <v>1034.014287</v>
      </c>
    </row>
    <row r="6440" spans="2:5" x14ac:dyDescent="0.2">
      <c r="B6440" s="533">
        <v>7839</v>
      </c>
      <c r="C6440" s="533" t="s">
        <v>5277</v>
      </c>
      <c r="D6440" s="656" t="s">
        <v>454</v>
      </c>
      <c r="E6440" s="534">
        <v>1144.630017</v>
      </c>
    </row>
    <row r="6441" spans="2:5" x14ac:dyDescent="0.2">
      <c r="B6441" s="533">
        <v>7840</v>
      </c>
      <c r="C6441" s="533" t="s">
        <v>6092</v>
      </c>
      <c r="D6441" s="656" t="s">
        <v>454</v>
      </c>
      <c r="E6441" s="534">
        <v>1117.375006</v>
      </c>
    </row>
    <row r="6442" spans="2:5" x14ac:dyDescent="0.2">
      <c r="B6442" s="533">
        <v>7841</v>
      </c>
      <c r="C6442" s="533" t="s">
        <v>6557</v>
      </c>
      <c r="D6442" s="656" t="s">
        <v>454</v>
      </c>
      <c r="E6442" s="534">
        <v>1151.7833459999999</v>
      </c>
    </row>
    <row r="6443" spans="2:5" x14ac:dyDescent="0.2">
      <c r="B6443" s="533">
        <v>7842</v>
      </c>
      <c r="C6443" s="533" t="s">
        <v>6135</v>
      </c>
      <c r="D6443" s="656" t="s">
        <v>454</v>
      </c>
      <c r="E6443" s="534">
        <v>1151.2058750000001</v>
      </c>
    </row>
    <row r="6444" spans="2:5" x14ac:dyDescent="0.2">
      <c r="B6444" s="533">
        <v>7843</v>
      </c>
      <c r="C6444" s="533" t="s">
        <v>5829</v>
      </c>
      <c r="D6444" s="656" t="s">
        <v>454</v>
      </c>
      <c r="E6444" s="534">
        <v>977.59999600000003</v>
      </c>
    </row>
    <row r="6445" spans="2:5" x14ac:dyDescent="0.2">
      <c r="B6445" s="533">
        <v>7844</v>
      </c>
      <c r="C6445" s="533" t="s">
        <v>5836</v>
      </c>
      <c r="D6445" s="656" t="s">
        <v>454</v>
      </c>
      <c r="E6445" s="534">
        <v>980.59333900000001</v>
      </c>
    </row>
    <row r="6446" spans="2:5" x14ac:dyDescent="0.2">
      <c r="B6446" s="533">
        <v>7845</v>
      </c>
      <c r="C6446" s="533" t="s">
        <v>1038</v>
      </c>
      <c r="D6446" s="656" t="s">
        <v>454</v>
      </c>
      <c r="E6446" s="534">
        <v>961.8125</v>
      </c>
    </row>
    <row r="6447" spans="2:5" x14ac:dyDescent="0.2">
      <c r="B6447" s="533">
        <v>7846</v>
      </c>
      <c r="C6447" s="533" t="s">
        <v>6029</v>
      </c>
      <c r="D6447" s="656" t="s">
        <v>454</v>
      </c>
      <c r="E6447" s="534">
        <v>1071.511765</v>
      </c>
    </row>
    <row r="6448" spans="2:5" x14ac:dyDescent="0.2">
      <c r="B6448" s="533">
        <v>7847</v>
      </c>
      <c r="C6448" s="533" t="s">
        <v>5751</v>
      </c>
      <c r="D6448" s="656" t="s">
        <v>454</v>
      </c>
      <c r="E6448" s="534">
        <v>956.68888300000003</v>
      </c>
    </row>
    <row r="6449" spans="2:5" x14ac:dyDescent="0.2">
      <c r="B6449" s="533">
        <v>7848</v>
      </c>
      <c r="C6449" s="533" t="s">
        <v>5875</v>
      </c>
      <c r="D6449" s="656" t="s">
        <v>454</v>
      </c>
      <c r="E6449" s="534">
        <v>993.64285700000005</v>
      </c>
    </row>
    <row r="6450" spans="2:5" x14ac:dyDescent="0.2">
      <c r="B6450" s="533">
        <v>7849</v>
      </c>
      <c r="C6450" s="533" t="s">
        <v>5974</v>
      </c>
      <c r="D6450" s="656" t="s">
        <v>454</v>
      </c>
      <c r="E6450" s="534">
        <v>1041.010004</v>
      </c>
    </row>
    <row r="6451" spans="2:5" x14ac:dyDescent="0.2">
      <c r="B6451" s="533">
        <v>7850</v>
      </c>
      <c r="C6451" s="533" t="s">
        <v>6066</v>
      </c>
      <c r="D6451" s="656" t="s">
        <v>454</v>
      </c>
      <c r="E6451" s="534">
        <v>1096.112488</v>
      </c>
    </row>
    <row r="6452" spans="2:5" x14ac:dyDescent="0.2">
      <c r="B6452" s="533">
        <v>7851</v>
      </c>
      <c r="C6452" s="533" t="s">
        <v>6071</v>
      </c>
      <c r="D6452" s="656" t="s">
        <v>454</v>
      </c>
      <c r="E6452" s="534">
        <v>1098.8222109999999</v>
      </c>
    </row>
    <row r="6453" spans="2:5" x14ac:dyDescent="0.2">
      <c r="B6453" s="533">
        <v>7852</v>
      </c>
      <c r="C6453" s="533" t="s">
        <v>5783</v>
      </c>
      <c r="D6453" s="656" t="s">
        <v>454</v>
      </c>
      <c r="E6453" s="534">
        <v>964.30000299999995</v>
      </c>
    </row>
    <row r="6454" spans="2:5" x14ac:dyDescent="0.2">
      <c r="B6454" s="533">
        <v>7853</v>
      </c>
      <c r="C6454" s="533" t="s">
        <v>5820</v>
      </c>
      <c r="D6454" s="656" t="s">
        <v>454</v>
      </c>
      <c r="E6454" s="534">
        <v>975.39998400000002</v>
      </c>
    </row>
    <row r="6455" spans="2:5" x14ac:dyDescent="0.2">
      <c r="B6455" s="533">
        <v>7854</v>
      </c>
      <c r="C6455" s="533" t="s">
        <v>5877</v>
      </c>
      <c r="D6455" s="656" t="s">
        <v>454</v>
      </c>
      <c r="E6455" s="534">
        <v>994.03333499999997</v>
      </c>
    </row>
    <row r="6456" spans="2:5" x14ac:dyDescent="0.2">
      <c r="B6456" s="533">
        <v>7855</v>
      </c>
      <c r="C6456" s="533" t="s">
        <v>4161</v>
      </c>
      <c r="D6456" s="656" t="s">
        <v>454</v>
      </c>
      <c r="E6456" s="534">
        <v>1013.887505</v>
      </c>
    </row>
    <row r="6457" spans="2:5" x14ac:dyDescent="0.2">
      <c r="B6457" s="533">
        <v>7856</v>
      </c>
      <c r="C6457" s="533" t="s">
        <v>2853</v>
      </c>
      <c r="D6457" s="656" t="s">
        <v>454</v>
      </c>
      <c r="E6457" s="534">
        <v>994.79999799999996</v>
      </c>
    </row>
    <row r="6458" spans="2:5" x14ac:dyDescent="0.2">
      <c r="B6458" s="533">
        <v>7857</v>
      </c>
      <c r="C6458" s="533" t="s">
        <v>6657</v>
      </c>
      <c r="D6458" s="656" t="s">
        <v>454</v>
      </c>
      <c r="E6458" s="534">
        <v>1041.4000000000001</v>
      </c>
    </row>
    <row r="6459" spans="2:5" x14ac:dyDescent="0.2">
      <c r="B6459" s="533">
        <v>7858</v>
      </c>
      <c r="C6459" s="533" t="s">
        <v>5973</v>
      </c>
      <c r="D6459" s="656" t="s">
        <v>454</v>
      </c>
      <c r="E6459" s="534">
        <v>1039.666667</v>
      </c>
    </row>
    <row r="6460" spans="2:5" x14ac:dyDescent="0.2">
      <c r="B6460" s="533">
        <v>7859</v>
      </c>
      <c r="C6460" s="533" t="s">
        <v>6018</v>
      </c>
      <c r="D6460" s="656" t="s">
        <v>454</v>
      </c>
      <c r="E6460" s="534">
        <v>1065.090009</v>
      </c>
    </row>
    <row r="6461" spans="2:5" x14ac:dyDescent="0.2">
      <c r="B6461" s="533">
        <v>7860</v>
      </c>
      <c r="C6461" s="533" t="s">
        <v>3324</v>
      </c>
      <c r="D6461" s="656" t="s">
        <v>454</v>
      </c>
      <c r="E6461" s="534">
        <v>1081.7800050000001</v>
      </c>
    </row>
    <row r="6462" spans="2:5" x14ac:dyDescent="0.2">
      <c r="B6462" s="533">
        <v>7861</v>
      </c>
      <c r="C6462" s="533" t="s">
        <v>1273</v>
      </c>
      <c r="D6462" s="656" t="s">
        <v>454</v>
      </c>
      <c r="E6462" s="534">
        <v>1072.349976</v>
      </c>
    </row>
    <row r="6463" spans="2:5" x14ac:dyDescent="0.2">
      <c r="B6463" s="533">
        <v>7862</v>
      </c>
      <c r="C6463" s="533" t="s">
        <v>6048</v>
      </c>
      <c r="D6463" s="656" t="s">
        <v>454</v>
      </c>
      <c r="E6463" s="534">
        <v>1081.900024</v>
      </c>
    </row>
    <row r="6464" spans="2:5" x14ac:dyDescent="0.2">
      <c r="B6464" s="533">
        <v>7863</v>
      </c>
      <c r="C6464" s="533" t="s">
        <v>7123</v>
      </c>
      <c r="D6464" s="656" t="s">
        <v>454</v>
      </c>
      <c r="E6464" s="534">
        <v>1095.366659</v>
      </c>
    </row>
    <row r="6465" spans="2:5" x14ac:dyDescent="0.2">
      <c r="B6465" s="533">
        <v>7864</v>
      </c>
      <c r="C6465" s="533" t="s">
        <v>2231</v>
      </c>
      <c r="D6465" s="656" t="s">
        <v>454</v>
      </c>
      <c r="E6465" s="534">
        <v>1084.383341</v>
      </c>
    </row>
    <row r="6466" spans="2:5" x14ac:dyDescent="0.2">
      <c r="B6466" s="533">
        <v>7865</v>
      </c>
      <c r="C6466" s="533" t="s">
        <v>6061</v>
      </c>
      <c r="D6466" s="656" t="s">
        <v>454</v>
      </c>
      <c r="E6466" s="534">
        <v>1092.3600100000001</v>
      </c>
    </row>
    <row r="6467" spans="2:5" x14ac:dyDescent="0.2">
      <c r="B6467" s="533">
        <v>7866</v>
      </c>
      <c r="C6467" s="533" t="s">
        <v>6082</v>
      </c>
      <c r="D6467" s="656" t="s">
        <v>443</v>
      </c>
      <c r="E6467" s="534">
        <v>1107.0333459999999</v>
      </c>
    </row>
    <row r="6468" spans="2:5" x14ac:dyDescent="0.2">
      <c r="B6468" s="533">
        <v>7867</v>
      </c>
      <c r="C6468" s="533" t="s">
        <v>443</v>
      </c>
      <c r="D6468" s="656" t="s">
        <v>443</v>
      </c>
      <c r="E6468" s="534">
        <v>1045.5863730000001</v>
      </c>
    </row>
    <row r="6469" spans="2:5" x14ac:dyDescent="0.2">
      <c r="B6469" s="533">
        <v>7868</v>
      </c>
      <c r="C6469" s="533" t="s">
        <v>6085</v>
      </c>
      <c r="D6469" s="656" t="s">
        <v>443</v>
      </c>
      <c r="E6469" s="534">
        <v>1108.7875059999999</v>
      </c>
    </row>
    <row r="6470" spans="2:5" x14ac:dyDescent="0.2">
      <c r="B6470" s="533">
        <v>7869</v>
      </c>
      <c r="C6470" s="533" t="s">
        <v>6037</v>
      </c>
      <c r="D6470" s="656" t="s">
        <v>443</v>
      </c>
      <c r="E6470" s="534">
        <v>1078.0600099999999</v>
      </c>
    </row>
    <row r="6471" spans="2:5" x14ac:dyDescent="0.2">
      <c r="B6471" s="533">
        <v>7870</v>
      </c>
      <c r="C6471" s="533" t="s">
        <v>6192</v>
      </c>
      <c r="D6471" s="656" t="s">
        <v>454</v>
      </c>
      <c r="E6471" s="534">
        <v>1199.8499999999999</v>
      </c>
    </row>
    <row r="6472" spans="2:5" x14ac:dyDescent="0.2">
      <c r="B6472" s="533">
        <v>7871</v>
      </c>
      <c r="C6472" s="533" t="s">
        <v>6189</v>
      </c>
      <c r="D6472" s="656" t="s">
        <v>454</v>
      </c>
      <c r="E6472" s="534">
        <v>1195.1210679999999</v>
      </c>
    </row>
    <row r="6473" spans="2:5" x14ac:dyDescent="0.2">
      <c r="B6473" s="533">
        <v>7872</v>
      </c>
      <c r="C6473" s="533" t="s">
        <v>6116</v>
      </c>
      <c r="D6473" s="656" t="s">
        <v>454</v>
      </c>
      <c r="E6473" s="534">
        <v>1141.6499940000001</v>
      </c>
    </row>
    <row r="6474" spans="2:5" x14ac:dyDescent="0.2">
      <c r="B6474" s="533">
        <v>7873</v>
      </c>
      <c r="C6474" s="533" t="s">
        <v>6148</v>
      </c>
      <c r="D6474" s="656" t="s">
        <v>454</v>
      </c>
      <c r="E6474" s="534">
        <v>1156.595442</v>
      </c>
    </row>
    <row r="6475" spans="2:5" x14ac:dyDescent="0.2">
      <c r="B6475" s="533">
        <v>7874</v>
      </c>
      <c r="C6475" s="533" t="s">
        <v>6080</v>
      </c>
      <c r="D6475" s="656" t="s">
        <v>454</v>
      </c>
      <c r="E6475" s="534">
        <v>1106.4857179999999</v>
      </c>
    </row>
    <row r="6476" spans="2:5" x14ac:dyDescent="0.2">
      <c r="B6476" s="533">
        <v>7875</v>
      </c>
      <c r="C6476" s="533" t="s">
        <v>2911</v>
      </c>
      <c r="D6476" s="656" t="s">
        <v>454</v>
      </c>
      <c r="E6476" s="534">
        <v>1098.223532</v>
      </c>
    </row>
    <row r="6477" spans="2:5" x14ac:dyDescent="0.2">
      <c r="B6477" s="533">
        <v>7876</v>
      </c>
      <c r="C6477" s="533" t="s">
        <v>6102</v>
      </c>
      <c r="D6477" s="656" t="s">
        <v>454</v>
      </c>
      <c r="E6477" s="534">
        <v>1124.306673</v>
      </c>
    </row>
    <row r="6478" spans="2:5" x14ac:dyDescent="0.2">
      <c r="B6478" s="533">
        <v>7877</v>
      </c>
      <c r="C6478" s="533" t="s">
        <v>6099</v>
      </c>
      <c r="D6478" s="656" t="s">
        <v>454</v>
      </c>
      <c r="E6478" s="534">
        <v>1123.3791610000001</v>
      </c>
    </row>
    <row r="6479" spans="2:5" x14ac:dyDescent="0.2">
      <c r="B6479" s="533">
        <v>7878</v>
      </c>
      <c r="C6479" s="533" t="s">
        <v>6282</v>
      </c>
      <c r="D6479" s="656" t="s">
        <v>454</v>
      </c>
      <c r="E6479" s="534">
        <v>1336.5062559999999</v>
      </c>
    </row>
    <row r="6480" spans="2:5" x14ac:dyDescent="0.2">
      <c r="B6480" s="533">
        <v>7879</v>
      </c>
      <c r="C6480" s="533" t="s">
        <v>6248</v>
      </c>
      <c r="D6480" s="656" t="s">
        <v>454</v>
      </c>
      <c r="E6480" s="534">
        <v>1273.945479</v>
      </c>
    </row>
    <row r="6481" spans="2:5" x14ac:dyDescent="0.2">
      <c r="B6481" s="533">
        <v>7880</v>
      </c>
      <c r="C6481" s="533" t="s">
        <v>6261</v>
      </c>
      <c r="D6481" s="656" t="s">
        <v>454</v>
      </c>
      <c r="E6481" s="534">
        <v>1293.6058849999999</v>
      </c>
    </row>
    <row r="6482" spans="2:5" x14ac:dyDescent="0.2">
      <c r="B6482" s="533">
        <v>7881</v>
      </c>
      <c r="C6482" s="533" t="s">
        <v>6279</v>
      </c>
      <c r="D6482" s="656" t="s">
        <v>454</v>
      </c>
      <c r="E6482" s="534">
        <v>1333.106262</v>
      </c>
    </row>
    <row r="6483" spans="2:5" x14ac:dyDescent="0.2">
      <c r="B6483" s="533">
        <v>7882</v>
      </c>
      <c r="C6483" s="533" t="s">
        <v>6803</v>
      </c>
      <c r="D6483" s="656" t="s">
        <v>454</v>
      </c>
      <c r="E6483" s="534">
        <v>1424.3874969999999</v>
      </c>
    </row>
    <row r="6484" spans="2:5" x14ac:dyDescent="0.2">
      <c r="B6484" s="533">
        <v>7883</v>
      </c>
      <c r="C6484" s="533" t="s">
        <v>6154</v>
      </c>
      <c r="D6484" s="656" t="s">
        <v>454</v>
      </c>
      <c r="E6484" s="534">
        <v>1162.9105219999999</v>
      </c>
    </row>
    <row r="6485" spans="2:5" x14ac:dyDescent="0.2">
      <c r="B6485" s="533">
        <v>7884</v>
      </c>
      <c r="C6485" s="533" t="s">
        <v>6108</v>
      </c>
      <c r="D6485" s="656" t="s">
        <v>454</v>
      </c>
      <c r="E6485" s="534">
        <v>1130.3000010000001</v>
      </c>
    </row>
    <row r="6486" spans="2:5" x14ac:dyDescent="0.2">
      <c r="B6486" s="533">
        <v>7885</v>
      </c>
      <c r="C6486" s="533" t="s">
        <v>6196</v>
      </c>
      <c r="D6486" s="656" t="s">
        <v>454</v>
      </c>
      <c r="E6486" s="534">
        <v>1202.6466720000001</v>
      </c>
    </row>
    <row r="6487" spans="2:5" x14ac:dyDescent="0.2">
      <c r="B6487" s="533">
        <v>7886</v>
      </c>
      <c r="C6487" s="533" t="s">
        <v>6160</v>
      </c>
      <c r="D6487" s="656" t="s">
        <v>454</v>
      </c>
      <c r="E6487" s="534">
        <v>1171.950012</v>
      </c>
    </row>
    <row r="6488" spans="2:5" x14ac:dyDescent="0.2">
      <c r="B6488" s="533">
        <v>7887</v>
      </c>
      <c r="C6488" s="533" t="s">
        <v>6215</v>
      </c>
      <c r="D6488" s="656" t="s">
        <v>454</v>
      </c>
      <c r="E6488" s="534">
        <v>1226.1357069999999</v>
      </c>
    </row>
    <row r="6489" spans="2:5" x14ac:dyDescent="0.2">
      <c r="B6489" s="533">
        <v>7888</v>
      </c>
      <c r="C6489" s="533" t="s">
        <v>6095</v>
      </c>
      <c r="D6489" s="656" t="s">
        <v>454</v>
      </c>
      <c r="E6489" s="534">
        <v>1119.5333390000001</v>
      </c>
    </row>
    <row r="6490" spans="2:5" x14ac:dyDescent="0.2">
      <c r="B6490" s="533">
        <v>7889</v>
      </c>
      <c r="C6490" s="533" t="s">
        <v>6117</v>
      </c>
      <c r="D6490" s="656" t="s">
        <v>454</v>
      </c>
      <c r="E6490" s="534">
        <v>1141.691671</v>
      </c>
    </row>
    <row r="6491" spans="2:5" x14ac:dyDescent="0.2">
      <c r="B6491" s="533">
        <v>7890</v>
      </c>
      <c r="C6491" s="533" t="s">
        <v>6166</v>
      </c>
      <c r="D6491" s="656" t="s">
        <v>454</v>
      </c>
      <c r="E6491" s="534">
        <v>1176.9571450000001</v>
      </c>
    </row>
    <row r="6492" spans="2:5" x14ac:dyDescent="0.2">
      <c r="B6492" s="533">
        <v>7891</v>
      </c>
      <c r="C6492" s="533" t="s">
        <v>6109</v>
      </c>
      <c r="D6492" s="656" t="s">
        <v>454</v>
      </c>
      <c r="E6492" s="534">
        <v>1131.950012</v>
      </c>
    </row>
    <row r="6493" spans="2:5" x14ac:dyDescent="0.2">
      <c r="B6493" s="533">
        <v>7892</v>
      </c>
      <c r="C6493" s="533" t="s">
        <v>7341</v>
      </c>
      <c r="D6493" s="656" t="s">
        <v>454</v>
      </c>
      <c r="E6493" s="534">
        <v>1133.070007</v>
      </c>
    </row>
    <row r="6494" spans="2:5" x14ac:dyDescent="0.2">
      <c r="B6494" s="533">
        <v>7893</v>
      </c>
      <c r="C6494" s="533" t="s">
        <v>1033</v>
      </c>
      <c r="D6494" s="656" t="s">
        <v>454</v>
      </c>
      <c r="E6494" s="534">
        <v>1113.831582</v>
      </c>
    </row>
    <row r="6495" spans="2:5" x14ac:dyDescent="0.2">
      <c r="B6495" s="533">
        <v>7894</v>
      </c>
      <c r="C6495" s="533" t="s">
        <v>1454</v>
      </c>
      <c r="D6495" s="656" t="s">
        <v>454</v>
      </c>
      <c r="E6495" s="534">
        <v>1334.6000140000001</v>
      </c>
    </row>
    <row r="6496" spans="2:5" x14ac:dyDescent="0.2">
      <c r="B6496" s="533">
        <v>7895</v>
      </c>
      <c r="C6496" s="533" t="s">
        <v>6208</v>
      </c>
      <c r="D6496" s="656" t="s">
        <v>454</v>
      </c>
      <c r="E6496" s="534">
        <v>1217.828573</v>
      </c>
    </row>
    <row r="6497" spans="2:5" x14ac:dyDescent="0.2">
      <c r="B6497" s="533">
        <v>7896</v>
      </c>
      <c r="C6497" s="533" t="s">
        <v>7393</v>
      </c>
      <c r="D6497" s="656" t="s">
        <v>454</v>
      </c>
      <c r="E6497" s="534">
        <v>1330.5312730000001</v>
      </c>
    </row>
    <row r="6498" spans="2:5" x14ac:dyDescent="0.2">
      <c r="B6498" s="533">
        <v>7897</v>
      </c>
      <c r="C6498" s="533" t="s">
        <v>6188</v>
      </c>
      <c r="D6498" s="656" t="s">
        <v>454</v>
      </c>
      <c r="E6498" s="534">
        <v>1194.047988</v>
      </c>
    </row>
    <row r="6499" spans="2:5" x14ac:dyDescent="0.2">
      <c r="B6499" s="533">
        <v>7898</v>
      </c>
      <c r="C6499" s="533" t="s">
        <v>6191</v>
      </c>
      <c r="D6499" s="656" t="s">
        <v>454</v>
      </c>
      <c r="E6499" s="534">
        <v>1198.0333250000001</v>
      </c>
    </row>
    <row r="6500" spans="2:5" x14ac:dyDescent="0.2">
      <c r="B6500" s="533">
        <v>7899</v>
      </c>
      <c r="C6500" s="533" t="s">
        <v>6259</v>
      </c>
      <c r="D6500" s="656" t="s">
        <v>454</v>
      </c>
      <c r="E6500" s="534">
        <v>1287.700012</v>
      </c>
    </row>
    <row r="6501" spans="2:5" x14ac:dyDescent="0.2">
      <c r="B6501" s="533">
        <v>7900</v>
      </c>
      <c r="C6501" s="533" t="s">
        <v>6228</v>
      </c>
      <c r="D6501" s="656" t="s">
        <v>454</v>
      </c>
      <c r="E6501" s="534">
        <v>1233.539998</v>
      </c>
    </row>
    <row r="6502" spans="2:5" x14ac:dyDescent="0.2">
      <c r="B6502" s="533">
        <v>7901</v>
      </c>
      <c r="C6502" s="533" t="s">
        <v>6223</v>
      </c>
      <c r="D6502" s="656" t="s">
        <v>454</v>
      </c>
      <c r="E6502" s="534">
        <v>1232.799988</v>
      </c>
    </row>
    <row r="6503" spans="2:5" x14ac:dyDescent="0.2">
      <c r="B6503" s="533">
        <v>7902</v>
      </c>
      <c r="C6503" s="533" t="s">
        <v>6260</v>
      </c>
      <c r="D6503" s="656" t="s">
        <v>454</v>
      </c>
      <c r="E6503" s="534">
        <v>1291.6230660000001</v>
      </c>
    </row>
    <row r="6504" spans="2:5" x14ac:dyDescent="0.2">
      <c r="B6504" s="533">
        <v>7903</v>
      </c>
      <c r="C6504" s="533" t="s">
        <v>6226</v>
      </c>
      <c r="D6504" s="656" t="s">
        <v>454</v>
      </c>
      <c r="E6504" s="534">
        <v>1233.4727339999999</v>
      </c>
    </row>
    <row r="6505" spans="2:5" x14ac:dyDescent="0.2">
      <c r="B6505" s="533">
        <v>7904</v>
      </c>
      <c r="C6505" s="533" t="s">
        <v>6161</v>
      </c>
      <c r="D6505" s="656" t="s">
        <v>454</v>
      </c>
      <c r="E6505" s="534">
        <v>1173.6105190000001</v>
      </c>
    </row>
    <row r="6506" spans="2:5" x14ac:dyDescent="0.2">
      <c r="B6506" s="533">
        <v>7905</v>
      </c>
      <c r="C6506" s="533" t="s">
        <v>7373</v>
      </c>
      <c r="D6506" s="656" t="s">
        <v>454</v>
      </c>
      <c r="E6506" s="534">
        <v>1237.5342840000001</v>
      </c>
    </row>
    <row r="6507" spans="2:5" x14ac:dyDescent="0.2">
      <c r="B6507" s="533">
        <v>7906</v>
      </c>
      <c r="C6507" s="533" t="s">
        <v>6272</v>
      </c>
      <c r="D6507" s="656" t="s">
        <v>454</v>
      </c>
      <c r="E6507" s="534">
        <v>1321.4250179999999</v>
      </c>
    </row>
    <row r="6508" spans="2:5" x14ac:dyDescent="0.2">
      <c r="B6508" s="533">
        <v>7907</v>
      </c>
      <c r="C6508" s="533" t="s">
        <v>6246</v>
      </c>
      <c r="D6508" s="656" t="s">
        <v>454</v>
      </c>
      <c r="E6508" s="534">
        <v>1270.7714410000001</v>
      </c>
    </row>
    <row r="6509" spans="2:5" x14ac:dyDescent="0.2">
      <c r="B6509" s="533">
        <v>7908</v>
      </c>
      <c r="C6509" s="533" t="s">
        <v>6311</v>
      </c>
      <c r="D6509" s="656" t="s">
        <v>454</v>
      </c>
      <c r="E6509" s="534">
        <v>1421.0384710000001</v>
      </c>
    </row>
    <row r="6510" spans="2:5" x14ac:dyDescent="0.2">
      <c r="B6510" s="533">
        <v>7909</v>
      </c>
      <c r="C6510" s="533" t="s">
        <v>6338</v>
      </c>
      <c r="D6510" s="656" t="s">
        <v>454</v>
      </c>
      <c r="E6510" s="534">
        <v>1509.347039</v>
      </c>
    </row>
    <row r="6511" spans="2:5" x14ac:dyDescent="0.2">
      <c r="B6511" s="533">
        <v>7910</v>
      </c>
      <c r="C6511" s="533" t="s">
        <v>6331</v>
      </c>
      <c r="D6511" s="656" t="s">
        <v>454</v>
      </c>
      <c r="E6511" s="534">
        <v>1482.4055510000001</v>
      </c>
    </row>
    <row r="6512" spans="2:5" x14ac:dyDescent="0.2">
      <c r="B6512" s="533">
        <v>7911</v>
      </c>
      <c r="C6512" s="533" t="s">
        <v>6395</v>
      </c>
      <c r="D6512" s="656" t="s">
        <v>454</v>
      </c>
      <c r="E6512" s="534">
        <v>1676.1068230000001</v>
      </c>
    </row>
    <row r="6513" spans="2:5" x14ac:dyDescent="0.2">
      <c r="B6513" s="533">
        <v>7912</v>
      </c>
      <c r="C6513" s="533" t="s">
        <v>6218</v>
      </c>
      <c r="D6513" s="656" t="s">
        <v>454</v>
      </c>
      <c r="E6513" s="534">
        <v>1228.43335</v>
      </c>
    </row>
    <row r="6514" spans="2:5" x14ac:dyDescent="0.2">
      <c r="B6514" s="533">
        <v>7913</v>
      </c>
      <c r="C6514" s="533" t="s">
        <v>6213</v>
      </c>
      <c r="D6514" s="656" t="s">
        <v>454</v>
      </c>
      <c r="E6514" s="534">
        <v>1224.9571530000001</v>
      </c>
    </row>
    <row r="6515" spans="2:5" x14ac:dyDescent="0.2">
      <c r="B6515" s="533">
        <v>7914</v>
      </c>
      <c r="C6515" s="533" t="s">
        <v>7582</v>
      </c>
      <c r="D6515" s="656" t="s">
        <v>454</v>
      </c>
      <c r="E6515" s="534">
        <v>1295.6428659999999</v>
      </c>
    </row>
    <row r="6516" spans="2:5" x14ac:dyDescent="0.2">
      <c r="B6516" s="533">
        <v>7915</v>
      </c>
      <c r="C6516" s="533" t="s">
        <v>6708</v>
      </c>
      <c r="D6516" s="656" t="s">
        <v>454</v>
      </c>
      <c r="E6516" s="534">
        <v>1255.600003</v>
      </c>
    </row>
    <row r="6517" spans="2:5" x14ac:dyDescent="0.2">
      <c r="B6517" s="533">
        <v>7916</v>
      </c>
      <c r="C6517" s="533" t="s">
        <v>6347</v>
      </c>
      <c r="D6517" s="656" t="s">
        <v>454</v>
      </c>
      <c r="E6517" s="534">
        <v>1537.1742919999999</v>
      </c>
    </row>
    <row r="6518" spans="2:5" x14ac:dyDescent="0.2">
      <c r="B6518" s="533">
        <v>7917</v>
      </c>
      <c r="C6518" s="533" t="s">
        <v>6377</v>
      </c>
      <c r="D6518" s="656" t="s">
        <v>454</v>
      </c>
      <c r="E6518" s="534">
        <v>1624.2847449999999</v>
      </c>
    </row>
    <row r="6519" spans="2:5" x14ac:dyDescent="0.2">
      <c r="B6519" s="533">
        <v>7918</v>
      </c>
      <c r="C6519" s="533" t="s">
        <v>6376</v>
      </c>
      <c r="D6519" s="656" t="s">
        <v>454</v>
      </c>
      <c r="E6519" s="534">
        <v>1610.0095229999999</v>
      </c>
    </row>
    <row r="6520" spans="2:5" x14ac:dyDescent="0.2">
      <c r="B6520" s="533">
        <v>7919</v>
      </c>
      <c r="C6520" s="533" t="s">
        <v>6258</v>
      </c>
      <c r="D6520" s="656" t="s">
        <v>454</v>
      </c>
      <c r="E6520" s="534">
        <v>1287.5</v>
      </c>
    </row>
    <row r="6521" spans="2:5" x14ac:dyDescent="0.2">
      <c r="B6521" s="533">
        <v>7920</v>
      </c>
      <c r="C6521" s="533" t="s">
        <v>5740</v>
      </c>
      <c r="D6521" s="656" t="s">
        <v>454</v>
      </c>
      <c r="E6521" s="534">
        <v>952.94998199999998</v>
      </c>
    </row>
    <row r="6522" spans="2:5" x14ac:dyDescent="0.2">
      <c r="B6522" s="533">
        <v>7921</v>
      </c>
      <c r="C6522" s="533" t="s">
        <v>6150</v>
      </c>
      <c r="D6522" s="656" t="s">
        <v>454</v>
      </c>
      <c r="E6522" s="534">
        <v>1158.200012</v>
      </c>
    </row>
    <row r="6523" spans="2:5" x14ac:dyDescent="0.2">
      <c r="B6523" s="533">
        <v>7931</v>
      </c>
      <c r="C6523" s="533" t="s">
        <v>6051</v>
      </c>
      <c r="D6523" s="656" t="s">
        <v>2829</v>
      </c>
      <c r="E6523" s="534">
        <v>1086</v>
      </c>
    </row>
    <row r="6524" spans="2:5" x14ac:dyDescent="0.2">
      <c r="B6524" s="533">
        <v>7932</v>
      </c>
      <c r="C6524" s="533" t="s">
        <v>6125</v>
      </c>
      <c r="D6524" s="656" t="s">
        <v>2829</v>
      </c>
      <c r="E6524" s="534">
        <v>1146.6499630000001</v>
      </c>
    </row>
    <row r="6525" spans="2:5" x14ac:dyDescent="0.2">
      <c r="B6525" s="533">
        <v>7933</v>
      </c>
      <c r="C6525" s="533" t="s">
        <v>6131</v>
      </c>
      <c r="D6525" s="656" t="s">
        <v>2829</v>
      </c>
      <c r="E6525" s="534">
        <v>1149.866659</v>
      </c>
    </row>
    <row r="6526" spans="2:5" x14ac:dyDescent="0.2">
      <c r="B6526" s="533">
        <v>7934</v>
      </c>
      <c r="C6526" s="533" t="s">
        <v>6186</v>
      </c>
      <c r="D6526" s="656" t="s">
        <v>2829</v>
      </c>
      <c r="E6526" s="534">
        <v>1192.9250179999999</v>
      </c>
    </row>
    <row r="6527" spans="2:5" x14ac:dyDescent="0.2">
      <c r="B6527" s="533">
        <v>7935</v>
      </c>
      <c r="C6527" s="533" t="s">
        <v>6194</v>
      </c>
      <c r="D6527" s="656" t="s">
        <v>2829</v>
      </c>
      <c r="E6527" s="534">
        <v>1201.5199950000001</v>
      </c>
    </row>
    <row r="6528" spans="2:5" x14ac:dyDescent="0.2">
      <c r="B6528" s="533">
        <v>7936</v>
      </c>
      <c r="C6528" s="533" t="s">
        <v>6257</v>
      </c>
      <c r="D6528" s="656" t="s">
        <v>2829</v>
      </c>
      <c r="E6528" s="534">
        <v>1285.4499880000001</v>
      </c>
    </row>
    <row r="6529" spans="2:5" x14ac:dyDescent="0.2">
      <c r="B6529" s="533">
        <v>7937</v>
      </c>
      <c r="C6529" s="533" t="s">
        <v>6229</v>
      </c>
      <c r="D6529" s="656" t="s">
        <v>2829</v>
      </c>
      <c r="E6529" s="534">
        <v>1234.174988</v>
      </c>
    </row>
    <row r="6530" spans="2:5" x14ac:dyDescent="0.2">
      <c r="B6530" s="533">
        <v>7938</v>
      </c>
      <c r="C6530" s="533" t="s">
        <v>6267</v>
      </c>
      <c r="D6530" s="656" t="s">
        <v>2829</v>
      </c>
      <c r="E6530" s="534">
        <v>1302.599976</v>
      </c>
    </row>
    <row r="6531" spans="2:5" x14ac:dyDescent="0.2">
      <c r="B6531" s="533">
        <v>7939</v>
      </c>
      <c r="C6531" s="533" t="s">
        <v>6290</v>
      </c>
      <c r="D6531" s="656" t="s">
        <v>2829</v>
      </c>
      <c r="E6531" s="534">
        <v>1351.7571499999999</v>
      </c>
    </row>
    <row r="6532" spans="2:5" x14ac:dyDescent="0.2">
      <c r="B6532" s="533">
        <v>7940</v>
      </c>
      <c r="C6532" s="533" t="s">
        <v>452</v>
      </c>
      <c r="D6532" s="656" t="s">
        <v>2829</v>
      </c>
      <c r="E6532" s="534">
        <v>1291.1999510000001</v>
      </c>
    </row>
    <row r="6533" spans="2:5" x14ac:dyDescent="0.2">
      <c r="B6533" s="533">
        <v>7941</v>
      </c>
      <c r="C6533" s="533" t="s">
        <v>7581</v>
      </c>
      <c r="D6533" s="656" t="s">
        <v>2829</v>
      </c>
      <c r="E6533" s="534">
        <v>1386.088894</v>
      </c>
    </row>
    <row r="6534" spans="2:5" x14ac:dyDescent="0.2">
      <c r="B6534" s="533">
        <v>7942</v>
      </c>
      <c r="C6534" s="533" t="s">
        <v>6569</v>
      </c>
      <c r="D6534" s="656" t="s">
        <v>2829</v>
      </c>
      <c r="E6534" s="534">
        <v>1392.749969</v>
      </c>
    </row>
    <row r="6535" spans="2:5" x14ac:dyDescent="0.2">
      <c r="B6535" s="533">
        <v>7943</v>
      </c>
      <c r="C6535" s="533" t="s">
        <v>6309</v>
      </c>
      <c r="D6535" s="656" t="s">
        <v>2829</v>
      </c>
      <c r="E6535" s="534">
        <v>1418.133341</v>
      </c>
    </row>
    <row r="6536" spans="2:5" x14ac:dyDescent="0.2">
      <c r="B6536" s="533">
        <v>7944</v>
      </c>
      <c r="C6536" s="533" t="s">
        <v>6332</v>
      </c>
      <c r="D6536" s="656" t="s">
        <v>2829</v>
      </c>
      <c r="E6536" s="534">
        <v>1491.3374940000001</v>
      </c>
    </row>
    <row r="6537" spans="2:5" x14ac:dyDescent="0.2">
      <c r="B6537" s="533">
        <v>7945</v>
      </c>
      <c r="C6537" s="533" t="s">
        <v>6302</v>
      </c>
      <c r="D6537" s="656" t="s">
        <v>2829</v>
      </c>
      <c r="E6537" s="534">
        <v>1389.878557</v>
      </c>
    </row>
    <row r="6538" spans="2:5" x14ac:dyDescent="0.2">
      <c r="B6538" s="533">
        <v>7946</v>
      </c>
      <c r="C6538" s="533" t="s">
        <v>6326</v>
      </c>
      <c r="D6538" s="656" t="s">
        <v>2829</v>
      </c>
      <c r="E6538" s="534">
        <v>1466.4052730000001</v>
      </c>
    </row>
    <row r="6539" spans="2:5" x14ac:dyDescent="0.2">
      <c r="B6539" s="533">
        <v>7947</v>
      </c>
      <c r="C6539" s="533" t="s">
        <v>6300</v>
      </c>
      <c r="D6539" s="656" t="s">
        <v>2829</v>
      </c>
      <c r="E6539" s="534">
        <v>1386.9636230000001</v>
      </c>
    </row>
    <row r="6540" spans="2:5" x14ac:dyDescent="0.2">
      <c r="B6540" s="533">
        <v>7948</v>
      </c>
      <c r="C6540" s="533" t="s">
        <v>6322</v>
      </c>
      <c r="D6540" s="656" t="s">
        <v>2829</v>
      </c>
      <c r="E6540" s="534">
        <v>1450.211114</v>
      </c>
    </row>
    <row r="6541" spans="2:5" x14ac:dyDescent="0.2">
      <c r="B6541" s="533">
        <v>7949</v>
      </c>
      <c r="C6541" s="533" t="s">
        <v>6358</v>
      </c>
      <c r="D6541" s="656" t="s">
        <v>2829</v>
      </c>
      <c r="E6541" s="534">
        <v>1560.7909099999999</v>
      </c>
    </row>
    <row r="6542" spans="2:5" x14ac:dyDescent="0.2">
      <c r="B6542" s="533">
        <v>7950</v>
      </c>
      <c r="C6542" s="533" t="s">
        <v>6406</v>
      </c>
      <c r="D6542" s="656" t="s">
        <v>2829</v>
      </c>
      <c r="E6542" s="534">
        <v>1717.9526430000001</v>
      </c>
    </row>
    <row r="6543" spans="2:5" x14ac:dyDescent="0.2">
      <c r="B6543" s="533">
        <v>7951</v>
      </c>
      <c r="C6543" s="533" t="s">
        <v>6373</v>
      </c>
      <c r="D6543" s="656" t="s">
        <v>2829</v>
      </c>
      <c r="E6543" s="534">
        <v>1600.100003</v>
      </c>
    </row>
    <row r="6544" spans="2:5" x14ac:dyDescent="0.2">
      <c r="B6544" s="533">
        <v>7952</v>
      </c>
      <c r="C6544" s="533" t="s">
        <v>7124</v>
      </c>
      <c r="D6544" s="656" t="s">
        <v>2829</v>
      </c>
      <c r="E6544" s="534">
        <v>1683.1999880000001</v>
      </c>
    </row>
    <row r="6545" spans="2:5" x14ac:dyDescent="0.2">
      <c r="B6545" s="533">
        <v>7953</v>
      </c>
      <c r="C6545" s="533" t="s">
        <v>7379</v>
      </c>
      <c r="D6545" s="656" t="s">
        <v>2829</v>
      </c>
      <c r="E6545" s="534">
        <v>1564.1461650000001</v>
      </c>
    </row>
    <row r="6546" spans="2:5" x14ac:dyDescent="0.2">
      <c r="B6546" s="533">
        <v>7954</v>
      </c>
      <c r="C6546" s="533" t="s">
        <v>6357</v>
      </c>
      <c r="D6546" s="656" t="s">
        <v>2829</v>
      </c>
      <c r="E6546" s="534">
        <v>1555.7466879999999</v>
      </c>
    </row>
    <row r="6547" spans="2:5" x14ac:dyDescent="0.2">
      <c r="B6547" s="533">
        <v>7955</v>
      </c>
      <c r="C6547" s="533" t="s">
        <v>7143</v>
      </c>
      <c r="D6547" s="656" t="s">
        <v>2829</v>
      </c>
      <c r="E6547" s="534">
        <v>1591.1889040000001</v>
      </c>
    </row>
    <row r="6548" spans="2:5" x14ac:dyDescent="0.2">
      <c r="B6548" s="533">
        <v>7956</v>
      </c>
      <c r="C6548" s="533" t="s">
        <v>6688</v>
      </c>
      <c r="D6548" s="656" t="s">
        <v>2829</v>
      </c>
      <c r="E6548" s="534">
        <v>1626.371416</v>
      </c>
    </row>
    <row r="6549" spans="2:5" x14ac:dyDescent="0.2">
      <c r="B6549" s="533">
        <v>7957</v>
      </c>
      <c r="C6549" s="533" t="s">
        <v>6402</v>
      </c>
      <c r="D6549" s="656" t="s">
        <v>2829</v>
      </c>
      <c r="E6549" s="534">
        <v>1706.2111</v>
      </c>
    </row>
    <row r="6550" spans="2:5" x14ac:dyDescent="0.2">
      <c r="B6550" s="533">
        <v>7958</v>
      </c>
      <c r="C6550" s="533" t="s">
        <v>6409</v>
      </c>
      <c r="D6550" s="656" t="s">
        <v>2829</v>
      </c>
      <c r="E6550" s="534">
        <v>1741.8249969999999</v>
      </c>
    </row>
    <row r="6551" spans="2:5" x14ac:dyDescent="0.2">
      <c r="B6551" s="533">
        <v>7959</v>
      </c>
      <c r="C6551" s="533" t="s">
        <v>6418</v>
      </c>
      <c r="D6551" s="656" t="s">
        <v>2829</v>
      </c>
      <c r="E6551" s="534">
        <v>1805.4714269999999</v>
      </c>
    </row>
    <row r="6552" spans="2:5" x14ac:dyDescent="0.2">
      <c r="B6552" s="533">
        <v>7960</v>
      </c>
      <c r="C6552" s="533" t="s">
        <v>6389</v>
      </c>
      <c r="D6552" s="656" t="s">
        <v>2829</v>
      </c>
      <c r="E6552" s="534">
        <v>1650.880005</v>
      </c>
    </row>
    <row r="6553" spans="2:5" x14ac:dyDescent="0.2">
      <c r="B6553" s="533">
        <v>7961</v>
      </c>
      <c r="C6553" s="533" t="s">
        <v>7571</v>
      </c>
      <c r="D6553" s="656" t="s">
        <v>2829</v>
      </c>
      <c r="E6553" s="534">
        <v>1657.6000160000001</v>
      </c>
    </row>
    <row r="6554" spans="2:5" x14ac:dyDescent="0.2">
      <c r="B6554" s="533">
        <v>7962</v>
      </c>
      <c r="C6554" s="533" t="s">
        <v>6404</v>
      </c>
      <c r="D6554" s="656" t="s">
        <v>2829</v>
      </c>
      <c r="E6554" s="534">
        <v>1709.735991</v>
      </c>
    </row>
    <row r="6555" spans="2:5" x14ac:dyDescent="0.2">
      <c r="B6555" s="533">
        <v>7963</v>
      </c>
      <c r="C6555" s="533" t="s">
        <v>6420</v>
      </c>
      <c r="D6555" s="656" t="s">
        <v>2829</v>
      </c>
      <c r="E6555" s="534">
        <v>1816.7153880000001</v>
      </c>
    </row>
    <row r="6556" spans="2:5" x14ac:dyDescent="0.2">
      <c r="B6556" s="533">
        <v>7964</v>
      </c>
      <c r="C6556" s="533" t="s">
        <v>6431</v>
      </c>
      <c r="D6556" s="656" t="s">
        <v>459</v>
      </c>
      <c r="E6556" s="534">
        <v>1892.299996</v>
      </c>
    </row>
    <row r="6557" spans="2:5" x14ac:dyDescent="0.2">
      <c r="B6557" s="533">
        <v>7965</v>
      </c>
      <c r="C6557" s="533" t="s">
        <v>6463</v>
      </c>
      <c r="D6557" s="656" t="s">
        <v>459</v>
      </c>
      <c r="E6557" s="534">
        <v>2164.3016029999999</v>
      </c>
    </row>
    <row r="6558" spans="2:5" x14ac:dyDescent="0.2">
      <c r="B6558" s="533">
        <v>7966</v>
      </c>
      <c r="C6558" s="533" t="s">
        <v>6436</v>
      </c>
      <c r="D6558" s="656" t="s">
        <v>459</v>
      </c>
      <c r="E6558" s="534">
        <v>1924.6190529999999</v>
      </c>
    </row>
    <row r="6559" spans="2:5" x14ac:dyDescent="0.2">
      <c r="B6559" s="533">
        <v>7967</v>
      </c>
      <c r="C6559" s="533" t="s">
        <v>6433</v>
      </c>
      <c r="D6559" s="656" t="s">
        <v>459</v>
      </c>
      <c r="E6559" s="534">
        <v>1896.9576930000001</v>
      </c>
    </row>
    <row r="6560" spans="2:5" x14ac:dyDescent="0.2">
      <c r="B6560" s="533">
        <v>7968</v>
      </c>
      <c r="C6560" s="533" t="s">
        <v>6422</v>
      </c>
      <c r="D6560" s="656" t="s">
        <v>459</v>
      </c>
      <c r="E6560" s="534">
        <v>1829.9222139999999</v>
      </c>
    </row>
    <row r="6561" spans="2:5" x14ac:dyDescent="0.2">
      <c r="B6561" s="533">
        <v>7969</v>
      </c>
      <c r="C6561" s="533" t="s">
        <v>6407</v>
      </c>
      <c r="D6561" s="656" t="s">
        <v>459</v>
      </c>
      <c r="E6561" s="534">
        <v>1722.763639</v>
      </c>
    </row>
    <row r="6562" spans="2:5" x14ac:dyDescent="0.2">
      <c r="B6562" s="533">
        <v>7970</v>
      </c>
      <c r="C6562" s="533" t="s">
        <v>6370</v>
      </c>
      <c r="D6562" s="656" t="s">
        <v>459</v>
      </c>
      <c r="E6562" s="534">
        <v>1591.4666749999999</v>
      </c>
    </row>
    <row r="6563" spans="2:5" x14ac:dyDescent="0.2">
      <c r="B6563" s="533">
        <v>7971</v>
      </c>
      <c r="C6563" s="533" t="s">
        <v>6329</v>
      </c>
      <c r="D6563" s="656" t="s">
        <v>459</v>
      </c>
      <c r="E6563" s="534">
        <v>1474.619995</v>
      </c>
    </row>
    <row r="6564" spans="2:5" x14ac:dyDescent="0.2">
      <c r="B6564" s="533">
        <v>7972</v>
      </c>
      <c r="C6564" s="533" t="s">
        <v>7472</v>
      </c>
      <c r="D6564" s="656" t="s">
        <v>459</v>
      </c>
      <c r="E6564" s="534">
        <v>1566.458333</v>
      </c>
    </row>
    <row r="6565" spans="2:5" x14ac:dyDescent="0.2">
      <c r="B6565" s="533">
        <v>7973</v>
      </c>
      <c r="C6565" s="533" t="s">
        <v>6598</v>
      </c>
      <c r="D6565" s="656" t="s">
        <v>459</v>
      </c>
      <c r="E6565" s="534">
        <v>1823.420832</v>
      </c>
    </row>
    <row r="6566" spans="2:5" x14ac:dyDescent="0.2">
      <c r="B6566" s="533">
        <v>7974</v>
      </c>
      <c r="C6566" s="533" t="s">
        <v>6472</v>
      </c>
      <c r="D6566" s="656" t="s">
        <v>459</v>
      </c>
      <c r="E6566" s="534">
        <v>2061.2090790000002</v>
      </c>
    </row>
    <row r="6567" spans="2:5" x14ac:dyDescent="0.2">
      <c r="B6567" s="533">
        <v>7975</v>
      </c>
      <c r="C6567" s="533" t="s">
        <v>6339</v>
      </c>
      <c r="D6567" s="656" t="s">
        <v>459</v>
      </c>
      <c r="E6567" s="534">
        <v>1515.0714370000001</v>
      </c>
    </row>
    <row r="6568" spans="2:5" x14ac:dyDescent="0.2">
      <c r="B6568" s="533">
        <v>7976</v>
      </c>
      <c r="C6568" s="533" t="s">
        <v>6345</v>
      </c>
      <c r="D6568" s="656" t="s">
        <v>459</v>
      </c>
      <c r="E6568" s="534">
        <v>1527.8000019999999</v>
      </c>
    </row>
    <row r="6569" spans="2:5" x14ac:dyDescent="0.2">
      <c r="B6569" s="533">
        <v>7977</v>
      </c>
      <c r="C6569" s="533" t="s">
        <v>6400</v>
      </c>
      <c r="D6569" s="656" t="s">
        <v>459</v>
      </c>
      <c r="E6569" s="534">
        <v>1699.176471</v>
      </c>
    </row>
    <row r="6570" spans="2:5" x14ac:dyDescent="0.2">
      <c r="B6570" s="533">
        <v>7978</v>
      </c>
      <c r="C6570" s="533" t="s">
        <v>6465</v>
      </c>
      <c r="D6570" s="656" t="s">
        <v>459</v>
      </c>
      <c r="E6570" s="534">
        <v>1718.199989</v>
      </c>
    </row>
    <row r="6571" spans="2:5" x14ac:dyDescent="0.2">
      <c r="B6571" s="533">
        <v>7979</v>
      </c>
      <c r="C6571" s="533" t="s">
        <v>6427</v>
      </c>
      <c r="D6571" s="656" t="s">
        <v>459</v>
      </c>
      <c r="E6571" s="534">
        <v>1867.5571460000001</v>
      </c>
    </row>
    <row r="6572" spans="2:5" x14ac:dyDescent="0.2">
      <c r="B6572" s="533">
        <v>7980</v>
      </c>
      <c r="C6572" s="533" t="s">
        <v>6449</v>
      </c>
      <c r="D6572" s="656" t="s">
        <v>459</v>
      </c>
      <c r="E6572" s="534">
        <v>2070.2795489999999</v>
      </c>
    </row>
    <row r="6573" spans="2:5" x14ac:dyDescent="0.2">
      <c r="B6573" s="533">
        <v>7981</v>
      </c>
      <c r="C6573" s="533" t="s">
        <v>6397</v>
      </c>
      <c r="D6573" s="656" t="s">
        <v>459</v>
      </c>
      <c r="E6573" s="534">
        <v>1685.7709689999999</v>
      </c>
    </row>
    <row r="6574" spans="2:5" x14ac:dyDescent="0.2">
      <c r="B6574" s="533">
        <v>7982</v>
      </c>
      <c r="C6574" s="533" t="s">
        <v>6464</v>
      </c>
      <c r="D6574" s="656" t="s">
        <v>459</v>
      </c>
      <c r="E6574" s="534">
        <v>1678.4615200000001</v>
      </c>
    </row>
    <row r="6575" spans="2:5" x14ac:dyDescent="0.2">
      <c r="B6575" s="533">
        <v>7983</v>
      </c>
      <c r="C6575" s="533" t="s">
        <v>6403</v>
      </c>
      <c r="D6575" s="656" t="s">
        <v>459</v>
      </c>
      <c r="E6575" s="534">
        <v>1708.7199949999999</v>
      </c>
    </row>
    <row r="6576" spans="2:5" x14ac:dyDescent="0.2">
      <c r="B6576" s="533">
        <v>7984</v>
      </c>
      <c r="C6576" s="533" t="s">
        <v>6437</v>
      </c>
      <c r="D6576" s="656" t="s">
        <v>459</v>
      </c>
      <c r="E6576" s="534">
        <v>1927.1380959999999</v>
      </c>
    </row>
    <row r="6577" spans="2:5" x14ac:dyDescent="0.2">
      <c r="B6577" s="533">
        <v>7985</v>
      </c>
      <c r="C6577" s="533" t="s">
        <v>6459</v>
      </c>
      <c r="D6577" s="656" t="s">
        <v>459</v>
      </c>
      <c r="E6577" s="534">
        <v>2290.4523749999998</v>
      </c>
    </row>
    <row r="6578" spans="2:5" x14ac:dyDescent="0.2">
      <c r="B6578" s="533">
        <v>7986</v>
      </c>
      <c r="C6578" s="533" t="s">
        <v>6452</v>
      </c>
      <c r="D6578" s="656" t="s">
        <v>459</v>
      </c>
      <c r="E6578" s="534">
        <v>2104.745809</v>
      </c>
    </row>
    <row r="6579" spans="2:5" x14ac:dyDescent="0.2">
      <c r="B6579" s="533">
        <v>7987</v>
      </c>
      <c r="C6579" s="533" t="s">
        <v>6722</v>
      </c>
      <c r="D6579" s="656" t="s">
        <v>459</v>
      </c>
      <c r="E6579" s="534">
        <v>1512.4900270000001</v>
      </c>
    </row>
    <row r="6580" spans="2:5" x14ac:dyDescent="0.2">
      <c r="B6580" s="533">
        <v>7988</v>
      </c>
      <c r="C6580" s="533" t="s">
        <v>7424</v>
      </c>
      <c r="D6580" s="656" t="s">
        <v>459</v>
      </c>
      <c r="E6580" s="534">
        <v>1940.357143</v>
      </c>
    </row>
    <row r="6581" spans="2:5" x14ac:dyDescent="0.2">
      <c r="B6581" s="533">
        <v>7989</v>
      </c>
      <c r="C6581" s="533" t="s">
        <v>6458</v>
      </c>
      <c r="D6581" s="656" t="s">
        <v>459</v>
      </c>
      <c r="E6581" s="534">
        <v>2280.0069749999998</v>
      </c>
    </row>
    <row r="6582" spans="2:5" x14ac:dyDescent="0.2">
      <c r="B6582" s="533">
        <v>7990</v>
      </c>
      <c r="C6582" s="533" t="s">
        <v>6457</v>
      </c>
      <c r="D6582" s="656" t="s">
        <v>459</v>
      </c>
      <c r="E6582" s="534">
        <v>2161.8018269999998</v>
      </c>
    </row>
    <row r="6583" spans="2:5" x14ac:dyDescent="0.2">
      <c r="B6583" s="533">
        <v>7991</v>
      </c>
      <c r="C6583" s="533" t="s">
        <v>6454</v>
      </c>
      <c r="D6583" s="656" t="s">
        <v>459</v>
      </c>
      <c r="E6583" s="534">
        <v>2118.953485</v>
      </c>
    </row>
    <row r="6584" spans="2:5" x14ac:dyDescent="0.2">
      <c r="B6584" s="533">
        <v>7992</v>
      </c>
      <c r="C6584" s="533" t="s">
        <v>6408</v>
      </c>
      <c r="D6584" s="656" t="s">
        <v>459</v>
      </c>
      <c r="E6584" s="534">
        <v>1735.2166749999999</v>
      </c>
    </row>
    <row r="6585" spans="2:5" x14ac:dyDescent="0.2">
      <c r="B6585" s="533">
        <v>7993</v>
      </c>
      <c r="C6585" s="533" t="s">
        <v>6387</v>
      </c>
      <c r="D6585" s="656" t="s">
        <v>459</v>
      </c>
      <c r="E6585" s="534">
        <v>1648.233358</v>
      </c>
    </row>
    <row r="6586" spans="2:5" x14ac:dyDescent="0.2">
      <c r="B6586" s="533">
        <v>8001</v>
      </c>
      <c r="C6586" s="533" t="s">
        <v>1996</v>
      </c>
      <c r="D6586" s="656" t="s">
        <v>372</v>
      </c>
      <c r="E6586" s="534">
        <v>684.19999700000005</v>
      </c>
    </row>
    <row r="6587" spans="2:5" x14ac:dyDescent="0.2">
      <c r="B6587" s="533">
        <v>8002</v>
      </c>
      <c r="C6587" s="533" t="s">
        <v>1904</v>
      </c>
      <c r="D6587" s="656" t="s">
        <v>372</v>
      </c>
      <c r="E6587" s="534">
        <v>640.49166400000001</v>
      </c>
    </row>
    <row r="6588" spans="2:5" x14ac:dyDescent="0.2">
      <c r="B6588" s="533">
        <v>8003</v>
      </c>
      <c r="C6588" s="533" t="s">
        <v>1589</v>
      </c>
      <c r="D6588" s="656" t="s">
        <v>372</v>
      </c>
      <c r="E6588" s="534">
        <v>652.16666699999996</v>
      </c>
    </row>
    <row r="6589" spans="2:5" x14ac:dyDescent="0.2">
      <c r="B6589" s="533">
        <v>8004</v>
      </c>
      <c r="C6589" s="533" t="s">
        <v>1757</v>
      </c>
      <c r="D6589" s="656" t="s">
        <v>372</v>
      </c>
      <c r="E6589" s="534">
        <v>634.81999499999995</v>
      </c>
    </row>
    <row r="6590" spans="2:5" x14ac:dyDescent="0.2">
      <c r="B6590" s="533">
        <v>8005</v>
      </c>
      <c r="C6590" s="533" t="s">
        <v>2177</v>
      </c>
      <c r="D6590" s="656" t="s">
        <v>372</v>
      </c>
      <c r="E6590" s="534">
        <v>652.30000299999995</v>
      </c>
    </row>
    <row r="6591" spans="2:5" x14ac:dyDescent="0.2">
      <c r="B6591" s="533">
        <v>8006</v>
      </c>
      <c r="C6591" s="533" t="s">
        <v>1994</v>
      </c>
      <c r="D6591" s="656" t="s">
        <v>372</v>
      </c>
      <c r="E6591" s="534">
        <v>643.38332600000001</v>
      </c>
    </row>
    <row r="6592" spans="2:5" x14ac:dyDescent="0.2">
      <c r="B6592" s="533">
        <v>8007</v>
      </c>
      <c r="C6592" s="533" t="s">
        <v>2631</v>
      </c>
      <c r="D6592" s="656" t="s">
        <v>372</v>
      </c>
      <c r="E6592" s="534">
        <v>673.42857100000003</v>
      </c>
    </row>
    <row r="6593" spans="2:5" x14ac:dyDescent="0.2">
      <c r="B6593" s="533">
        <v>8008</v>
      </c>
      <c r="C6593" s="533" t="s">
        <v>2984</v>
      </c>
      <c r="D6593" s="656" t="s">
        <v>372</v>
      </c>
      <c r="E6593" s="534">
        <v>690.28000499999996</v>
      </c>
    </row>
    <row r="6594" spans="2:5" x14ac:dyDescent="0.2">
      <c r="B6594" s="533">
        <v>8009</v>
      </c>
      <c r="C6594" s="533" t="s">
        <v>1756</v>
      </c>
      <c r="D6594" s="656" t="s">
        <v>372</v>
      </c>
      <c r="E6594" s="534">
        <v>655.58334400000001</v>
      </c>
    </row>
    <row r="6595" spans="2:5" x14ac:dyDescent="0.2">
      <c r="B6595" s="533">
        <v>8010</v>
      </c>
      <c r="C6595" s="533" t="s">
        <v>1674</v>
      </c>
      <c r="D6595" s="656" t="s">
        <v>372</v>
      </c>
      <c r="E6595" s="534">
        <v>631.43332899999996</v>
      </c>
    </row>
    <row r="6596" spans="2:5" x14ac:dyDescent="0.2">
      <c r="B6596" s="533">
        <v>8011</v>
      </c>
      <c r="C6596" s="533" t="s">
        <v>2208</v>
      </c>
      <c r="D6596" s="656" t="s">
        <v>372</v>
      </c>
      <c r="E6596" s="534">
        <v>653.75</v>
      </c>
    </row>
    <row r="6597" spans="2:5" x14ac:dyDescent="0.2">
      <c r="B6597" s="533">
        <v>8012</v>
      </c>
      <c r="C6597" s="533" t="s">
        <v>2315</v>
      </c>
      <c r="D6597" s="656" t="s">
        <v>372</v>
      </c>
      <c r="E6597" s="534">
        <v>658.65999799999997</v>
      </c>
    </row>
    <row r="6598" spans="2:5" x14ac:dyDescent="0.2">
      <c r="B6598" s="533">
        <v>8013</v>
      </c>
      <c r="C6598" s="533" t="s">
        <v>2526</v>
      </c>
      <c r="D6598" s="656" t="s">
        <v>372</v>
      </c>
      <c r="E6598" s="534">
        <v>667.97999900000002</v>
      </c>
    </row>
    <row r="6599" spans="2:5" x14ac:dyDescent="0.2">
      <c r="B6599" s="533">
        <v>8014</v>
      </c>
      <c r="C6599" s="533" t="s">
        <v>2223</v>
      </c>
      <c r="D6599" s="656" t="s">
        <v>372</v>
      </c>
      <c r="E6599" s="534">
        <v>654.54999799999996</v>
      </c>
    </row>
    <row r="6600" spans="2:5" x14ac:dyDescent="0.2">
      <c r="B6600" s="533">
        <v>8015</v>
      </c>
      <c r="C6600" s="533" t="s">
        <v>2324</v>
      </c>
      <c r="D6600" s="656" t="s">
        <v>372</v>
      </c>
      <c r="E6600" s="534">
        <v>658.98749499999997</v>
      </c>
    </row>
    <row r="6601" spans="2:5" x14ac:dyDescent="0.2">
      <c r="B6601" s="533">
        <v>8016</v>
      </c>
      <c r="C6601" s="533" t="s">
        <v>2982</v>
      </c>
      <c r="D6601" s="656" t="s">
        <v>372</v>
      </c>
      <c r="E6601" s="534">
        <v>690.24999000000003</v>
      </c>
    </row>
    <row r="6602" spans="2:5" x14ac:dyDescent="0.2">
      <c r="B6602" s="533">
        <v>8017</v>
      </c>
      <c r="C6602" s="533" t="s">
        <v>2228</v>
      </c>
      <c r="D6602" s="656" t="s">
        <v>372</v>
      </c>
      <c r="E6602" s="534">
        <v>654.65000899999995</v>
      </c>
    </row>
    <row r="6603" spans="2:5" x14ac:dyDescent="0.2">
      <c r="B6603" s="533">
        <v>8018</v>
      </c>
      <c r="C6603" s="533" t="s">
        <v>2807</v>
      </c>
      <c r="D6603" s="656" t="s">
        <v>372</v>
      </c>
      <c r="E6603" s="534">
        <v>681.90000399999997</v>
      </c>
    </row>
    <row r="6604" spans="2:5" x14ac:dyDescent="0.2">
      <c r="B6604" s="533">
        <v>8020</v>
      </c>
      <c r="C6604" s="533" t="s">
        <v>1878</v>
      </c>
      <c r="D6604" s="656" t="s">
        <v>372</v>
      </c>
      <c r="E6604" s="534">
        <v>639.43572600000005</v>
      </c>
    </row>
    <row r="6605" spans="2:5" x14ac:dyDescent="0.2">
      <c r="B6605" s="533">
        <v>8021</v>
      </c>
      <c r="C6605" s="533" t="s">
        <v>2126</v>
      </c>
      <c r="D6605" s="656" t="s">
        <v>372</v>
      </c>
      <c r="E6605" s="534">
        <v>650.13529300000005</v>
      </c>
    </row>
    <row r="6606" spans="2:5" x14ac:dyDescent="0.2">
      <c r="B6606" s="533">
        <v>8022</v>
      </c>
      <c r="C6606" s="533" t="s">
        <v>2135</v>
      </c>
      <c r="D6606" s="656" t="s">
        <v>372</v>
      </c>
      <c r="E6606" s="534">
        <v>650.5625</v>
      </c>
    </row>
    <row r="6607" spans="2:5" x14ac:dyDescent="0.2">
      <c r="B6607" s="533">
        <v>8023</v>
      </c>
      <c r="C6607" s="533" t="s">
        <v>2187</v>
      </c>
      <c r="D6607" s="656" t="s">
        <v>372</v>
      </c>
      <c r="E6607" s="534">
        <v>652.70001200000002</v>
      </c>
    </row>
    <row r="6608" spans="2:5" x14ac:dyDescent="0.2">
      <c r="B6608" s="533">
        <v>8024</v>
      </c>
      <c r="C6608" s="533" t="s">
        <v>1508</v>
      </c>
      <c r="D6608" s="656" t="s">
        <v>372</v>
      </c>
      <c r="E6608" s="534">
        <v>621.52501400000006</v>
      </c>
    </row>
    <row r="6609" spans="2:5" x14ac:dyDescent="0.2">
      <c r="B6609" s="533">
        <v>8025</v>
      </c>
      <c r="C6609" s="533" t="s">
        <v>2013</v>
      </c>
      <c r="D6609" s="656" t="s">
        <v>372</v>
      </c>
      <c r="E6609" s="534">
        <v>643.97499100000005</v>
      </c>
    </row>
    <row r="6610" spans="2:5" x14ac:dyDescent="0.2">
      <c r="B6610" s="533">
        <v>8026</v>
      </c>
      <c r="C6610" s="533" t="s">
        <v>1369</v>
      </c>
      <c r="D6610" s="656" t="s">
        <v>372</v>
      </c>
      <c r="E6610" s="534">
        <v>614.04286400000001</v>
      </c>
    </row>
    <row r="6611" spans="2:5" x14ac:dyDescent="0.2">
      <c r="B6611" s="533">
        <v>8027</v>
      </c>
      <c r="C6611" s="533" t="s">
        <v>1801</v>
      </c>
      <c r="D6611" s="656" t="s">
        <v>372</v>
      </c>
      <c r="E6611" s="534">
        <v>636.48334799999998</v>
      </c>
    </row>
    <row r="6612" spans="2:5" x14ac:dyDescent="0.2">
      <c r="B6612" s="533">
        <v>8028</v>
      </c>
      <c r="C6612" s="533" t="s">
        <v>1212</v>
      </c>
      <c r="D6612" s="656" t="s">
        <v>372</v>
      </c>
      <c r="E6612" s="534">
        <v>605.10416699999996</v>
      </c>
    </row>
    <row r="6613" spans="2:5" x14ac:dyDescent="0.2">
      <c r="B6613" s="533">
        <v>8028</v>
      </c>
      <c r="C6613" s="533" t="s">
        <v>1212</v>
      </c>
      <c r="D6613" s="656" t="s">
        <v>360</v>
      </c>
      <c r="E6613" s="534">
        <v>605.10416699999996</v>
      </c>
    </row>
    <row r="6614" spans="2:5" x14ac:dyDescent="0.2">
      <c r="B6614" s="533">
        <v>8029</v>
      </c>
      <c r="C6614" s="533" t="s">
        <v>2836</v>
      </c>
      <c r="D6614" s="656" t="s">
        <v>372</v>
      </c>
      <c r="E6614" s="534">
        <v>683.82500500000003</v>
      </c>
    </row>
    <row r="6615" spans="2:5" x14ac:dyDescent="0.2">
      <c r="B6615" s="533">
        <v>8030</v>
      </c>
      <c r="C6615" s="533" t="s">
        <v>2299</v>
      </c>
      <c r="D6615" s="656" t="s">
        <v>372</v>
      </c>
      <c r="E6615" s="534">
        <v>657.723074</v>
      </c>
    </row>
    <row r="6616" spans="2:5" x14ac:dyDescent="0.2">
      <c r="B6616" s="533">
        <v>8031</v>
      </c>
      <c r="C6616" s="533" t="s">
        <v>6546</v>
      </c>
      <c r="D6616" s="656" t="s">
        <v>372</v>
      </c>
      <c r="E6616" s="534">
        <v>636.80571799999996</v>
      </c>
    </row>
    <row r="6617" spans="2:5" x14ac:dyDescent="0.2">
      <c r="B6617" s="533">
        <v>8032</v>
      </c>
      <c r="C6617" s="533" t="s">
        <v>2766</v>
      </c>
      <c r="D6617" s="656" t="s">
        <v>372</v>
      </c>
      <c r="E6617" s="534">
        <v>679.52500899999995</v>
      </c>
    </row>
    <row r="6618" spans="2:5" x14ac:dyDescent="0.2">
      <c r="B6618" s="533">
        <v>8033</v>
      </c>
      <c r="C6618" s="533" t="s">
        <v>2824</v>
      </c>
      <c r="D6618" s="656" t="s">
        <v>372</v>
      </c>
      <c r="E6618" s="534">
        <v>683</v>
      </c>
    </row>
    <row r="6619" spans="2:5" x14ac:dyDescent="0.2">
      <c r="B6619" s="533">
        <v>8034</v>
      </c>
      <c r="C6619" s="533" t="s">
        <v>2991</v>
      </c>
      <c r="D6619" s="656" t="s">
        <v>372</v>
      </c>
      <c r="E6619" s="534">
        <v>690.65000399999997</v>
      </c>
    </row>
    <row r="6620" spans="2:5" x14ac:dyDescent="0.2">
      <c r="B6620" s="533">
        <v>8035</v>
      </c>
      <c r="C6620" s="533" t="s">
        <v>7035</v>
      </c>
      <c r="D6620" s="656" t="s">
        <v>372</v>
      </c>
      <c r="E6620" s="534">
        <v>680.5</v>
      </c>
    </row>
    <row r="6621" spans="2:5" x14ac:dyDescent="0.2">
      <c r="B6621" s="533">
        <v>8036</v>
      </c>
      <c r="C6621" s="533" t="s">
        <v>2801</v>
      </c>
      <c r="D6621" s="656" t="s">
        <v>372</v>
      </c>
      <c r="E6621" s="534">
        <v>681.66666699999996</v>
      </c>
    </row>
    <row r="6622" spans="2:5" x14ac:dyDescent="0.2">
      <c r="B6622" s="533">
        <v>8037</v>
      </c>
      <c r="C6622" s="533" t="s">
        <v>2753</v>
      </c>
      <c r="D6622" s="656" t="s">
        <v>372</v>
      </c>
      <c r="E6622" s="534">
        <v>678.82499700000005</v>
      </c>
    </row>
    <row r="6623" spans="2:5" x14ac:dyDescent="0.2">
      <c r="B6623" s="533">
        <v>8038</v>
      </c>
      <c r="C6623" s="533" t="s">
        <v>2290</v>
      </c>
      <c r="D6623" s="656" t="s">
        <v>372</v>
      </c>
      <c r="E6623" s="534">
        <v>657.33332299999995</v>
      </c>
    </row>
    <row r="6624" spans="2:5" x14ac:dyDescent="0.2">
      <c r="B6624" s="533">
        <v>8039</v>
      </c>
      <c r="C6624" s="533" t="s">
        <v>2492</v>
      </c>
      <c r="D6624" s="656" t="s">
        <v>372</v>
      </c>
      <c r="E6624" s="534">
        <v>665.75556099999994</v>
      </c>
    </row>
    <row r="6625" spans="2:5" x14ac:dyDescent="0.2">
      <c r="B6625" s="533">
        <v>8040</v>
      </c>
      <c r="C6625" s="533" t="s">
        <v>2700</v>
      </c>
      <c r="D6625" s="656" t="s">
        <v>372</v>
      </c>
      <c r="E6625" s="534">
        <v>676.15555800000004</v>
      </c>
    </row>
    <row r="6626" spans="2:5" x14ac:dyDescent="0.2">
      <c r="B6626" s="533">
        <v>8041</v>
      </c>
      <c r="C6626" s="533" t="s">
        <v>410</v>
      </c>
      <c r="D6626" s="656" t="s">
        <v>372</v>
      </c>
      <c r="E6626" s="534">
        <v>670.21666500000003</v>
      </c>
    </row>
    <row r="6627" spans="2:5" x14ac:dyDescent="0.2">
      <c r="B6627" s="533">
        <v>8042</v>
      </c>
      <c r="C6627" s="533" t="s">
        <v>2467</v>
      </c>
      <c r="D6627" s="656" t="s">
        <v>372</v>
      </c>
      <c r="E6627" s="534">
        <v>664.97999300000004</v>
      </c>
    </row>
    <row r="6628" spans="2:5" x14ac:dyDescent="0.2">
      <c r="B6628" s="533">
        <v>8043</v>
      </c>
      <c r="C6628" s="533" t="s">
        <v>6712</v>
      </c>
      <c r="D6628" s="656" t="s">
        <v>372</v>
      </c>
      <c r="E6628" s="534">
        <v>645.46153800000002</v>
      </c>
    </row>
    <row r="6629" spans="2:5" x14ac:dyDescent="0.2">
      <c r="B6629" s="533">
        <v>8044</v>
      </c>
      <c r="C6629" s="533" t="s">
        <v>2093</v>
      </c>
      <c r="D6629" s="656" t="s">
        <v>372</v>
      </c>
      <c r="E6629" s="534">
        <v>648.24284999999998</v>
      </c>
    </row>
    <row r="6630" spans="2:5" x14ac:dyDescent="0.2">
      <c r="B6630" s="533">
        <v>8045</v>
      </c>
      <c r="C6630" s="533" t="s">
        <v>6766</v>
      </c>
      <c r="D6630" s="656" t="s">
        <v>372</v>
      </c>
      <c r="E6630" s="534">
        <v>641.53332499999999</v>
      </c>
    </row>
    <row r="6631" spans="2:5" x14ac:dyDescent="0.2">
      <c r="B6631" s="533">
        <v>8046</v>
      </c>
      <c r="C6631" s="533" t="s">
        <v>7503</v>
      </c>
      <c r="D6631" s="656" t="s">
        <v>372</v>
      </c>
      <c r="E6631" s="534">
        <v>660.28333499999997</v>
      </c>
    </row>
    <row r="6632" spans="2:5" x14ac:dyDescent="0.2">
      <c r="B6632" s="533">
        <v>8047</v>
      </c>
      <c r="C6632" s="533" t="s">
        <v>1774</v>
      </c>
      <c r="D6632" s="656" t="s">
        <v>372</v>
      </c>
      <c r="E6632" s="534">
        <v>635.45999800000004</v>
      </c>
    </row>
    <row r="6633" spans="2:5" x14ac:dyDescent="0.2">
      <c r="B6633" s="533">
        <v>8048</v>
      </c>
      <c r="C6633" s="533" t="s">
        <v>6620</v>
      </c>
      <c r="D6633" s="656" t="s">
        <v>372</v>
      </c>
      <c r="E6633" s="534">
        <v>625.19629799999996</v>
      </c>
    </row>
    <row r="6634" spans="2:5" x14ac:dyDescent="0.2">
      <c r="B6634" s="533">
        <v>8049</v>
      </c>
      <c r="C6634" s="533" t="s">
        <v>1153</v>
      </c>
      <c r="D6634" s="656" t="s">
        <v>360</v>
      </c>
      <c r="E6634" s="534">
        <v>601.80000800000005</v>
      </c>
    </row>
    <row r="6635" spans="2:5" x14ac:dyDescent="0.2">
      <c r="B6635" s="533">
        <v>8050</v>
      </c>
      <c r="C6635" s="533" t="s">
        <v>1372</v>
      </c>
      <c r="D6635" s="656" t="s">
        <v>360</v>
      </c>
      <c r="E6635" s="534">
        <v>614.08000500000003</v>
      </c>
    </row>
    <row r="6636" spans="2:5" x14ac:dyDescent="0.2">
      <c r="B6636" s="533">
        <v>8051</v>
      </c>
      <c r="C6636" s="533" t="s">
        <v>1374</v>
      </c>
      <c r="D6636" s="656" t="s">
        <v>360</v>
      </c>
      <c r="E6636" s="534">
        <v>614.14999399999999</v>
      </c>
    </row>
    <row r="6637" spans="2:5" x14ac:dyDescent="0.2">
      <c r="B6637" s="533">
        <v>8052</v>
      </c>
      <c r="C6637" s="533" t="s">
        <v>1642</v>
      </c>
      <c r="D6637" s="656" t="s">
        <v>360</v>
      </c>
      <c r="E6637" s="534">
        <v>629.15000199999997</v>
      </c>
    </row>
    <row r="6638" spans="2:5" x14ac:dyDescent="0.2">
      <c r="B6638" s="533">
        <v>8053</v>
      </c>
      <c r="C6638" s="533" t="s">
        <v>6521</v>
      </c>
      <c r="D6638" s="656" t="s">
        <v>360</v>
      </c>
      <c r="E6638" s="534">
        <v>617.5</v>
      </c>
    </row>
    <row r="6639" spans="2:5" x14ac:dyDescent="0.2">
      <c r="B6639" s="533">
        <v>8054</v>
      </c>
      <c r="C6639" s="533" t="s">
        <v>6665</v>
      </c>
      <c r="D6639" s="656" t="s">
        <v>360</v>
      </c>
      <c r="E6639" s="534">
        <v>608.14999399999999</v>
      </c>
    </row>
    <row r="6640" spans="2:5" x14ac:dyDescent="0.2">
      <c r="B6640" s="533">
        <v>8055</v>
      </c>
      <c r="C6640" s="533" t="s">
        <v>1499</v>
      </c>
      <c r="D6640" s="656" t="s">
        <v>360</v>
      </c>
      <c r="E6640" s="534">
        <v>621.06000200000005</v>
      </c>
    </row>
    <row r="6641" spans="2:5" x14ac:dyDescent="0.2">
      <c r="B6641" s="533">
        <v>8056</v>
      </c>
      <c r="C6641" s="533" t="s">
        <v>360</v>
      </c>
      <c r="D6641" s="656" t="s">
        <v>360</v>
      </c>
      <c r="E6641" s="534">
        <v>630.74750400000005</v>
      </c>
    </row>
    <row r="6642" spans="2:5" x14ac:dyDescent="0.2">
      <c r="B6642" s="533">
        <v>8057</v>
      </c>
      <c r="C6642" s="533" t="s">
        <v>1598</v>
      </c>
      <c r="D6642" s="656" t="s">
        <v>360</v>
      </c>
      <c r="E6642" s="534">
        <v>626.88570700000002</v>
      </c>
    </row>
    <row r="6643" spans="2:5" x14ac:dyDescent="0.2">
      <c r="B6643" s="533">
        <v>8058</v>
      </c>
      <c r="C6643" s="533" t="s">
        <v>1764</v>
      </c>
      <c r="D6643" s="656" t="s">
        <v>360</v>
      </c>
      <c r="E6643" s="534">
        <v>635.125</v>
      </c>
    </row>
    <row r="6644" spans="2:5" x14ac:dyDescent="0.2">
      <c r="B6644" s="533">
        <v>8059</v>
      </c>
      <c r="C6644" s="533" t="s">
        <v>1871</v>
      </c>
      <c r="D6644" s="656" t="s">
        <v>360</v>
      </c>
      <c r="E6644" s="534">
        <v>639.19999700000005</v>
      </c>
    </row>
    <row r="6645" spans="2:5" x14ac:dyDescent="0.2">
      <c r="B6645" s="533">
        <v>8060</v>
      </c>
      <c r="C6645" s="533" t="s">
        <v>1778</v>
      </c>
      <c r="D6645" s="656" t="s">
        <v>360</v>
      </c>
      <c r="E6645" s="534">
        <v>635.56664999999998</v>
      </c>
    </row>
    <row r="6646" spans="2:5" x14ac:dyDescent="0.2">
      <c r="B6646" s="533">
        <v>8061</v>
      </c>
      <c r="C6646" s="533" t="s">
        <v>1885</v>
      </c>
      <c r="D6646" s="656" t="s">
        <v>360</v>
      </c>
      <c r="E6646" s="534">
        <v>639.62500799999998</v>
      </c>
    </row>
    <row r="6647" spans="2:5" x14ac:dyDescent="0.2">
      <c r="B6647" s="533">
        <v>8062</v>
      </c>
      <c r="C6647" s="533" t="s">
        <v>1996</v>
      </c>
      <c r="D6647" s="656" t="s">
        <v>360</v>
      </c>
      <c r="E6647" s="534">
        <v>643.45000200000004</v>
      </c>
    </row>
    <row r="6648" spans="2:5" x14ac:dyDescent="0.2">
      <c r="B6648" s="533">
        <v>8063</v>
      </c>
      <c r="C6648" s="533" t="s">
        <v>1775</v>
      </c>
      <c r="D6648" s="656" t="s">
        <v>383</v>
      </c>
      <c r="E6648" s="534">
        <v>635.46250199999997</v>
      </c>
    </row>
    <row r="6649" spans="2:5" x14ac:dyDescent="0.2">
      <c r="B6649" s="533">
        <v>8064</v>
      </c>
      <c r="C6649" s="533" t="s">
        <v>1847</v>
      </c>
      <c r="D6649" s="656" t="s">
        <v>383</v>
      </c>
      <c r="E6649" s="534">
        <v>638.19999700000005</v>
      </c>
    </row>
    <row r="6650" spans="2:5" x14ac:dyDescent="0.2">
      <c r="B6650" s="533">
        <v>8065</v>
      </c>
      <c r="C6650" s="533" t="s">
        <v>1781</v>
      </c>
      <c r="D6650" s="656" t="s">
        <v>383</v>
      </c>
      <c r="E6650" s="534">
        <v>635.75</v>
      </c>
    </row>
    <row r="6651" spans="2:5" x14ac:dyDescent="0.2">
      <c r="B6651" s="533">
        <v>8066</v>
      </c>
      <c r="C6651" s="533" t="s">
        <v>1895</v>
      </c>
      <c r="D6651" s="656" t="s">
        <v>383</v>
      </c>
      <c r="E6651" s="534">
        <v>640.09999600000003</v>
      </c>
    </row>
    <row r="6652" spans="2:5" x14ac:dyDescent="0.2">
      <c r="B6652" s="533">
        <v>8067</v>
      </c>
      <c r="C6652" s="533" t="s">
        <v>1953</v>
      </c>
      <c r="D6652" s="656" t="s">
        <v>383</v>
      </c>
      <c r="E6652" s="534">
        <v>642.11177299999997</v>
      </c>
    </row>
    <row r="6653" spans="2:5" x14ac:dyDescent="0.2">
      <c r="B6653" s="533">
        <v>8068</v>
      </c>
      <c r="C6653" s="533" t="s">
        <v>1415</v>
      </c>
      <c r="D6653" s="656" t="s">
        <v>383</v>
      </c>
      <c r="E6653" s="534">
        <v>642.64444300000002</v>
      </c>
    </row>
    <row r="6654" spans="2:5" x14ac:dyDescent="0.2">
      <c r="B6654" s="533">
        <v>8069</v>
      </c>
      <c r="C6654" s="533" t="s">
        <v>2120</v>
      </c>
      <c r="D6654" s="656" t="s">
        <v>383</v>
      </c>
      <c r="E6654" s="534">
        <v>649.89998800000001</v>
      </c>
    </row>
    <row r="6655" spans="2:5" x14ac:dyDescent="0.2">
      <c r="B6655" s="533">
        <v>8070</v>
      </c>
      <c r="C6655" s="533" t="s">
        <v>3600</v>
      </c>
      <c r="D6655" s="656" t="s">
        <v>382</v>
      </c>
      <c r="E6655" s="534">
        <v>722.14285700000005</v>
      </c>
    </row>
    <row r="6656" spans="2:5" x14ac:dyDescent="0.2">
      <c r="B6656" s="533">
        <v>8071</v>
      </c>
      <c r="C6656" s="533" t="s">
        <v>2289</v>
      </c>
      <c r="D6656" s="656" t="s">
        <v>382</v>
      </c>
      <c r="E6656" s="534">
        <v>657.32306800000003</v>
      </c>
    </row>
    <row r="6657" spans="2:5" x14ac:dyDescent="0.2">
      <c r="B6657" s="533">
        <v>8072</v>
      </c>
      <c r="C6657" s="533" t="s">
        <v>2992</v>
      </c>
      <c r="D6657" s="656" t="s">
        <v>382</v>
      </c>
      <c r="E6657" s="534">
        <v>690.69998799999996</v>
      </c>
    </row>
    <row r="6658" spans="2:5" x14ac:dyDescent="0.2">
      <c r="B6658" s="533">
        <v>8073</v>
      </c>
      <c r="C6658" s="533" t="s">
        <v>3320</v>
      </c>
      <c r="D6658" s="656" t="s">
        <v>382</v>
      </c>
      <c r="E6658" s="534">
        <v>707.47500600000001</v>
      </c>
    </row>
    <row r="6659" spans="2:5" x14ac:dyDescent="0.2">
      <c r="B6659" s="533">
        <v>8074</v>
      </c>
      <c r="C6659" s="533" t="s">
        <v>2204</v>
      </c>
      <c r="D6659" s="656" t="s">
        <v>382</v>
      </c>
      <c r="E6659" s="534">
        <v>653.48333700000001</v>
      </c>
    </row>
    <row r="6660" spans="2:5" x14ac:dyDescent="0.2">
      <c r="B6660" s="533">
        <v>8075</v>
      </c>
      <c r="C6660" s="533" t="s">
        <v>2125</v>
      </c>
      <c r="D6660" s="656" t="s">
        <v>382</v>
      </c>
      <c r="E6660" s="534">
        <v>650.10526000000004</v>
      </c>
    </row>
    <row r="6661" spans="2:5" x14ac:dyDescent="0.2">
      <c r="B6661" s="533">
        <v>8076</v>
      </c>
      <c r="C6661" s="533" t="s">
        <v>1817</v>
      </c>
      <c r="D6661" s="656" t="s">
        <v>382</v>
      </c>
      <c r="E6661" s="534">
        <v>636.90002400000003</v>
      </c>
    </row>
    <row r="6662" spans="2:5" x14ac:dyDescent="0.2">
      <c r="B6662" s="533">
        <v>8077</v>
      </c>
      <c r="C6662" s="533" t="s">
        <v>2099</v>
      </c>
      <c r="D6662" s="656" t="s">
        <v>382</v>
      </c>
      <c r="E6662" s="534">
        <v>663.22499100000005</v>
      </c>
    </row>
    <row r="6663" spans="2:5" x14ac:dyDescent="0.2">
      <c r="B6663" s="533">
        <v>8078</v>
      </c>
      <c r="C6663" s="533" t="s">
        <v>1195</v>
      </c>
      <c r="D6663" s="656" t="s">
        <v>382</v>
      </c>
      <c r="E6663" s="534">
        <v>641.47777599999995</v>
      </c>
    </row>
    <row r="6664" spans="2:5" x14ac:dyDescent="0.2">
      <c r="B6664" s="533">
        <v>8079</v>
      </c>
      <c r="C6664" s="533" t="s">
        <v>1417</v>
      </c>
      <c r="D6664" s="656" t="s">
        <v>382</v>
      </c>
      <c r="E6664" s="534">
        <v>636.73999600000002</v>
      </c>
    </row>
    <row r="6665" spans="2:5" x14ac:dyDescent="0.2">
      <c r="B6665" s="533">
        <v>8080</v>
      </c>
      <c r="C6665" s="533" t="s">
        <v>2610</v>
      </c>
      <c r="D6665" s="656" t="s">
        <v>382</v>
      </c>
      <c r="E6665" s="534">
        <v>672.08749399999999</v>
      </c>
    </row>
    <row r="6666" spans="2:5" x14ac:dyDescent="0.2">
      <c r="B6666" s="533">
        <v>8081</v>
      </c>
      <c r="C6666" s="533" t="s">
        <v>1906</v>
      </c>
      <c r="D6666" s="656" t="s">
        <v>382</v>
      </c>
      <c r="E6666" s="534">
        <v>640.616669</v>
      </c>
    </row>
    <row r="6667" spans="2:5" x14ac:dyDescent="0.2">
      <c r="B6667" s="533">
        <v>8082</v>
      </c>
      <c r="C6667" s="533" t="s">
        <v>1901</v>
      </c>
      <c r="D6667" s="656" t="s">
        <v>382</v>
      </c>
      <c r="E6667" s="534">
        <v>640.40666899999997</v>
      </c>
    </row>
    <row r="6668" spans="2:5" x14ac:dyDescent="0.2">
      <c r="B6668" s="533">
        <v>8083</v>
      </c>
      <c r="C6668" s="533" t="s">
        <v>1675</v>
      </c>
      <c r="D6668" s="656" t="s">
        <v>382</v>
      </c>
      <c r="E6668" s="534">
        <v>650.68888300000003</v>
      </c>
    </row>
    <row r="6669" spans="2:5" x14ac:dyDescent="0.2">
      <c r="B6669" s="533">
        <v>8084</v>
      </c>
      <c r="C6669" s="533" t="s">
        <v>2583</v>
      </c>
      <c r="D6669" s="656" t="s">
        <v>382</v>
      </c>
      <c r="E6669" s="534">
        <v>670.25714100000005</v>
      </c>
    </row>
    <row r="6670" spans="2:5" x14ac:dyDescent="0.2">
      <c r="B6670" s="533">
        <v>8085</v>
      </c>
      <c r="C6670" s="533" t="s">
        <v>3035</v>
      </c>
      <c r="D6670" s="656" t="s">
        <v>382</v>
      </c>
      <c r="E6670" s="534">
        <v>693.04614700000002</v>
      </c>
    </row>
    <row r="6671" spans="2:5" x14ac:dyDescent="0.2">
      <c r="B6671" s="533">
        <v>8086</v>
      </c>
      <c r="C6671" s="533" t="s">
        <v>2787</v>
      </c>
      <c r="D6671" s="656" t="s">
        <v>382</v>
      </c>
      <c r="E6671" s="534">
        <v>680.60000300000002</v>
      </c>
    </row>
    <row r="6672" spans="2:5" x14ac:dyDescent="0.2">
      <c r="B6672" s="533">
        <v>8087</v>
      </c>
      <c r="C6672" s="533" t="s">
        <v>2147</v>
      </c>
      <c r="D6672" s="656" t="s">
        <v>382</v>
      </c>
      <c r="E6672" s="534">
        <v>651.05001800000002</v>
      </c>
    </row>
    <row r="6673" spans="2:5" x14ac:dyDescent="0.2">
      <c r="B6673" s="533">
        <v>8088</v>
      </c>
      <c r="C6673" s="533" t="s">
        <v>2026</v>
      </c>
      <c r="D6673" s="656" t="s">
        <v>382</v>
      </c>
      <c r="E6673" s="534">
        <v>644.54998799999998</v>
      </c>
    </row>
    <row r="6674" spans="2:5" x14ac:dyDescent="0.2">
      <c r="B6674" s="533">
        <v>8089</v>
      </c>
      <c r="C6674" s="533" t="s">
        <v>2148</v>
      </c>
      <c r="D6674" s="656" t="s">
        <v>382</v>
      </c>
      <c r="E6674" s="534">
        <v>651.07000700000003</v>
      </c>
    </row>
    <row r="6675" spans="2:5" x14ac:dyDescent="0.2">
      <c r="B6675" s="533">
        <v>8090</v>
      </c>
      <c r="C6675" s="533" t="s">
        <v>3190</v>
      </c>
      <c r="D6675" s="656" t="s">
        <v>382</v>
      </c>
      <c r="E6675" s="534">
        <v>701</v>
      </c>
    </row>
    <row r="6676" spans="2:5" x14ac:dyDescent="0.2">
      <c r="B6676" s="533">
        <v>8091</v>
      </c>
      <c r="C6676" s="533" t="s">
        <v>1866</v>
      </c>
      <c r="D6676" s="656" t="s">
        <v>382</v>
      </c>
      <c r="E6676" s="534">
        <v>638.88750500000003</v>
      </c>
    </row>
    <row r="6677" spans="2:5" x14ac:dyDescent="0.2">
      <c r="B6677" s="533">
        <v>8092</v>
      </c>
      <c r="C6677" s="533" t="s">
        <v>1630</v>
      </c>
      <c r="D6677" s="656" t="s">
        <v>382</v>
      </c>
      <c r="E6677" s="534">
        <v>628.45333700000003</v>
      </c>
    </row>
    <row r="6678" spans="2:5" x14ac:dyDescent="0.2">
      <c r="B6678" s="533">
        <v>8093</v>
      </c>
      <c r="C6678" s="533" t="s">
        <v>2103</v>
      </c>
      <c r="D6678" s="656" t="s">
        <v>382</v>
      </c>
      <c r="E6678" s="534">
        <v>649.18333900000005</v>
      </c>
    </row>
    <row r="6679" spans="2:5" x14ac:dyDescent="0.2">
      <c r="B6679" s="533">
        <v>8094</v>
      </c>
      <c r="C6679" s="533" t="s">
        <v>2281</v>
      </c>
      <c r="D6679" s="656" t="s">
        <v>382</v>
      </c>
      <c r="E6679" s="534">
        <v>656.93200000000002</v>
      </c>
    </row>
    <row r="6680" spans="2:5" x14ac:dyDescent="0.2">
      <c r="B6680" s="533">
        <v>8095</v>
      </c>
      <c r="C6680" s="533" t="s">
        <v>1985</v>
      </c>
      <c r="D6680" s="656" t="s">
        <v>382</v>
      </c>
      <c r="E6680" s="534">
        <v>643.16999499999997</v>
      </c>
    </row>
    <row r="6681" spans="2:5" x14ac:dyDescent="0.2">
      <c r="B6681" s="533">
        <v>8096</v>
      </c>
      <c r="C6681" s="533" t="s">
        <v>2644</v>
      </c>
      <c r="D6681" s="656" t="s">
        <v>382</v>
      </c>
      <c r="E6681" s="534">
        <v>673.97142699999995</v>
      </c>
    </row>
    <row r="6682" spans="2:5" x14ac:dyDescent="0.2">
      <c r="B6682" s="533">
        <v>8097</v>
      </c>
      <c r="C6682" s="533" t="s">
        <v>2839</v>
      </c>
      <c r="D6682" s="656" t="s">
        <v>382</v>
      </c>
      <c r="E6682" s="534">
        <v>683.87272499999995</v>
      </c>
    </row>
    <row r="6683" spans="2:5" x14ac:dyDescent="0.2">
      <c r="B6683" s="533">
        <v>8098</v>
      </c>
      <c r="C6683" s="533" t="s">
        <v>2732</v>
      </c>
      <c r="D6683" s="656" t="s">
        <v>382</v>
      </c>
      <c r="E6683" s="534">
        <v>677.76153999999997</v>
      </c>
    </row>
    <row r="6684" spans="2:5" x14ac:dyDescent="0.2">
      <c r="B6684" s="533">
        <v>8099</v>
      </c>
      <c r="C6684" s="533" t="s">
        <v>3041</v>
      </c>
      <c r="D6684" s="656" t="s">
        <v>382</v>
      </c>
      <c r="E6684" s="534">
        <v>693.61052800000004</v>
      </c>
    </row>
    <row r="6685" spans="2:5" x14ac:dyDescent="0.2">
      <c r="B6685" s="533">
        <v>8100</v>
      </c>
      <c r="C6685" s="533" t="s">
        <v>3093</v>
      </c>
      <c r="D6685" s="656" t="s">
        <v>382</v>
      </c>
      <c r="E6685" s="534">
        <v>696.12999300000001</v>
      </c>
    </row>
    <row r="6686" spans="2:5" x14ac:dyDescent="0.2">
      <c r="B6686" s="533">
        <v>8101</v>
      </c>
      <c r="C6686" s="533" t="s">
        <v>3141</v>
      </c>
      <c r="D6686" s="656" t="s">
        <v>382</v>
      </c>
      <c r="E6686" s="534">
        <v>698.90002400000003</v>
      </c>
    </row>
    <row r="6687" spans="2:5" x14ac:dyDescent="0.2">
      <c r="B6687" s="533">
        <v>8102</v>
      </c>
      <c r="C6687" s="533" t="s">
        <v>2785</v>
      </c>
      <c r="D6687" s="656" t="s">
        <v>382</v>
      </c>
      <c r="E6687" s="534">
        <v>680.49167399999999</v>
      </c>
    </row>
    <row r="6688" spans="2:5" x14ac:dyDescent="0.2">
      <c r="B6688" s="533">
        <v>8103</v>
      </c>
      <c r="C6688" s="533" t="s">
        <v>7198</v>
      </c>
      <c r="D6688" s="656" t="s">
        <v>382</v>
      </c>
      <c r="E6688" s="534">
        <v>689.03076599999997</v>
      </c>
    </row>
    <row r="6689" spans="2:5" x14ac:dyDescent="0.2">
      <c r="B6689" s="533">
        <v>8104</v>
      </c>
      <c r="C6689" s="533" t="s">
        <v>7024</v>
      </c>
      <c r="D6689" s="656" t="s">
        <v>382</v>
      </c>
      <c r="E6689" s="534">
        <v>705.55999799999995</v>
      </c>
    </row>
    <row r="6690" spans="2:5" x14ac:dyDescent="0.2">
      <c r="B6690" s="533">
        <v>8105</v>
      </c>
      <c r="C6690" s="533" t="s">
        <v>2079</v>
      </c>
      <c r="D6690" s="656" t="s">
        <v>382</v>
      </c>
      <c r="E6690" s="534">
        <v>647.68077200000005</v>
      </c>
    </row>
    <row r="6691" spans="2:5" x14ac:dyDescent="0.2">
      <c r="B6691" s="533">
        <v>8106</v>
      </c>
      <c r="C6691" s="533" t="s">
        <v>2879</v>
      </c>
      <c r="D6691" s="656" t="s">
        <v>382</v>
      </c>
      <c r="E6691" s="534">
        <v>685.50476100000003</v>
      </c>
    </row>
    <row r="6692" spans="2:5" x14ac:dyDescent="0.2">
      <c r="B6692" s="533">
        <v>8107</v>
      </c>
      <c r="C6692" s="533" t="s">
        <v>3083</v>
      </c>
      <c r="D6692" s="656" t="s">
        <v>382</v>
      </c>
      <c r="E6692" s="534">
        <v>695.57499700000005</v>
      </c>
    </row>
    <row r="6693" spans="2:5" x14ac:dyDescent="0.2">
      <c r="B6693" s="533">
        <v>8108</v>
      </c>
      <c r="C6693" s="533" t="s">
        <v>2373</v>
      </c>
      <c r="D6693" s="656" t="s">
        <v>382</v>
      </c>
      <c r="E6693" s="534">
        <v>661.03332499999999</v>
      </c>
    </row>
    <row r="6694" spans="2:5" x14ac:dyDescent="0.2">
      <c r="B6694" s="533">
        <v>8109</v>
      </c>
      <c r="C6694" s="533" t="s">
        <v>2318</v>
      </c>
      <c r="D6694" s="656" t="s">
        <v>382</v>
      </c>
      <c r="E6694" s="534">
        <v>658.86666400000001</v>
      </c>
    </row>
    <row r="6695" spans="2:5" x14ac:dyDescent="0.2">
      <c r="B6695" s="533">
        <v>8110</v>
      </c>
      <c r="C6695" s="533" t="s">
        <v>2885</v>
      </c>
      <c r="D6695" s="656" t="s">
        <v>382</v>
      </c>
      <c r="E6695" s="534">
        <v>685.74000699999999</v>
      </c>
    </row>
    <row r="6696" spans="2:5" x14ac:dyDescent="0.2">
      <c r="B6696" s="533">
        <v>8111</v>
      </c>
      <c r="C6696" s="533" t="s">
        <v>2652</v>
      </c>
      <c r="D6696" s="656" t="s">
        <v>382</v>
      </c>
      <c r="E6696" s="534">
        <v>674.34000200000003</v>
      </c>
    </row>
    <row r="6697" spans="2:5" x14ac:dyDescent="0.2">
      <c r="B6697" s="533">
        <v>8112</v>
      </c>
      <c r="C6697" s="533" t="s">
        <v>3364</v>
      </c>
      <c r="D6697" s="656" t="s">
        <v>382</v>
      </c>
      <c r="E6697" s="534">
        <v>709.51110800000004</v>
      </c>
    </row>
    <row r="6698" spans="2:5" x14ac:dyDescent="0.2">
      <c r="B6698" s="533">
        <v>8113</v>
      </c>
      <c r="C6698" s="533" t="s">
        <v>1488</v>
      </c>
      <c r="D6698" s="656" t="s">
        <v>382</v>
      </c>
      <c r="E6698" s="534">
        <v>722.81664999999998</v>
      </c>
    </row>
    <row r="6699" spans="2:5" x14ac:dyDescent="0.2">
      <c r="B6699" s="533">
        <v>8114</v>
      </c>
      <c r="C6699" s="533" t="s">
        <v>3554</v>
      </c>
      <c r="D6699" s="656" t="s">
        <v>382</v>
      </c>
      <c r="E6699" s="534">
        <v>719.292868</v>
      </c>
    </row>
    <row r="6700" spans="2:5" x14ac:dyDescent="0.2">
      <c r="B6700" s="533">
        <v>8115</v>
      </c>
      <c r="C6700" s="533" t="s">
        <v>3701</v>
      </c>
      <c r="D6700" s="656" t="s">
        <v>382</v>
      </c>
      <c r="E6700" s="534">
        <v>757.42500299999995</v>
      </c>
    </row>
    <row r="6701" spans="2:5" x14ac:dyDescent="0.2">
      <c r="B6701" s="533">
        <v>8116</v>
      </c>
      <c r="C6701" s="533" t="s">
        <v>3891</v>
      </c>
      <c r="D6701" s="656" t="s">
        <v>382</v>
      </c>
      <c r="E6701" s="534">
        <v>738.80001200000004</v>
      </c>
    </row>
    <row r="6702" spans="2:5" x14ac:dyDescent="0.2">
      <c r="B6702" s="533">
        <v>8117</v>
      </c>
      <c r="C6702" s="533" t="s">
        <v>3487</v>
      </c>
      <c r="D6702" s="656" t="s">
        <v>382</v>
      </c>
      <c r="E6702" s="534">
        <v>715.736356</v>
      </c>
    </row>
    <row r="6703" spans="2:5" x14ac:dyDescent="0.2">
      <c r="B6703" s="533">
        <v>8118</v>
      </c>
      <c r="C6703" s="533" t="s">
        <v>4060</v>
      </c>
      <c r="D6703" s="656" t="s">
        <v>382</v>
      </c>
      <c r="E6703" s="534">
        <v>749.322225</v>
      </c>
    </row>
    <row r="6704" spans="2:5" x14ac:dyDescent="0.2">
      <c r="B6704" s="533">
        <v>8119</v>
      </c>
      <c r="C6704" s="533" t="s">
        <v>3594</v>
      </c>
      <c r="D6704" s="656" t="s">
        <v>382</v>
      </c>
      <c r="E6704" s="534">
        <v>721.60000600000001</v>
      </c>
    </row>
    <row r="6705" spans="2:5" x14ac:dyDescent="0.2">
      <c r="B6705" s="533">
        <v>8120</v>
      </c>
      <c r="C6705" s="533" t="s">
        <v>4211</v>
      </c>
      <c r="D6705" s="656" t="s">
        <v>382</v>
      </c>
      <c r="E6705" s="534">
        <v>759.21999500000004</v>
      </c>
    </row>
    <row r="6706" spans="2:5" x14ac:dyDescent="0.2">
      <c r="B6706" s="533">
        <v>8151</v>
      </c>
      <c r="C6706" s="533" t="s">
        <v>2606</v>
      </c>
      <c r="D6706" s="656" t="s">
        <v>383</v>
      </c>
      <c r="E6706" s="534">
        <v>671.75</v>
      </c>
    </row>
    <row r="6707" spans="2:5" x14ac:dyDescent="0.2">
      <c r="B6707" s="533">
        <v>8152</v>
      </c>
      <c r="C6707" s="533" t="s">
        <v>2057</v>
      </c>
      <c r="D6707" s="656" t="s">
        <v>383</v>
      </c>
      <c r="E6707" s="534">
        <v>646.10000200000002</v>
      </c>
    </row>
    <row r="6708" spans="2:5" x14ac:dyDescent="0.2">
      <c r="B6708" s="533">
        <v>8153</v>
      </c>
      <c r="C6708" s="533" t="s">
        <v>1604</v>
      </c>
      <c r="D6708" s="656" t="s">
        <v>383</v>
      </c>
      <c r="E6708" s="534">
        <v>627.12856599999998</v>
      </c>
    </row>
    <row r="6709" spans="2:5" x14ac:dyDescent="0.2">
      <c r="B6709" s="533">
        <v>8154</v>
      </c>
      <c r="C6709" s="533" t="s">
        <v>6664</v>
      </c>
      <c r="D6709" s="656" t="s">
        <v>383</v>
      </c>
      <c r="E6709" s="534">
        <v>650.34999600000003</v>
      </c>
    </row>
    <row r="6710" spans="2:5" x14ac:dyDescent="0.2">
      <c r="B6710" s="533">
        <v>8155</v>
      </c>
      <c r="C6710" s="533" t="s">
        <v>1633</v>
      </c>
      <c r="D6710" s="656" t="s">
        <v>383</v>
      </c>
      <c r="E6710" s="534">
        <v>628.66666699999996</v>
      </c>
    </row>
    <row r="6711" spans="2:5" x14ac:dyDescent="0.2">
      <c r="B6711" s="533">
        <v>8156</v>
      </c>
      <c r="C6711" s="533" t="s">
        <v>2003</v>
      </c>
      <c r="D6711" s="656" t="s">
        <v>383</v>
      </c>
      <c r="E6711" s="534">
        <v>643.78333499999997</v>
      </c>
    </row>
    <row r="6712" spans="2:5" x14ac:dyDescent="0.2">
      <c r="B6712" s="533">
        <v>8157</v>
      </c>
      <c r="C6712" s="533" t="s">
        <v>7290</v>
      </c>
      <c r="D6712" s="656" t="s">
        <v>383</v>
      </c>
      <c r="E6712" s="534">
        <v>651.20833300000004</v>
      </c>
    </row>
    <row r="6713" spans="2:5" x14ac:dyDescent="0.2">
      <c r="B6713" s="533">
        <v>8158</v>
      </c>
      <c r="C6713" s="533" t="s">
        <v>7218</v>
      </c>
      <c r="D6713" s="656" t="s">
        <v>383</v>
      </c>
      <c r="E6713" s="534">
        <v>646.07777199999998</v>
      </c>
    </row>
    <row r="6714" spans="2:5" x14ac:dyDescent="0.2">
      <c r="B6714" s="533">
        <v>8159</v>
      </c>
      <c r="C6714" s="533" t="s">
        <v>1970</v>
      </c>
      <c r="D6714" s="656" t="s">
        <v>383</v>
      </c>
      <c r="E6714" s="534">
        <v>642.67999299999997</v>
      </c>
    </row>
    <row r="6715" spans="2:5" x14ac:dyDescent="0.2">
      <c r="B6715" s="533">
        <v>8160</v>
      </c>
      <c r="C6715" s="533" t="s">
        <v>2460</v>
      </c>
      <c r="D6715" s="656" t="s">
        <v>383</v>
      </c>
      <c r="E6715" s="534">
        <v>664.75333699999999</v>
      </c>
    </row>
    <row r="6716" spans="2:5" x14ac:dyDescent="0.2">
      <c r="B6716" s="533">
        <v>8161</v>
      </c>
      <c r="C6716" s="533" t="s">
        <v>2301</v>
      </c>
      <c r="D6716" s="656" t="s">
        <v>383</v>
      </c>
      <c r="E6716" s="534">
        <v>657.77499399999999</v>
      </c>
    </row>
    <row r="6717" spans="2:5" x14ac:dyDescent="0.2">
      <c r="B6717" s="533">
        <v>8162</v>
      </c>
      <c r="C6717" s="533" t="s">
        <v>7247</v>
      </c>
      <c r="D6717" s="656" t="s">
        <v>383</v>
      </c>
      <c r="E6717" s="534">
        <v>680.73333700000001</v>
      </c>
    </row>
    <row r="6718" spans="2:5" x14ac:dyDescent="0.2">
      <c r="B6718" s="533">
        <v>8163</v>
      </c>
      <c r="C6718" s="533" t="s">
        <v>2486</v>
      </c>
      <c r="D6718" s="656" t="s">
        <v>383</v>
      </c>
      <c r="E6718" s="534">
        <v>665.55909299999996</v>
      </c>
    </row>
    <row r="6719" spans="2:5" x14ac:dyDescent="0.2">
      <c r="B6719" s="533">
        <v>8164</v>
      </c>
      <c r="C6719" s="533" t="s">
        <v>2657</v>
      </c>
      <c r="D6719" s="656" t="s">
        <v>383</v>
      </c>
      <c r="E6719" s="534">
        <v>674.5</v>
      </c>
    </row>
    <row r="6720" spans="2:5" x14ac:dyDescent="0.2">
      <c r="B6720" s="533">
        <v>8165</v>
      </c>
      <c r="C6720" s="533" t="s">
        <v>2698</v>
      </c>
      <c r="D6720" s="656" t="s">
        <v>383</v>
      </c>
      <c r="E6720" s="534">
        <v>676.128557</v>
      </c>
    </row>
    <row r="6721" spans="2:5" x14ac:dyDescent="0.2">
      <c r="B6721" s="533">
        <v>8166</v>
      </c>
      <c r="C6721" s="533" t="s">
        <v>2866</v>
      </c>
      <c r="D6721" s="656" t="s">
        <v>383</v>
      </c>
      <c r="E6721" s="534">
        <v>684.88572499999998</v>
      </c>
    </row>
    <row r="6722" spans="2:5" x14ac:dyDescent="0.2">
      <c r="B6722" s="533">
        <v>8167</v>
      </c>
      <c r="C6722" s="533" t="s">
        <v>6701</v>
      </c>
      <c r="D6722" s="656" t="s">
        <v>383</v>
      </c>
      <c r="E6722" s="534">
        <v>699.95999800000004</v>
      </c>
    </row>
    <row r="6723" spans="2:5" x14ac:dyDescent="0.2">
      <c r="B6723" s="533">
        <v>8168</v>
      </c>
      <c r="C6723" s="533" t="s">
        <v>3173</v>
      </c>
      <c r="D6723" s="656" t="s">
        <v>383</v>
      </c>
      <c r="E6723" s="534">
        <v>700.25</v>
      </c>
    </row>
    <row r="6724" spans="2:5" x14ac:dyDescent="0.2">
      <c r="B6724" s="533">
        <v>8169</v>
      </c>
      <c r="C6724" s="533" t="s">
        <v>1195</v>
      </c>
      <c r="D6724" s="656" t="s">
        <v>383</v>
      </c>
      <c r="E6724" s="534">
        <v>676.84997599999997</v>
      </c>
    </row>
    <row r="6725" spans="2:5" x14ac:dyDescent="0.2">
      <c r="B6725" s="533">
        <v>8170</v>
      </c>
      <c r="C6725" s="533" t="s">
        <v>3830</v>
      </c>
      <c r="D6725" s="656" t="s">
        <v>383</v>
      </c>
      <c r="E6725" s="534">
        <v>735.05000800000005</v>
      </c>
    </row>
    <row r="6726" spans="2:5" x14ac:dyDescent="0.2">
      <c r="B6726" s="533">
        <v>8171</v>
      </c>
      <c r="C6726" s="533" t="s">
        <v>3887</v>
      </c>
      <c r="D6726" s="656" t="s">
        <v>383</v>
      </c>
      <c r="E6726" s="534">
        <v>738.41250600000001</v>
      </c>
    </row>
    <row r="6727" spans="2:5" x14ac:dyDescent="0.2">
      <c r="B6727" s="533">
        <v>8172</v>
      </c>
      <c r="C6727" s="533" t="s">
        <v>4327</v>
      </c>
      <c r="D6727" s="656" t="s">
        <v>383</v>
      </c>
      <c r="E6727" s="534">
        <v>767.28749800000003</v>
      </c>
    </row>
    <row r="6728" spans="2:5" x14ac:dyDescent="0.2">
      <c r="B6728" s="533">
        <v>8173</v>
      </c>
      <c r="C6728" s="533" t="s">
        <v>2449</v>
      </c>
      <c r="D6728" s="656" t="s">
        <v>383</v>
      </c>
      <c r="E6728" s="534">
        <v>664.39999</v>
      </c>
    </row>
    <row r="6729" spans="2:5" x14ac:dyDescent="0.2">
      <c r="B6729" s="533">
        <v>8174</v>
      </c>
      <c r="C6729" s="533" t="s">
        <v>6997</v>
      </c>
      <c r="D6729" s="656" t="s">
        <v>383</v>
      </c>
      <c r="E6729" s="534">
        <v>669.29000199999996</v>
      </c>
    </row>
    <row r="6730" spans="2:5" x14ac:dyDescent="0.2">
      <c r="B6730" s="533">
        <v>8175</v>
      </c>
      <c r="C6730" s="533" t="s">
        <v>2870</v>
      </c>
      <c r="D6730" s="656" t="s">
        <v>383</v>
      </c>
      <c r="E6730" s="534">
        <v>685.01429099999996</v>
      </c>
    </row>
    <row r="6731" spans="2:5" x14ac:dyDescent="0.2">
      <c r="B6731" s="533">
        <v>8176</v>
      </c>
      <c r="C6731" s="533" t="s">
        <v>2740</v>
      </c>
      <c r="D6731" s="656" t="s">
        <v>383</v>
      </c>
      <c r="E6731" s="534">
        <v>678.14999399999999</v>
      </c>
    </row>
    <row r="6732" spans="2:5" x14ac:dyDescent="0.2">
      <c r="B6732" s="533">
        <v>8177</v>
      </c>
      <c r="C6732" s="533" t="s">
        <v>2554</v>
      </c>
      <c r="D6732" s="656" t="s">
        <v>383</v>
      </c>
      <c r="E6732" s="534">
        <v>717.25</v>
      </c>
    </row>
    <row r="6733" spans="2:5" x14ac:dyDescent="0.2">
      <c r="B6733" s="533">
        <v>8178</v>
      </c>
      <c r="C6733" s="533" t="s">
        <v>3479</v>
      </c>
      <c r="D6733" s="656" t="s">
        <v>383</v>
      </c>
      <c r="E6733" s="534">
        <v>715.39999699999998</v>
      </c>
    </row>
    <row r="6734" spans="2:5" x14ac:dyDescent="0.2">
      <c r="B6734" s="533">
        <v>8179</v>
      </c>
      <c r="C6734" s="533" t="s">
        <v>7313</v>
      </c>
      <c r="D6734" s="656" t="s">
        <v>383</v>
      </c>
      <c r="E6734" s="534">
        <v>738.95555300000001</v>
      </c>
    </row>
    <row r="6735" spans="2:5" x14ac:dyDescent="0.2">
      <c r="B6735" s="533">
        <v>8180</v>
      </c>
      <c r="C6735" s="533" t="s">
        <v>4425</v>
      </c>
      <c r="D6735" s="656" t="s">
        <v>383</v>
      </c>
      <c r="E6735" s="534">
        <v>775.60001599999998</v>
      </c>
    </row>
    <row r="6736" spans="2:5" x14ac:dyDescent="0.2">
      <c r="B6736" s="533">
        <v>8181</v>
      </c>
      <c r="C6736" s="533" t="s">
        <v>3088</v>
      </c>
      <c r="D6736" s="656" t="s">
        <v>383</v>
      </c>
      <c r="E6736" s="534">
        <v>695.85000600000001</v>
      </c>
    </row>
    <row r="6737" spans="2:5" x14ac:dyDescent="0.2">
      <c r="B6737" s="533">
        <v>8182</v>
      </c>
      <c r="C6737" s="533" t="s">
        <v>3042</v>
      </c>
      <c r="D6737" s="656" t="s">
        <v>383</v>
      </c>
      <c r="E6737" s="534">
        <v>693.62857499999996</v>
      </c>
    </row>
    <row r="6738" spans="2:5" x14ac:dyDescent="0.2">
      <c r="B6738" s="533">
        <v>8183</v>
      </c>
      <c r="C6738" s="533" t="s">
        <v>2487</v>
      </c>
      <c r="D6738" s="656" t="s">
        <v>383</v>
      </c>
      <c r="E6738" s="534">
        <v>665.55999799999995</v>
      </c>
    </row>
    <row r="6739" spans="2:5" x14ac:dyDescent="0.2">
      <c r="B6739" s="533">
        <v>8184</v>
      </c>
      <c r="C6739" s="533" t="s">
        <v>3114</v>
      </c>
      <c r="D6739" s="656" t="s">
        <v>383</v>
      </c>
      <c r="E6739" s="534">
        <v>697.33335399999999</v>
      </c>
    </row>
    <row r="6740" spans="2:5" x14ac:dyDescent="0.2">
      <c r="B6740" s="533">
        <v>8185</v>
      </c>
      <c r="C6740" s="533" t="s">
        <v>2374</v>
      </c>
      <c r="D6740" s="656" t="s">
        <v>383</v>
      </c>
      <c r="E6740" s="534">
        <v>661.09997599999997</v>
      </c>
    </row>
    <row r="6741" spans="2:5" x14ac:dyDescent="0.2">
      <c r="B6741" s="533">
        <v>8186</v>
      </c>
      <c r="C6741" s="533" t="s">
        <v>3442</v>
      </c>
      <c r="D6741" s="656" t="s">
        <v>383</v>
      </c>
      <c r="E6741" s="534">
        <v>713.39090199999998</v>
      </c>
    </row>
    <row r="6742" spans="2:5" x14ac:dyDescent="0.2">
      <c r="B6742" s="533">
        <v>8187</v>
      </c>
      <c r="C6742" s="533" t="s">
        <v>3283</v>
      </c>
      <c r="D6742" s="656" t="s">
        <v>383</v>
      </c>
      <c r="E6742" s="534">
        <v>705.31667100000004</v>
      </c>
    </row>
    <row r="6743" spans="2:5" x14ac:dyDescent="0.2">
      <c r="B6743" s="533">
        <v>8188</v>
      </c>
      <c r="C6743" s="533" t="s">
        <v>3899</v>
      </c>
      <c r="D6743" s="656" t="s">
        <v>383</v>
      </c>
      <c r="E6743" s="534">
        <v>739.50910499999998</v>
      </c>
    </row>
    <row r="6744" spans="2:5" x14ac:dyDescent="0.2">
      <c r="B6744" s="533">
        <v>8189</v>
      </c>
      <c r="C6744" s="533" t="s">
        <v>1864</v>
      </c>
      <c r="D6744" s="656" t="s">
        <v>383</v>
      </c>
      <c r="E6744" s="534">
        <v>745.74998500000004</v>
      </c>
    </row>
    <row r="6745" spans="2:5" x14ac:dyDescent="0.2">
      <c r="B6745" s="533">
        <v>8190</v>
      </c>
      <c r="C6745" s="533" t="s">
        <v>966</v>
      </c>
      <c r="D6745" s="656" t="s">
        <v>383</v>
      </c>
      <c r="E6745" s="534">
        <v>771.09999800000003</v>
      </c>
    </row>
    <row r="6746" spans="2:5" x14ac:dyDescent="0.2">
      <c r="B6746" s="533">
        <v>8191</v>
      </c>
      <c r="C6746" s="533" t="s">
        <v>3186</v>
      </c>
      <c r="D6746" s="656" t="s">
        <v>383</v>
      </c>
      <c r="E6746" s="534">
        <v>700.91428900000005</v>
      </c>
    </row>
    <row r="6747" spans="2:5" x14ac:dyDescent="0.2">
      <c r="B6747" s="533">
        <v>8192</v>
      </c>
      <c r="C6747" s="533" t="s">
        <v>2077</v>
      </c>
      <c r="D6747" s="656" t="s">
        <v>383</v>
      </c>
      <c r="E6747" s="534">
        <v>708.71428600000002</v>
      </c>
    </row>
    <row r="6748" spans="2:5" x14ac:dyDescent="0.2">
      <c r="B6748" s="533">
        <v>8193</v>
      </c>
      <c r="C6748" s="533" t="s">
        <v>3733</v>
      </c>
      <c r="D6748" s="656" t="s">
        <v>383</v>
      </c>
      <c r="E6748" s="534">
        <v>729.33333300000004</v>
      </c>
    </row>
    <row r="6749" spans="2:5" x14ac:dyDescent="0.2">
      <c r="B6749" s="533">
        <v>8194</v>
      </c>
      <c r="C6749" s="533" t="s">
        <v>1331</v>
      </c>
      <c r="D6749" s="656" t="s">
        <v>383</v>
      </c>
      <c r="E6749" s="534">
        <v>722.67999299999997</v>
      </c>
    </row>
    <row r="6750" spans="2:5" x14ac:dyDescent="0.2">
      <c r="B6750" s="533">
        <v>8195</v>
      </c>
      <c r="C6750" s="533" t="s">
        <v>4292</v>
      </c>
      <c r="D6750" s="656" t="s">
        <v>383</v>
      </c>
      <c r="E6750" s="534">
        <v>764.74285499999996</v>
      </c>
    </row>
    <row r="6751" spans="2:5" x14ac:dyDescent="0.2">
      <c r="B6751" s="533">
        <v>8196</v>
      </c>
      <c r="C6751" s="533" t="s">
        <v>1767</v>
      </c>
      <c r="D6751" s="656" t="s">
        <v>383</v>
      </c>
      <c r="E6751" s="534">
        <v>808.27692100000002</v>
      </c>
    </row>
    <row r="6752" spans="2:5" x14ac:dyDescent="0.2">
      <c r="B6752" s="533">
        <v>8197</v>
      </c>
      <c r="C6752" s="533" t="s">
        <v>4831</v>
      </c>
      <c r="D6752" s="656" t="s">
        <v>383</v>
      </c>
      <c r="E6752" s="534">
        <v>806.625</v>
      </c>
    </row>
    <row r="6753" spans="2:5" x14ac:dyDescent="0.2">
      <c r="B6753" s="533">
        <v>8198</v>
      </c>
      <c r="C6753" s="533" t="s">
        <v>4929</v>
      </c>
      <c r="D6753" s="656" t="s">
        <v>383</v>
      </c>
      <c r="E6753" s="534">
        <v>815.366669</v>
      </c>
    </row>
    <row r="6754" spans="2:5" x14ac:dyDescent="0.2">
      <c r="B6754" s="533">
        <v>8199</v>
      </c>
      <c r="C6754" s="533" t="s">
        <v>4257</v>
      </c>
      <c r="D6754" s="656" t="s">
        <v>383</v>
      </c>
      <c r="E6754" s="534">
        <v>762.45714499999997</v>
      </c>
    </row>
    <row r="6755" spans="2:5" x14ac:dyDescent="0.2">
      <c r="B6755" s="533">
        <v>8200</v>
      </c>
      <c r="C6755" s="533" t="s">
        <v>4992</v>
      </c>
      <c r="D6755" s="656" t="s">
        <v>383</v>
      </c>
      <c r="E6755" s="534">
        <v>823.03749800000003</v>
      </c>
    </row>
    <row r="6756" spans="2:5" x14ac:dyDescent="0.2">
      <c r="B6756" s="533">
        <v>8201</v>
      </c>
      <c r="C6756" s="533" t="s">
        <v>383</v>
      </c>
      <c r="D6756" s="656" t="s">
        <v>383</v>
      </c>
      <c r="E6756" s="534">
        <v>845.89999399999999</v>
      </c>
    </row>
    <row r="6757" spans="2:5" x14ac:dyDescent="0.2">
      <c r="B6757" s="533">
        <v>8202</v>
      </c>
      <c r="C6757" s="533" t="s">
        <v>5148</v>
      </c>
      <c r="D6757" s="656" t="s">
        <v>383</v>
      </c>
      <c r="E6757" s="534">
        <v>839.42500299999995</v>
      </c>
    </row>
    <row r="6758" spans="2:5" x14ac:dyDescent="0.2">
      <c r="B6758" s="533">
        <v>8203</v>
      </c>
      <c r="C6758" s="533" t="s">
        <v>4660</v>
      </c>
      <c r="D6758" s="656" t="s">
        <v>383</v>
      </c>
      <c r="E6758" s="534">
        <v>793.76000999999997</v>
      </c>
    </row>
    <row r="6759" spans="2:5" x14ac:dyDescent="0.2">
      <c r="B6759" s="533">
        <v>8204</v>
      </c>
      <c r="C6759" s="533" t="s">
        <v>4798</v>
      </c>
      <c r="D6759" s="656" t="s">
        <v>383</v>
      </c>
      <c r="E6759" s="534">
        <v>803.97499100000005</v>
      </c>
    </row>
    <row r="6760" spans="2:5" x14ac:dyDescent="0.2">
      <c r="B6760" s="533">
        <v>8205</v>
      </c>
      <c r="C6760" s="533" t="s">
        <v>1092</v>
      </c>
      <c r="D6760" s="656" t="s">
        <v>383</v>
      </c>
      <c r="E6760" s="534">
        <v>834.17999299999997</v>
      </c>
    </row>
    <row r="6761" spans="2:5" x14ac:dyDescent="0.2">
      <c r="B6761" s="533">
        <v>8206</v>
      </c>
      <c r="C6761" s="533" t="s">
        <v>6728</v>
      </c>
      <c r="D6761" s="656" t="s">
        <v>383</v>
      </c>
      <c r="E6761" s="534">
        <v>844.04286400000001</v>
      </c>
    </row>
    <row r="6762" spans="2:5" x14ac:dyDescent="0.2">
      <c r="B6762" s="533">
        <v>8207</v>
      </c>
      <c r="C6762" s="533" t="s">
        <v>5267</v>
      </c>
      <c r="D6762" s="656" t="s">
        <v>383</v>
      </c>
      <c r="E6762" s="534">
        <v>857.379999</v>
      </c>
    </row>
    <row r="6763" spans="2:5" x14ac:dyDescent="0.2">
      <c r="B6763" s="533">
        <v>8208</v>
      </c>
      <c r="C6763" s="533" t="s">
        <v>4336</v>
      </c>
      <c r="D6763" s="656" t="s">
        <v>383</v>
      </c>
      <c r="E6763" s="534">
        <v>767.78749800000003</v>
      </c>
    </row>
    <row r="6764" spans="2:5" x14ac:dyDescent="0.2">
      <c r="B6764" s="533">
        <v>8209</v>
      </c>
      <c r="C6764" s="533" t="s">
        <v>4479</v>
      </c>
      <c r="D6764" s="656" t="s">
        <v>383</v>
      </c>
      <c r="E6764" s="534">
        <v>779.09999100000005</v>
      </c>
    </row>
    <row r="6765" spans="2:5" x14ac:dyDescent="0.2">
      <c r="B6765" s="533">
        <v>8210</v>
      </c>
      <c r="C6765" s="533" t="s">
        <v>4708</v>
      </c>
      <c r="D6765" s="656" t="s">
        <v>383</v>
      </c>
      <c r="E6765" s="534">
        <v>797.58000500000003</v>
      </c>
    </row>
    <row r="6766" spans="2:5" x14ac:dyDescent="0.2">
      <c r="B6766" s="533">
        <v>8211</v>
      </c>
      <c r="C6766" s="533" t="s">
        <v>5029</v>
      </c>
      <c r="D6766" s="656" t="s">
        <v>383</v>
      </c>
      <c r="E6766" s="534">
        <v>826.53334600000005</v>
      </c>
    </row>
    <row r="6767" spans="2:5" x14ac:dyDescent="0.2">
      <c r="B6767" s="533">
        <v>8212</v>
      </c>
      <c r="C6767" s="533" t="s">
        <v>4966</v>
      </c>
      <c r="D6767" s="656" t="s">
        <v>383</v>
      </c>
      <c r="E6767" s="534">
        <v>819.77999899999998</v>
      </c>
    </row>
    <row r="6768" spans="2:5" x14ac:dyDescent="0.2">
      <c r="B6768" s="533">
        <v>8213</v>
      </c>
      <c r="C6768" s="533" t="s">
        <v>5167</v>
      </c>
      <c r="D6768" s="656" t="s">
        <v>383</v>
      </c>
      <c r="E6768" s="534">
        <v>841.80000800000005</v>
      </c>
    </row>
    <row r="6769" spans="2:5" x14ac:dyDescent="0.2">
      <c r="B6769" s="533">
        <v>8214</v>
      </c>
      <c r="C6769" s="533" t="s">
        <v>4532</v>
      </c>
      <c r="D6769" s="656" t="s">
        <v>383</v>
      </c>
      <c r="E6769" s="534">
        <v>783.09167000000002</v>
      </c>
    </row>
    <row r="6770" spans="2:5" x14ac:dyDescent="0.2">
      <c r="B6770" s="533">
        <v>8215</v>
      </c>
      <c r="C6770" s="533" t="s">
        <v>5014</v>
      </c>
      <c r="D6770" s="656" t="s">
        <v>383</v>
      </c>
      <c r="E6770" s="534">
        <v>825.02173900000003</v>
      </c>
    </row>
    <row r="6771" spans="2:5" x14ac:dyDescent="0.2">
      <c r="B6771" s="533">
        <v>8216</v>
      </c>
      <c r="C6771" s="533" t="s">
        <v>4724</v>
      </c>
      <c r="D6771" s="656" t="s">
        <v>383</v>
      </c>
      <c r="E6771" s="534">
        <v>799.13334099999997</v>
      </c>
    </row>
    <row r="6772" spans="2:5" x14ac:dyDescent="0.2">
      <c r="B6772" s="533">
        <v>8217</v>
      </c>
      <c r="C6772" s="533" t="s">
        <v>4721</v>
      </c>
      <c r="D6772" s="656" t="s">
        <v>383</v>
      </c>
      <c r="E6772" s="534">
        <v>798.73333700000001</v>
      </c>
    </row>
    <row r="6773" spans="2:5" x14ac:dyDescent="0.2">
      <c r="B6773" s="533">
        <v>8218</v>
      </c>
      <c r="C6773" s="533" t="s">
        <v>5063</v>
      </c>
      <c r="D6773" s="656" t="s">
        <v>383</v>
      </c>
      <c r="E6773" s="534">
        <v>830.82000700000003</v>
      </c>
    </row>
    <row r="6774" spans="2:5" x14ac:dyDescent="0.2">
      <c r="B6774" s="533">
        <v>8219</v>
      </c>
      <c r="C6774" s="533" t="s">
        <v>3221</v>
      </c>
      <c r="D6774" s="656" t="s">
        <v>383</v>
      </c>
      <c r="E6774" s="534">
        <v>702.61333400000001</v>
      </c>
    </row>
    <row r="6775" spans="2:5" x14ac:dyDescent="0.2">
      <c r="B6775" s="533">
        <v>8220</v>
      </c>
      <c r="C6775" s="533" t="s">
        <v>7028</v>
      </c>
      <c r="D6775" s="656" t="s">
        <v>383</v>
      </c>
      <c r="E6775" s="534">
        <v>660.54998799999998</v>
      </c>
    </row>
    <row r="6776" spans="2:5" x14ac:dyDescent="0.2">
      <c r="B6776" s="533">
        <v>8221</v>
      </c>
      <c r="C6776" s="533" t="s">
        <v>3452</v>
      </c>
      <c r="D6776" s="656" t="s">
        <v>383</v>
      </c>
      <c r="E6776" s="534">
        <v>713.93333900000005</v>
      </c>
    </row>
    <row r="6777" spans="2:5" x14ac:dyDescent="0.2">
      <c r="B6777" s="533">
        <v>8222</v>
      </c>
      <c r="C6777" s="533" t="s">
        <v>4326</v>
      </c>
      <c r="D6777" s="656" t="s">
        <v>383</v>
      </c>
      <c r="E6777" s="534">
        <v>767.22499800000003</v>
      </c>
    </row>
    <row r="6778" spans="2:5" x14ac:dyDescent="0.2">
      <c r="B6778" s="533">
        <v>8223</v>
      </c>
      <c r="C6778" s="533" t="s">
        <v>4023</v>
      </c>
      <c r="D6778" s="656" t="s">
        <v>383</v>
      </c>
      <c r="E6778" s="534">
        <v>746.94443799999999</v>
      </c>
    </row>
    <row r="6779" spans="2:5" x14ac:dyDescent="0.2">
      <c r="B6779" s="533">
        <v>8224</v>
      </c>
      <c r="C6779" s="533" t="s">
        <v>4185</v>
      </c>
      <c r="D6779" s="656" t="s">
        <v>383</v>
      </c>
      <c r="E6779" s="534">
        <v>757.14286600000003</v>
      </c>
    </row>
    <row r="6780" spans="2:5" x14ac:dyDescent="0.2">
      <c r="B6780" s="533">
        <v>8225</v>
      </c>
      <c r="C6780" s="533" t="s">
        <v>3701</v>
      </c>
      <c r="D6780" s="656" t="s">
        <v>383</v>
      </c>
      <c r="E6780" s="534">
        <v>779.72000700000001</v>
      </c>
    </row>
    <row r="6781" spans="2:5" x14ac:dyDescent="0.2">
      <c r="B6781" s="533">
        <v>8226</v>
      </c>
      <c r="C6781" s="533" t="s">
        <v>5102</v>
      </c>
      <c r="D6781" s="656" t="s">
        <v>383</v>
      </c>
      <c r="E6781" s="534">
        <v>834.51764600000001</v>
      </c>
    </row>
    <row r="6782" spans="2:5" x14ac:dyDescent="0.2">
      <c r="B6782" s="533">
        <v>8227</v>
      </c>
      <c r="C6782" s="533" t="s">
        <v>4689</v>
      </c>
      <c r="D6782" s="656" t="s">
        <v>383</v>
      </c>
      <c r="E6782" s="534">
        <v>795.56666600000005</v>
      </c>
    </row>
    <row r="6783" spans="2:5" x14ac:dyDescent="0.2">
      <c r="B6783" s="533">
        <v>8228</v>
      </c>
      <c r="C6783" s="533" t="s">
        <v>5200</v>
      </c>
      <c r="D6783" s="656" t="s">
        <v>383</v>
      </c>
      <c r="E6783" s="534">
        <v>846.75</v>
      </c>
    </row>
    <row r="6784" spans="2:5" x14ac:dyDescent="0.2">
      <c r="B6784" s="533">
        <v>8229</v>
      </c>
      <c r="C6784" s="533" t="s">
        <v>4284</v>
      </c>
      <c r="D6784" s="656" t="s">
        <v>383</v>
      </c>
      <c r="E6784" s="534">
        <v>804.75</v>
      </c>
    </row>
    <row r="6785" spans="2:5" x14ac:dyDescent="0.2">
      <c r="B6785" s="533">
        <v>8230</v>
      </c>
      <c r="C6785" s="533" t="s">
        <v>5192</v>
      </c>
      <c r="D6785" s="656" t="s">
        <v>383</v>
      </c>
      <c r="E6785" s="534">
        <v>845.69090100000005</v>
      </c>
    </row>
    <row r="6786" spans="2:5" x14ac:dyDescent="0.2">
      <c r="B6786" s="533">
        <v>8231</v>
      </c>
      <c r="C6786" s="533" t="s">
        <v>6674</v>
      </c>
      <c r="D6786" s="656" t="s">
        <v>383</v>
      </c>
      <c r="E6786" s="534">
        <v>788.31666099999995</v>
      </c>
    </row>
    <row r="6787" spans="2:5" x14ac:dyDescent="0.2">
      <c r="B6787" s="533">
        <v>8232</v>
      </c>
      <c r="C6787" s="533" t="s">
        <v>7497</v>
      </c>
      <c r="D6787" s="656" t="s">
        <v>383</v>
      </c>
      <c r="E6787" s="534">
        <v>775.76000999999997</v>
      </c>
    </row>
    <row r="6788" spans="2:5" x14ac:dyDescent="0.2">
      <c r="B6788" s="533">
        <v>8233</v>
      </c>
      <c r="C6788" s="533" t="s">
        <v>4952</v>
      </c>
      <c r="D6788" s="656" t="s">
        <v>383</v>
      </c>
      <c r="E6788" s="534">
        <v>817.883331</v>
      </c>
    </row>
    <row r="6789" spans="2:5" x14ac:dyDescent="0.2">
      <c r="B6789" s="533">
        <v>8234</v>
      </c>
      <c r="C6789" s="533" t="s">
        <v>5370</v>
      </c>
      <c r="D6789" s="656" t="s">
        <v>383</v>
      </c>
      <c r="E6789" s="534">
        <v>874.82857000000001</v>
      </c>
    </row>
    <row r="6790" spans="2:5" x14ac:dyDescent="0.2">
      <c r="B6790" s="533">
        <v>8235</v>
      </c>
      <c r="C6790" s="533" t="s">
        <v>5425</v>
      </c>
      <c r="D6790" s="656" t="s">
        <v>383</v>
      </c>
      <c r="E6790" s="534">
        <v>884.95714499999997</v>
      </c>
    </row>
    <row r="6791" spans="2:5" x14ac:dyDescent="0.2">
      <c r="B6791" s="533">
        <v>8236</v>
      </c>
      <c r="C6791" s="533" t="s">
        <v>7040</v>
      </c>
      <c r="D6791" s="656" t="s">
        <v>383</v>
      </c>
      <c r="E6791" s="534">
        <v>854.77999899999998</v>
      </c>
    </row>
    <row r="6792" spans="2:5" x14ac:dyDescent="0.2">
      <c r="B6792" s="533">
        <v>8237</v>
      </c>
      <c r="C6792" s="533" t="s">
        <v>5095</v>
      </c>
      <c r="D6792" s="656" t="s">
        <v>383</v>
      </c>
      <c r="E6792" s="534">
        <v>833.73333700000001</v>
      </c>
    </row>
    <row r="6793" spans="2:5" x14ac:dyDescent="0.2">
      <c r="B6793" s="533">
        <v>8238</v>
      </c>
      <c r="C6793" s="533" t="s">
        <v>5255</v>
      </c>
      <c r="D6793" s="656" t="s">
        <v>383</v>
      </c>
      <c r="E6793" s="534">
        <v>855.73332700000003</v>
      </c>
    </row>
    <row r="6794" spans="2:5" x14ac:dyDescent="0.2">
      <c r="B6794" s="533">
        <v>8239</v>
      </c>
      <c r="C6794" s="533" t="s">
        <v>5158</v>
      </c>
      <c r="D6794" s="656" t="s">
        <v>383</v>
      </c>
      <c r="E6794" s="534">
        <v>840.39999799999998</v>
      </c>
    </row>
    <row r="6795" spans="2:5" x14ac:dyDescent="0.2">
      <c r="B6795" s="533">
        <v>8240</v>
      </c>
      <c r="C6795" s="533" t="s">
        <v>4860</v>
      </c>
      <c r="D6795" s="656" t="s">
        <v>383</v>
      </c>
      <c r="E6795" s="534">
        <v>845.96667500000001</v>
      </c>
    </row>
    <row r="6796" spans="2:5" x14ac:dyDescent="0.2">
      <c r="B6796" s="533">
        <v>8241</v>
      </c>
      <c r="C6796" s="533" t="s">
        <v>4083</v>
      </c>
      <c r="D6796" s="656" t="s">
        <v>383</v>
      </c>
      <c r="E6796" s="534">
        <v>821.70001200000002</v>
      </c>
    </row>
    <row r="6797" spans="2:5" x14ac:dyDescent="0.2">
      <c r="B6797" s="533">
        <v>8242</v>
      </c>
      <c r="C6797" s="533" t="s">
        <v>4549</v>
      </c>
      <c r="D6797" s="656" t="s">
        <v>383</v>
      </c>
      <c r="E6797" s="534">
        <v>819.10000600000001</v>
      </c>
    </row>
    <row r="6798" spans="2:5" x14ac:dyDescent="0.2">
      <c r="B6798" s="533">
        <v>8243</v>
      </c>
      <c r="C6798" s="533" t="s">
        <v>5098</v>
      </c>
      <c r="D6798" s="656" t="s">
        <v>383</v>
      </c>
      <c r="E6798" s="534">
        <v>834.02497900000003</v>
      </c>
    </row>
    <row r="6799" spans="2:5" x14ac:dyDescent="0.2">
      <c r="B6799" s="533">
        <v>8244</v>
      </c>
      <c r="C6799" s="533" t="s">
        <v>1284</v>
      </c>
      <c r="D6799" s="656" t="s">
        <v>383</v>
      </c>
      <c r="E6799" s="534">
        <v>824.95001200000002</v>
      </c>
    </row>
    <row r="6800" spans="2:5" x14ac:dyDescent="0.2">
      <c r="B6800" s="533">
        <v>8245</v>
      </c>
      <c r="C6800" s="533" t="s">
        <v>5076</v>
      </c>
      <c r="D6800" s="656" t="s">
        <v>383</v>
      </c>
      <c r="E6800" s="534">
        <v>831.53000499999996</v>
      </c>
    </row>
    <row r="6801" spans="2:5" x14ac:dyDescent="0.2">
      <c r="B6801" s="533">
        <v>8251</v>
      </c>
      <c r="C6801" s="533" t="s">
        <v>2696</v>
      </c>
      <c r="D6801" s="656" t="s">
        <v>374</v>
      </c>
      <c r="E6801" s="534">
        <v>828.68332899999996</v>
      </c>
    </row>
    <row r="6802" spans="2:5" x14ac:dyDescent="0.2">
      <c r="B6802" s="533">
        <v>8252</v>
      </c>
      <c r="C6802" s="533" t="s">
        <v>4592</v>
      </c>
      <c r="D6802" s="656" t="s">
        <v>374</v>
      </c>
      <c r="E6802" s="534">
        <v>788.05833399999995</v>
      </c>
    </row>
    <row r="6803" spans="2:5" x14ac:dyDescent="0.2">
      <c r="B6803" s="533">
        <v>8253</v>
      </c>
      <c r="C6803" s="533" t="s">
        <v>6922</v>
      </c>
      <c r="D6803" s="656" t="s">
        <v>374</v>
      </c>
      <c r="E6803" s="534">
        <v>788.79998799999998</v>
      </c>
    </row>
    <row r="6804" spans="2:5" x14ac:dyDescent="0.2">
      <c r="B6804" s="533">
        <v>8254</v>
      </c>
      <c r="C6804" s="533" t="s">
        <v>4292</v>
      </c>
      <c r="D6804" s="656" t="s">
        <v>374</v>
      </c>
      <c r="E6804" s="534">
        <v>786.91109900000004</v>
      </c>
    </row>
    <row r="6805" spans="2:5" x14ac:dyDescent="0.2">
      <c r="B6805" s="533">
        <v>8255</v>
      </c>
      <c r="C6805" s="533" t="s">
        <v>4545</v>
      </c>
      <c r="D6805" s="656" t="s">
        <v>374</v>
      </c>
      <c r="E6805" s="534">
        <v>784.14999399999999</v>
      </c>
    </row>
    <row r="6806" spans="2:5" x14ac:dyDescent="0.2">
      <c r="B6806" s="533">
        <v>8256</v>
      </c>
      <c r="C6806" s="533" t="s">
        <v>5086</v>
      </c>
      <c r="D6806" s="656" t="s">
        <v>374</v>
      </c>
      <c r="E6806" s="534">
        <v>832.55999799999995</v>
      </c>
    </row>
    <row r="6807" spans="2:5" x14ac:dyDescent="0.2">
      <c r="B6807" s="533">
        <v>8257</v>
      </c>
      <c r="C6807" s="533" t="s">
        <v>5340</v>
      </c>
      <c r="D6807" s="656" t="s">
        <v>374</v>
      </c>
      <c r="E6807" s="534">
        <v>870.63332100000002</v>
      </c>
    </row>
    <row r="6808" spans="2:5" x14ac:dyDescent="0.2">
      <c r="B6808" s="533">
        <v>8258</v>
      </c>
      <c r="C6808" s="533" t="s">
        <v>5182</v>
      </c>
      <c r="D6808" s="656" t="s">
        <v>374</v>
      </c>
      <c r="E6808" s="534">
        <v>844.67498799999998</v>
      </c>
    </row>
    <row r="6809" spans="2:5" x14ac:dyDescent="0.2">
      <c r="B6809" s="533">
        <v>8259</v>
      </c>
      <c r="C6809" s="533" t="s">
        <v>6946</v>
      </c>
      <c r="D6809" s="656" t="s">
        <v>374</v>
      </c>
      <c r="E6809" s="534">
        <v>802.83334400000001</v>
      </c>
    </row>
    <row r="6810" spans="2:5" x14ac:dyDescent="0.2">
      <c r="B6810" s="533">
        <v>8260</v>
      </c>
      <c r="C6810" s="533" t="s">
        <v>4771</v>
      </c>
      <c r="D6810" s="656" t="s">
        <v>374</v>
      </c>
      <c r="E6810" s="534">
        <v>802.13333499999999</v>
      </c>
    </row>
    <row r="6811" spans="2:5" x14ac:dyDescent="0.2">
      <c r="B6811" s="533">
        <v>8261</v>
      </c>
      <c r="C6811" s="533" t="s">
        <v>2796</v>
      </c>
      <c r="D6811" s="656" t="s">
        <v>374</v>
      </c>
      <c r="E6811" s="534">
        <v>798.32499700000005</v>
      </c>
    </row>
    <row r="6812" spans="2:5" x14ac:dyDescent="0.2">
      <c r="B6812" s="533">
        <v>8262</v>
      </c>
      <c r="C6812" s="533" t="s">
        <v>4487</v>
      </c>
      <c r="D6812" s="656" t="s">
        <v>374</v>
      </c>
      <c r="E6812" s="534">
        <v>779.860004</v>
      </c>
    </row>
    <row r="6813" spans="2:5" x14ac:dyDescent="0.2">
      <c r="B6813" s="533">
        <v>8263</v>
      </c>
      <c r="C6813" s="533" t="s">
        <v>4921</v>
      </c>
      <c r="D6813" s="656" t="s">
        <v>374</v>
      </c>
      <c r="E6813" s="534">
        <v>814.89999399999999</v>
      </c>
    </row>
    <row r="6814" spans="2:5" x14ac:dyDescent="0.2">
      <c r="B6814" s="533">
        <v>8264</v>
      </c>
      <c r="C6814" s="533" t="s">
        <v>4860</v>
      </c>
      <c r="D6814" s="656" t="s">
        <v>374</v>
      </c>
      <c r="E6814" s="534">
        <v>808.70000500000003</v>
      </c>
    </row>
    <row r="6815" spans="2:5" x14ac:dyDescent="0.2">
      <c r="B6815" s="533">
        <v>8265</v>
      </c>
      <c r="C6815" s="533" t="s">
        <v>4679</v>
      </c>
      <c r="D6815" s="656" t="s">
        <v>374</v>
      </c>
      <c r="E6815" s="534">
        <v>795.00000599999998</v>
      </c>
    </row>
    <row r="6816" spans="2:5" x14ac:dyDescent="0.2">
      <c r="B6816" s="533">
        <v>8266</v>
      </c>
      <c r="C6816" s="533" t="s">
        <v>4461</v>
      </c>
      <c r="D6816" s="656" t="s">
        <v>374</v>
      </c>
      <c r="E6816" s="534">
        <v>778.125</v>
      </c>
    </row>
    <row r="6817" spans="2:5" x14ac:dyDescent="0.2">
      <c r="B6817" s="533">
        <v>8267</v>
      </c>
      <c r="C6817" s="533" t="s">
        <v>4516</v>
      </c>
      <c r="D6817" s="656" t="s">
        <v>374</v>
      </c>
      <c r="E6817" s="534">
        <v>781.44999700000005</v>
      </c>
    </row>
    <row r="6818" spans="2:5" x14ac:dyDescent="0.2">
      <c r="B6818" s="533">
        <v>8268</v>
      </c>
      <c r="C6818" s="533" t="s">
        <v>4167</v>
      </c>
      <c r="D6818" s="656" t="s">
        <v>374</v>
      </c>
      <c r="E6818" s="534">
        <v>760.09999900000003</v>
      </c>
    </row>
    <row r="6819" spans="2:5" x14ac:dyDescent="0.2">
      <c r="B6819" s="533">
        <v>8269</v>
      </c>
      <c r="C6819" s="533" t="s">
        <v>4514</v>
      </c>
      <c r="D6819" s="656" t="s">
        <v>374</v>
      </c>
      <c r="E6819" s="534">
        <v>781.24999000000003</v>
      </c>
    </row>
    <row r="6820" spans="2:5" x14ac:dyDescent="0.2">
      <c r="B6820" s="533">
        <v>8270</v>
      </c>
      <c r="C6820" s="533" t="s">
        <v>4233</v>
      </c>
      <c r="D6820" s="656" t="s">
        <v>374</v>
      </c>
      <c r="E6820" s="534">
        <v>760.47692400000005</v>
      </c>
    </row>
    <row r="6821" spans="2:5" x14ac:dyDescent="0.2">
      <c r="B6821" s="533">
        <v>8271</v>
      </c>
      <c r="C6821" s="533" t="s">
        <v>6471</v>
      </c>
      <c r="D6821" s="656" t="s">
        <v>374</v>
      </c>
      <c r="E6821" s="534">
        <v>760.35556399999996</v>
      </c>
    </row>
    <row r="6822" spans="2:5" x14ac:dyDescent="0.2">
      <c r="B6822" s="533">
        <v>8272</v>
      </c>
      <c r="C6822" s="533" t="s">
        <v>4467</v>
      </c>
      <c r="D6822" s="656" t="s">
        <v>374</v>
      </c>
      <c r="E6822" s="534">
        <v>778.50000699999998</v>
      </c>
    </row>
    <row r="6823" spans="2:5" x14ac:dyDescent="0.2">
      <c r="B6823" s="533">
        <v>8273</v>
      </c>
      <c r="C6823" s="533" t="s">
        <v>3325</v>
      </c>
      <c r="D6823" s="656" t="s">
        <v>374</v>
      </c>
      <c r="E6823" s="534">
        <v>768.46363399999996</v>
      </c>
    </row>
    <row r="6824" spans="2:5" x14ac:dyDescent="0.2">
      <c r="B6824" s="533">
        <v>8274</v>
      </c>
      <c r="C6824" s="533" t="s">
        <v>2182</v>
      </c>
      <c r="D6824" s="656" t="s">
        <v>374</v>
      </c>
      <c r="E6824" s="534">
        <v>740.114284</v>
      </c>
    </row>
    <row r="6825" spans="2:5" x14ac:dyDescent="0.2">
      <c r="B6825" s="533">
        <v>8275</v>
      </c>
      <c r="C6825" s="533" t="s">
        <v>3926</v>
      </c>
      <c r="D6825" s="656" t="s">
        <v>374</v>
      </c>
      <c r="E6825" s="534">
        <v>740.81001000000003</v>
      </c>
    </row>
    <row r="6826" spans="2:5" x14ac:dyDescent="0.2">
      <c r="B6826" s="533">
        <v>8276</v>
      </c>
      <c r="C6826" s="533" t="s">
        <v>4305</v>
      </c>
      <c r="D6826" s="656" t="s">
        <v>374</v>
      </c>
      <c r="E6826" s="534">
        <v>765.79998799999998</v>
      </c>
    </row>
    <row r="6827" spans="2:5" x14ac:dyDescent="0.2">
      <c r="B6827" s="533">
        <v>8277</v>
      </c>
      <c r="C6827" s="533" t="s">
        <v>4113</v>
      </c>
      <c r="D6827" s="656" t="s">
        <v>374</v>
      </c>
      <c r="E6827" s="534">
        <v>752.15000399999997</v>
      </c>
    </row>
    <row r="6828" spans="2:5" x14ac:dyDescent="0.2">
      <c r="B6828" s="533">
        <v>8278</v>
      </c>
      <c r="C6828" s="533" t="s">
        <v>3614</v>
      </c>
      <c r="D6828" s="656" t="s">
        <v>374</v>
      </c>
      <c r="E6828" s="534">
        <v>723.30832399999997</v>
      </c>
    </row>
    <row r="6829" spans="2:5" x14ac:dyDescent="0.2">
      <c r="B6829" s="533">
        <v>8279</v>
      </c>
      <c r="C6829" s="533" t="s">
        <v>2461</v>
      </c>
      <c r="D6829" s="656" t="s">
        <v>374</v>
      </c>
      <c r="E6829" s="534">
        <v>664.79999799999996</v>
      </c>
    </row>
    <row r="6830" spans="2:5" x14ac:dyDescent="0.2">
      <c r="B6830" s="533">
        <v>8280</v>
      </c>
      <c r="C6830" s="533" t="s">
        <v>6672</v>
      </c>
      <c r="D6830" s="656" t="s">
        <v>374</v>
      </c>
      <c r="E6830" s="534">
        <v>790.29333099999997</v>
      </c>
    </row>
    <row r="6831" spans="2:5" x14ac:dyDescent="0.2">
      <c r="B6831" s="533">
        <v>8281</v>
      </c>
      <c r="C6831" s="533" t="s">
        <v>3124</v>
      </c>
      <c r="D6831" s="656" t="s">
        <v>374</v>
      </c>
      <c r="E6831" s="534">
        <v>789.14000199999998</v>
      </c>
    </row>
    <row r="6832" spans="2:5" x14ac:dyDescent="0.2">
      <c r="B6832" s="533">
        <v>8282</v>
      </c>
      <c r="C6832" s="533" t="s">
        <v>4703</v>
      </c>
      <c r="D6832" s="656" t="s">
        <v>374</v>
      </c>
      <c r="E6832" s="534">
        <v>797.13332800000001</v>
      </c>
    </row>
    <row r="6833" spans="2:5" x14ac:dyDescent="0.2">
      <c r="B6833" s="533">
        <v>8283</v>
      </c>
      <c r="C6833" s="533" t="s">
        <v>4722</v>
      </c>
      <c r="D6833" s="656" t="s">
        <v>374</v>
      </c>
      <c r="E6833" s="534">
        <v>798.80000099999995</v>
      </c>
    </row>
    <row r="6834" spans="2:5" x14ac:dyDescent="0.2">
      <c r="B6834" s="533">
        <v>8284</v>
      </c>
      <c r="C6834" s="533" t="s">
        <v>3797</v>
      </c>
      <c r="D6834" s="656" t="s">
        <v>374</v>
      </c>
      <c r="E6834" s="534">
        <v>823.95001200000002</v>
      </c>
    </row>
    <row r="6835" spans="2:5" x14ac:dyDescent="0.2">
      <c r="B6835" s="533">
        <v>8285</v>
      </c>
      <c r="C6835" s="533" t="s">
        <v>4728</v>
      </c>
      <c r="D6835" s="656" t="s">
        <v>374</v>
      </c>
      <c r="E6835" s="534">
        <v>799.25</v>
      </c>
    </row>
    <row r="6836" spans="2:5" x14ac:dyDescent="0.2">
      <c r="B6836" s="533">
        <v>8286</v>
      </c>
      <c r="C6836" s="533" t="s">
        <v>4685</v>
      </c>
      <c r="D6836" s="656" t="s">
        <v>374</v>
      </c>
      <c r="E6836" s="534">
        <v>795.41110600000002</v>
      </c>
    </row>
    <row r="6837" spans="2:5" x14ac:dyDescent="0.2">
      <c r="B6837" s="533">
        <v>8287</v>
      </c>
      <c r="C6837" s="533" t="s">
        <v>4000</v>
      </c>
      <c r="D6837" s="656" t="s">
        <v>374</v>
      </c>
      <c r="E6837" s="534">
        <v>745.55000299999995</v>
      </c>
    </row>
    <row r="6838" spans="2:5" x14ac:dyDescent="0.2">
      <c r="B6838" s="533">
        <v>8288</v>
      </c>
      <c r="C6838" s="533" t="s">
        <v>4107</v>
      </c>
      <c r="D6838" s="656" t="s">
        <v>374</v>
      </c>
      <c r="E6838" s="534">
        <v>751.8</v>
      </c>
    </row>
    <row r="6839" spans="2:5" x14ac:dyDescent="0.2">
      <c r="B6839" s="533">
        <v>8289</v>
      </c>
      <c r="C6839" s="533" t="s">
        <v>4289</v>
      </c>
      <c r="D6839" s="656" t="s">
        <v>374</v>
      </c>
      <c r="E6839" s="534">
        <v>764.42857100000003</v>
      </c>
    </row>
    <row r="6840" spans="2:5" x14ac:dyDescent="0.2">
      <c r="B6840" s="533">
        <v>8290</v>
      </c>
      <c r="C6840" s="533" t="s">
        <v>4005</v>
      </c>
      <c r="D6840" s="656" t="s">
        <v>374</v>
      </c>
      <c r="E6840" s="534">
        <v>782.36250299999995</v>
      </c>
    </row>
    <row r="6841" spans="2:5" x14ac:dyDescent="0.2">
      <c r="B6841" s="533">
        <v>8291</v>
      </c>
      <c r="C6841" s="533" t="s">
        <v>7305</v>
      </c>
      <c r="D6841" s="656" t="s">
        <v>374</v>
      </c>
      <c r="E6841" s="534">
        <v>772.01249700000005</v>
      </c>
    </row>
    <row r="6842" spans="2:5" x14ac:dyDescent="0.2">
      <c r="B6842" s="533">
        <v>8292</v>
      </c>
      <c r="C6842" s="533" t="s">
        <v>3911</v>
      </c>
      <c r="D6842" s="656" t="s">
        <v>374</v>
      </c>
      <c r="E6842" s="534">
        <v>740.08572800000002</v>
      </c>
    </row>
    <row r="6843" spans="2:5" x14ac:dyDescent="0.2">
      <c r="B6843" s="533">
        <v>8293</v>
      </c>
      <c r="C6843" s="533" t="s">
        <v>2391</v>
      </c>
      <c r="D6843" s="656" t="s">
        <v>374</v>
      </c>
      <c r="E6843" s="534">
        <v>753.10001199999999</v>
      </c>
    </row>
    <row r="6844" spans="2:5" x14ac:dyDescent="0.2">
      <c r="B6844" s="533">
        <v>8294</v>
      </c>
      <c r="C6844" s="533" t="s">
        <v>3595</v>
      </c>
      <c r="D6844" s="656" t="s">
        <v>374</v>
      </c>
      <c r="E6844" s="534">
        <v>721.63333499999999</v>
      </c>
    </row>
    <row r="6845" spans="2:5" x14ac:dyDescent="0.2">
      <c r="B6845" s="533">
        <v>8295</v>
      </c>
      <c r="C6845" s="533" t="s">
        <v>3738</v>
      </c>
      <c r="D6845" s="656" t="s">
        <v>374</v>
      </c>
      <c r="E6845" s="534">
        <v>729.61111800000003</v>
      </c>
    </row>
    <row r="6846" spans="2:5" x14ac:dyDescent="0.2">
      <c r="B6846" s="533">
        <v>8296</v>
      </c>
      <c r="C6846" s="533" t="s">
        <v>3208</v>
      </c>
      <c r="D6846" s="656" t="s">
        <v>374</v>
      </c>
      <c r="E6846" s="534">
        <v>701.94285400000001</v>
      </c>
    </row>
    <row r="6847" spans="2:5" x14ac:dyDescent="0.2">
      <c r="B6847" s="533">
        <v>8297</v>
      </c>
      <c r="C6847" s="533" t="s">
        <v>3302</v>
      </c>
      <c r="D6847" s="656" t="s">
        <v>374</v>
      </c>
      <c r="E6847" s="534">
        <v>706.616669</v>
      </c>
    </row>
    <row r="6848" spans="2:5" x14ac:dyDescent="0.2">
      <c r="B6848" s="533">
        <v>8298</v>
      </c>
      <c r="C6848" s="533" t="s">
        <v>5472</v>
      </c>
      <c r="D6848" s="656" t="s">
        <v>374</v>
      </c>
      <c r="E6848" s="534">
        <v>893.26666299999999</v>
      </c>
    </row>
    <row r="6849" spans="2:5" x14ac:dyDescent="0.2">
      <c r="B6849" s="533">
        <v>8299</v>
      </c>
      <c r="C6849" s="533" t="s">
        <v>5323</v>
      </c>
      <c r="D6849" s="656" t="s">
        <v>374</v>
      </c>
      <c r="E6849" s="534">
        <v>867.86249499999997</v>
      </c>
    </row>
    <row r="6850" spans="2:5" x14ac:dyDescent="0.2">
      <c r="B6850" s="533">
        <v>8300</v>
      </c>
      <c r="C6850" s="533" t="s">
        <v>5108</v>
      </c>
      <c r="D6850" s="656" t="s">
        <v>374</v>
      </c>
      <c r="E6850" s="534">
        <v>835.01665800000001</v>
      </c>
    </row>
    <row r="6851" spans="2:5" x14ac:dyDescent="0.2">
      <c r="B6851" s="533">
        <v>8301</v>
      </c>
      <c r="C6851" s="533" t="s">
        <v>5069</v>
      </c>
      <c r="D6851" s="656" t="s">
        <v>374</v>
      </c>
      <c r="E6851" s="534">
        <v>831.06666099999995</v>
      </c>
    </row>
    <row r="6852" spans="2:5" x14ac:dyDescent="0.2">
      <c r="B6852" s="533">
        <v>8302</v>
      </c>
      <c r="C6852" s="533" t="s">
        <v>4764</v>
      </c>
      <c r="D6852" s="656" t="s">
        <v>374</v>
      </c>
      <c r="E6852" s="534">
        <v>801.97778700000003</v>
      </c>
    </row>
    <row r="6853" spans="2:5" x14ac:dyDescent="0.2">
      <c r="B6853" s="533">
        <v>8303</v>
      </c>
      <c r="C6853" s="533" t="s">
        <v>4805</v>
      </c>
      <c r="D6853" s="656" t="s">
        <v>374</v>
      </c>
      <c r="E6853" s="534">
        <v>804.42500299999995</v>
      </c>
    </row>
    <row r="6854" spans="2:5" x14ac:dyDescent="0.2">
      <c r="B6854" s="533">
        <v>8304</v>
      </c>
      <c r="C6854" s="533" t="s">
        <v>7529</v>
      </c>
      <c r="D6854" s="656" t="s">
        <v>374</v>
      </c>
      <c r="E6854" s="534">
        <v>787.71666500000003</v>
      </c>
    </row>
    <row r="6855" spans="2:5" x14ac:dyDescent="0.2">
      <c r="B6855" s="533">
        <v>8305</v>
      </c>
      <c r="C6855" s="533" t="s">
        <v>4564</v>
      </c>
      <c r="D6855" s="656" t="s">
        <v>374</v>
      </c>
      <c r="E6855" s="534">
        <v>786.02381800000001</v>
      </c>
    </row>
    <row r="6856" spans="2:5" x14ac:dyDescent="0.2">
      <c r="B6856" s="533">
        <v>8306</v>
      </c>
      <c r="C6856" s="533" t="s">
        <v>4429</v>
      </c>
      <c r="D6856" s="656" t="s">
        <v>374</v>
      </c>
      <c r="E6856" s="534">
        <v>775.827271</v>
      </c>
    </row>
    <row r="6857" spans="2:5" x14ac:dyDescent="0.2">
      <c r="B6857" s="533">
        <v>8307</v>
      </c>
      <c r="C6857" s="533" t="s">
        <v>4671</v>
      </c>
      <c r="D6857" s="656" t="s">
        <v>374</v>
      </c>
      <c r="E6857" s="534">
        <v>826.29998799999998</v>
      </c>
    </row>
    <row r="6858" spans="2:5" x14ac:dyDescent="0.2">
      <c r="B6858" s="533">
        <v>8308</v>
      </c>
      <c r="C6858" s="533" t="s">
        <v>4861</v>
      </c>
      <c r="D6858" s="656" t="s">
        <v>374</v>
      </c>
      <c r="E6858" s="534">
        <v>808.776475</v>
      </c>
    </row>
    <row r="6859" spans="2:5" x14ac:dyDescent="0.2">
      <c r="B6859" s="533">
        <v>8309</v>
      </c>
      <c r="C6859" s="533" t="s">
        <v>4654</v>
      </c>
      <c r="D6859" s="656" t="s">
        <v>374</v>
      </c>
      <c r="E6859" s="534">
        <v>793.19999700000005</v>
      </c>
    </row>
    <row r="6860" spans="2:5" x14ac:dyDescent="0.2">
      <c r="B6860" s="533">
        <v>8310</v>
      </c>
      <c r="C6860" s="533" t="s">
        <v>4714</v>
      </c>
      <c r="D6860" s="656" t="s">
        <v>374</v>
      </c>
      <c r="E6860" s="534">
        <v>797.71111399999995</v>
      </c>
    </row>
    <row r="6861" spans="2:5" x14ac:dyDescent="0.2">
      <c r="B6861" s="533">
        <v>8311</v>
      </c>
      <c r="C6861" s="533" t="s">
        <v>4216</v>
      </c>
      <c r="D6861" s="656" t="s">
        <v>374</v>
      </c>
      <c r="E6861" s="534">
        <v>759.58332800000005</v>
      </c>
    </row>
    <row r="6862" spans="2:5" x14ac:dyDescent="0.2">
      <c r="B6862" s="533">
        <v>8312</v>
      </c>
      <c r="C6862" s="533" t="s">
        <v>4007</v>
      </c>
      <c r="D6862" s="656" t="s">
        <v>374</v>
      </c>
      <c r="E6862" s="534">
        <v>745.95714499999997</v>
      </c>
    </row>
    <row r="6863" spans="2:5" x14ac:dyDescent="0.2">
      <c r="B6863" s="533">
        <v>8313</v>
      </c>
      <c r="C6863" s="533" t="s">
        <v>4291</v>
      </c>
      <c r="D6863" s="656" t="s">
        <v>374</v>
      </c>
      <c r="E6863" s="534">
        <v>764.65999799999997</v>
      </c>
    </row>
    <row r="6864" spans="2:5" x14ac:dyDescent="0.2">
      <c r="B6864" s="533">
        <v>8314</v>
      </c>
      <c r="C6864" s="533" t="s">
        <v>4189</v>
      </c>
      <c r="D6864" s="656" t="s">
        <v>374</v>
      </c>
      <c r="E6864" s="534">
        <v>757.60000200000002</v>
      </c>
    </row>
    <row r="6865" spans="2:5" x14ac:dyDescent="0.2">
      <c r="B6865" s="533">
        <v>8315</v>
      </c>
      <c r="C6865" s="533" t="s">
        <v>4588</v>
      </c>
      <c r="D6865" s="656" t="s">
        <v>374</v>
      </c>
      <c r="E6865" s="534">
        <v>787.72499100000005</v>
      </c>
    </row>
    <row r="6866" spans="2:5" x14ac:dyDescent="0.2">
      <c r="B6866" s="533">
        <v>8316</v>
      </c>
      <c r="C6866" s="533" t="s">
        <v>4414</v>
      </c>
      <c r="D6866" s="656" t="s">
        <v>374</v>
      </c>
      <c r="E6866" s="534">
        <v>774.47142699999995</v>
      </c>
    </row>
    <row r="6867" spans="2:5" x14ac:dyDescent="0.2">
      <c r="B6867" s="533">
        <v>8317</v>
      </c>
      <c r="C6867" s="533" t="s">
        <v>7528</v>
      </c>
      <c r="D6867" s="656" t="s">
        <v>374</v>
      </c>
      <c r="E6867" s="534">
        <v>769.32223199999999</v>
      </c>
    </row>
    <row r="6868" spans="2:5" x14ac:dyDescent="0.2">
      <c r="B6868" s="533">
        <v>8318</v>
      </c>
      <c r="C6868" s="533" t="s">
        <v>7497</v>
      </c>
      <c r="D6868" s="656" t="s">
        <v>374</v>
      </c>
      <c r="E6868" s="534">
        <v>774.97500600000001</v>
      </c>
    </row>
    <row r="6869" spans="2:5" x14ac:dyDescent="0.2">
      <c r="B6869" s="533">
        <v>8319</v>
      </c>
      <c r="C6869" s="533" t="s">
        <v>4299</v>
      </c>
      <c r="D6869" s="656" t="s">
        <v>374</v>
      </c>
      <c r="E6869" s="534">
        <v>765.15000199999997</v>
      </c>
    </row>
    <row r="6870" spans="2:5" x14ac:dyDescent="0.2">
      <c r="B6870" s="533">
        <v>8320</v>
      </c>
      <c r="C6870" s="533" t="s">
        <v>7560</v>
      </c>
      <c r="D6870" s="656" t="s">
        <v>374</v>
      </c>
      <c r="E6870" s="534">
        <v>762.740002</v>
      </c>
    </row>
    <row r="6871" spans="2:5" x14ac:dyDescent="0.2">
      <c r="B6871" s="533">
        <v>8321</v>
      </c>
      <c r="C6871" s="533" t="s">
        <v>374</v>
      </c>
      <c r="D6871" s="656" t="s">
        <v>374</v>
      </c>
      <c r="E6871" s="534">
        <v>761.10952599999996</v>
      </c>
    </row>
    <row r="6872" spans="2:5" x14ac:dyDescent="0.2">
      <c r="B6872" s="533">
        <v>8322</v>
      </c>
      <c r="C6872" s="533" t="s">
        <v>4269</v>
      </c>
      <c r="D6872" s="656" t="s">
        <v>374</v>
      </c>
      <c r="E6872" s="534">
        <v>763.42500299999995</v>
      </c>
    </row>
    <row r="6873" spans="2:5" x14ac:dyDescent="0.2">
      <c r="B6873" s="533">
        <v>8323</v>
      </c>
      <c r="C6873" s="533" t="s">
        <v>4249</v>
      </c>
      <c r="D6873" s="656" t="s">
        <v>374</v>
      </c>
      <c r="E6873" s="534">
        <v>761.82666400000005</v>
      </c>
    </row>
    <row r="6874" spans="2:5" x14ac:dyDescent="0.2">
      <c r="B6874" s="533">
        <v>8324</v>
      </c>
      <c r="C6874" s="533" t="s">
        <v>4307</v>
      </c>
      <c r="D6874" s="656" t="s">
        <v>374</v>
      </c>
      <c r="E6874" s="534">
        <v>765.90000199999997</v>
      </c>
    </row>
    <row r="6875" spans="2:5" x14ac:dyDescent="0.2">
      <c r="B6875" s="533">
        <v>8325</v>
      </c>
      <c r="C6875" s="533" t="s">
        <v>4926</v>
      </c>
      <c r="D6875" s="656" t="s">
        <v>374</v>
      </c>
      <c r="E6875" s="534">
        <v>815.23333700000001</v>
      </c>
    </row>
    <row r="6876" spans="2:5" x14ac:dyDescent="0.2">
      <c r="B6876" s="533">
        <v>8326</v>
      </c>
      <c r="C6876" s="533" t="s">
        <v>1260</v>
      </c>
      <c r="D6876" s="656" t="s">
        <v>374</v>
      </c>
      <c r="E6876" s="534">
        <v>824.01250500000003</v>
      </c>
    </row>
    <row r="6877" spans="2:5" x14ac:dyDescent="0.2">
      <c r="B6877" s="533">
        <v>8327</v>
      </c>
      <c r="C6877" s="533" t="s">
        <v>4504</v>
      </c>
      <c r="D6877" s="656" t="s">
        <v>374</v>
      </c>
      <c r="E6877" s="534">
        <v>780.65713100000005</v>
      </c>
    </row>
    <row r="6878" spans="2:5" x14ac:dyDescent="0.2">
      <c r="B6878" s="533">
        <v>8328</v>
      </c>
      <c r="C6878" s="533" t="s">
        <v>4619</v>
      </c>
      <c r="D6878" s="656" t="s">
        <v>374</v>
      </c>
      <c r="E6878" s="534">
        <v>790.79999799999996</v>
      </c>
    </row>
    <row r="6879" spans="2:5" x14ac:dyDescent="0.2">
      <c r="B6879" s="533">
        <v>8329</v>
      </c>
      <c r="C6879" s="533" t="s">
        <v>6900</v>
      </c>
      <c r="D6879" s="656" t="s">
        <v>374</v>
      </c>
      <c r="E6879" s="534">
        <v>790.55384700000002</v>
      </c>
    </row>
    <row r="6880" spans="2:5" x14ac:dyDescent="0.2">
      <c r="B6880" s="533">
        <v>8330</v>
      </c>
      <c r="C6880" s="533" t="s">
        <v>4643</v>
      </c>
      <c r="D6880" s="656" t="s">
        <v>374</v>
      </c>
      <c r="E6880" s="534">
        <v>792.57500700000003</v>
      </c>
    </row>
    <row r="6881" spans="2:5" x14ac:dyDescent="0.2">
      <c r="B6881" s="533">
        <v>8331</v>
      </c>
      <c r="C6881" s="533" t="s">
        <v>4460</v>
      </c>
      <c r="D6881" s="656" t="s">
        <v>374</v>
      </c>
      <c r="E6881" s="534">
        <v>778.11110399999995</v>
      </c>
    </row>
    <row r="6882" spans="2:5" x14ac:dyDescent="0.2">
      <c r="B6882" s="533">
        <v>8332</v>
      </c>
      <c r="C6882" s="533" t="s">
        <v>4540</v>
      </c>
      <c r="D6882" s="656" t="s">
        <v>374</v>
      </c>
      <c r="E6882" s="534">
        <v>783.96667000000002</v>
      </c>
    </row>
    <row r="6883" spans="2:5" x14ac:dyDescent="0.2">
      <c r="B6883" s="533">
        <v>8333</v>
      </c>
      <c r="C6883" s="533" t="s">
        <v>6946</v>
      </c>
      <c r="D6883" s="656" t="s">
        <v>374</v>
      </c>
      <c r="E6883" s="534">
        <v>808.63333599999999</v>
      </c>
    </row>
    <row r="6884" spans="2:5" x14ac:dyDescent="0.2">
      <c r="B6884" s="533">
        <v>8334</v>
      </c>
      <c r="C6884" s="533" t="s">
        <v>2636</v>
      </c>
      <c r="D6884" s="656" t="s">
        <v>374</v>
      </c>
      <c r="E6884" s="534">
        <v>805.11034700000005</v>
      </c>
    </row>
    <row r="6885" spans="2:5" x14ac:dyDescent="0.2">
      <c r="B6885" s="533">
        <v>8335</v>
      </c>
      <c r="C6885" s="533" t="s">
        <v>4624</v>
      </c>
      <c r="D6885" s="656" t="s">
        <v>374</v>
      </c>
      <c r="E6885" s="534">
        <v>791.00370299999997</v>
      </c>
    </row>
    <row r="6886" spans="2:5" x14ac:dyDescent="0.2">
      <c r="B6886" s="533">
        <v>8336</v>
      </c>
      <c r="C6886" s="533" t="s">
        <v>4608</v>
      </c>
      <c r="D6886" s="656" t="s">
        <v>374</v>
      </c>
      <c r="E6886" s="534">
        <v>789.24285899999995</v>
      </c>
    </row>
    <row r="6887" spans="2:5" x14ac:dyDescent="0.2">
      <c r="B6887" s="533">
        <v>8351</v>
      </c>
      <c r="C6887" s="533" t="s">
        <v>4016</v>
      </c>
      <c r="D6887" s="656" t="s">
        <v>373</v>
      </c>
      <c r="E6887" s="534">
        <v>746.70740899999998</v>
      </c>
    </row>
    <row r="6888" spans="2:5" x14ac:dyDescent="0.2">
      <c r="B6888" s="533">
        <v>8352</v>
      </c>
      <c r="C6888" s="533" t="s">
        <v>2537</v>
      </c>
      <c r="D6888" s="656" t="s">
        <v>373</v>
      </c>
      <c r="E6888" s="534">
        <v>827.14616000000001</v>
      </c>
    </row>
    <row r="6889" spans="2:5" x14ac:dyDescent="0.2">
      <c r="B6889" s="533">
        <v>8353</v>
      </c>
      <c r="C6889" s="533" t="s">
        <v>4969</v>
      </c>
      <c r="D6889" s="656" t="s">
        <v>373</v>
      </c>
      <c r="E6889" s="534">
        <v>820.14117799999997</v>
      </c>
    </row>
    <row r="6890" spans="2:5" x14ac:dyDescent="0.2">
      <c r="B6890" s="533">
        <v>8354</v>
      </c>
      <c r="C6890" s="533" t="s">
        <v>4175</v>
      </c>
      <c r="D6890" s="656" t="s">
        <v>373</v>
      </c>
      <c r="E6890" s="534">
        <v>756.14762099999996</v>
      </c>
    </row>
    <row r="6891" spans="2:5" x14ac:dyDescent="0.2">
      <c r="B6891" s="533">
        <v>8355</v>
      </c>
      <c r="C6891" s="533" t="s">
        <v>4368</v>
      </c>
      <c r="D6891" s="656" t="s">
        <v>373</v>
      </c>
      <c r="E6891" s="534">
        <v>770.29999699999996</v>
      </c>
    </row>
    <row r="6892" spans="2:5" x14ac:dyDescent="0.2">
      <c r="B6892" s="533">
        <v>8356</v>
      </c>
      <c r="C6892" s="533" t="s">
        <v>2338</v>
      </c>
      <c r="D6892" s="656" t="s">
        <v>373</v>
      </c>
      <c r="E6892" s="534">
        <v>773.42727400000001</v>
      </c>
    </row>
    <row r="6893" spans="2:5" x14ac:dyDescent="0.2">
      <c r="B6893" s="533">
        <v>8357</v>
      </c>
      <c r="C6893" s="533" t="s">
        <v>4609</v>
      </c>
      <c r="D6893" s="656" t="s">
        <v>373</v>
      </c>
      <c r="E6893" s="534">
        <v>789.30000299999995</v>
      </c>
    </row>
    <row r="6894" spans="2:5" x14ac:dyDescent="0.2">
      <c r="B6894" s="533">
        <v>8358</v>
      </c>
      <c r="C6894" s="533" t="s">
        <v>5114</v>
      </c>
      <c r="D6894" s="656" t="s">
        <v>373</v>
      </c>
      <c r="E6894" s="534">
        <v>835.66110900000001</v>
      </c>
    </row>
    <row r="6895" spans="2:5" x14ac:dyDescent="0.2">
      <c r="B6895" s="533">
        <v>8359</v>
      </c>
      <c r="C6895" s="533" t="s">
        <v>4549</v>
      </c>
      <c r="D6895" s="656" t="s">
        <v>373</v>
      </c>
      <c r="E6895" s="534">
        <v>822.01765</v>
      </c>
    </row>
    <row r="6896" spans="2:5" x14ac:dyDescent="0.2">
      <c r="B6896" s="533">
        <v>8360</v>
      </c>
      <c r="C6896" s="533" t="s">
        <v>4963</v>
      </c>
      <c r="D6896" s="656" t="s">
        <v>373</v>
      </c>
      <c r="E6896" s="534">
        <v>819.14999399999999</v>
      </c>
    </row>
    <row r="6897" spans="2:5" x14ac:dyDescent="0.2">
      <c r="B6897" s="533">
        <v>8361</v>
      </c>
      <c r="C6897" s="533" t="s">
        <v>5012</v>
      </c>
      <c r="D6897" s="656" t="s">
        <v>373</v>
      </c>
      <c r="E6897" s="534">
        <v>824.76999499999999</v>
      </c>
    </row>
    <row r="6898" spans="2:5" x14ac:dyDescent="0.2">
      <c r="B6898" s="533">
        <v>8362</v>
      </c>
      <c r="C6898" s="533" t="s">
        <v>4993</v>
      </c>
      <c r="D6898" s="656" t="s">
        <v>373</v>
      </c>
      <c r="E6898" s="534">
        <v>823.10000300000002</v>
      </c>
    </row>
    <row r="6899" spans="2:5" x14ac:dyDescent="0.2">
      <c r="B6899" s="533">
        <v>8363</v>
      </c>
      <c r="C6899" s="533" t="s">
        <v>4082</v>
      </c>
      <c r="D6899" s="656" t="s">
        <v>373</v>
      </c>
      <c r="E6899" s="534">
        <v>750.55000099999995</v>
      </c>
    </row>
    <row r="6900" spans="2:5" x14ac:dyDescent="0.2">
      <c r="B6900" s="533">
        <v>8364</v>
      </c>
      <c r="C6900" s="533" t="s">
        <v>4666</v>
      </c>
      <c r="D6900" s="656" t="s">
        <v>373</v>
      </c>
      <c r="E6900" s="534">
        <v>794.21764800000005</v>
      </c>
    </row>
    <row r="6901" spans="2:5" x14ac:dyDescent="0.2">
      <c r="B6901" s="533">
        <v>8365</v>
      </c>
      <c r="C6901" s="533" t="s">
        <v>5111</v>
      </c>
      <c r="D6901" s="656" t="s">
        <v>373</v>
      </c>
      <c r="E6901" s="534">
        <v>835.28181600000005</v>
      </c>
    </row>
    <row r="6902" spans="2:5" x14ac:dyDescent="0.2">
      <c r="B6902" s="533">
        <v>8366</v>
      </c>
      <c r="C6902" s="533" t="s">
        <v>4932</v>
      </c>
      <c r="D6902" s="656" t="s">
        <v>373</v>
      </c>
      <c r="E6902" s="534">
        <v>815.684214</v>
      </c>
    </row>
    <row r="6903" spans="2:5" x14ac:dyDescent="0.2">
      <c r="B6903" s="533">
        <v>8367</v>
      </c>
      <c r="C6903" s="533" t="s">
        <v>5036</v>
      </c>
      <c r="D6903" s="656" t="s">
        <v>373</v>
      </c>
      <c r="E6903" s="534">
        <v>827.59997599999997</v>
      </c>
    </row>
    <row r="6904" spans="2:5" x14ac:dyDescent="0.2">
      <c r="B6904" s="533">
        <v>8368</v>
      </c>
      <c r="C6904" s="533" t="s">
        <v>4984</v>
      </c>
      <c r="D6904" s="656" t="s">
        <v>373</v>
      </c>
      <c r="E6904" s="534">
        <v>822.32667200000003</v>
      </c>
    </row>
    <row r="6905" spans="2:5" x14ac:dyDescent="0.2">
      <c r="B6905" s="533">
        <v>8369</v>
      </c>
      <c r="C6905" s="533" t="s">
        <v>4738</v>
      </c>
      <c r="D6905" s="656" t="s">
        <v>373</v>
      </c>
      <c r="E6905" s="534">
        <v>799.64285700000005</v>
      </c>
    </row>
    <row r="6906" spans="2:5" x14ac:dyDescent="0.2">
      <c r="B6906" s="533">
        <v>8370</v>
      </c>
      <c r="C6906" s="533" t="s">
        <v>4111</v>
      </c>
      <c r="D6906" s="656" t="s">
        <v>373</v>
      </c>
      <c r="E6906" s="534">
        <v>752.04509700000006</v>
      </c>
    </row>
    <row r="6907" spans="2:5" x14ac:dyDescent="0.2">
      <c r="B6907" s="533">
        <v>8371</v>
      </c>
      <c r="C6907" s="533" t="s">
        <v>373</v>
      </c>
      <c r="D6907" s="656" t="s">
        <v>373</v>
      </c>
      <c r="E6907" s="534">
        <v>766.47499800000003</v>
      </c>
    </row>
    <row r="6908" spans="2:5" x14ac:dyDescent="0.2">
      <c r="B6908" s="533">
        <v>8372</v>
      </c>
      <c r="C6908" s="533" t="s">
        <v>4437</v>
      </c>
      <c r="D6908" s="656" t="s">
        <v>373</v>
      </c>
      <c r="E6908" s="534">
        <v>776.65789800000005</v>
      </c>
    </row>
    <row r="6909" spans="2:5" x14ac:dyDescent="0.2">
      <c r="B6909" s="533">
        <v>8373</v>
      </c>
      <c r="C6909" s="533" t="s">
        <v>5127</v>
      </c>
      <c r="D6909" s="656" t="s">
        <v>373</v>
      </c>
      <c r="E6909" s="534">
        <v>837.29375100000004</v>
      </c>
    </row>
    <row r="6910" spans="2:5" x14ac:dyDescent="0.2">
      <c r="B6910" s="533">
        <v>8374</v>
      </c>
      <c r="C6910" s="533" t="s">
        <v>6921</v>
      </c>
      <c r="D6910" s="656" t="s">
        <v>373</v>
      </c>
      <c r="E6910" s="534">
        <v>852.79998799999998</v>
      </c>
    </row>
    <row r="6911" spans="2:5" x14ac:dyDescent="0.2">
      <c r="B6911" s="533">
        <v>8375</v>
      </c>
      <c r="C6911" s="533" t="s">
        <v>2485</v>
      </c>
      <c r="D6911" s="656" t="s">
        <v>373</v>
      </c>
      <c r="E6911" s="534">
        <v>862.51818800000001</v>
      </c>
    </row>
    <row r="6912" spans="2:5" x14ac:dyDescent="0.2">
      <c r="B6912" s="533">
        <v>8376</v>
      </c>
      <c r="C6912" s="533" t="s">
        <v>3178</v>
      </c>
      <c r="D6912" s="656" t="s">
        <v>373</v>
      </c>
      <c r="E6912" s="534">
        <v>842.58235400000001</v>
      </c>
    </row>
    <row r="6913" spans="2:5" x14ac:dyDescent="0.2">
      <c r="B6913" s="533">
        <v>8377</v>
      </c>
      <c r="C6913" s="533" t="s">
        <v>904</v>
      </c>
      <c r="D6913" s="656" t="s">
        <v>373</v>
      </c>
      <c r="E6913" s="534">
        <v>825.60999500000003</v>
      </c>
    </row>
    <row r="6914" spans="2:5" x14ac:dyDescent="0.2">
      <c r="B6914" s="533">
        <v>8378</v>
      </c>
      <c r="C6914" s="533" t="s">
        <v>6929</v>
      </c>
      <c r="D6914" s="656" t="s">
        <v>373</v>
      </c>
      <c r="E6914" s="534">
        <v>807.20000100000004</v>
      </c>
    </row>
    <row r="6915" spans="2:5" x14ac:dyDescent="0.2">
      <c r="B6915" s="533">
        <v>8379</v>
      </c>
      <c r="C6915" s="533" t="s">
        <v>4133</v>
      </c>
      <c r="D6915" s="656" t="s">
        <v>373</v>
      </c>
      <c r="E6915" s="534">
        <v>753.57857799999999</v>
      </c>
    </row>
    <row r="6916" spans="2:5" x14ac:dyDescent="0.2">
      <c r="B6916" s="533">
        <v>8380</v>
      </c>
      <c r="C6916" s="533" t="s">
        <v>4647</v>
      </c>
      <c r="D6916" s="656" t="s">
        <v>373</v>
      </c>
      <c r="E6916" s="534">
        <v>792.67143499999997</v>
      </c>
    </row>
    <row r="6917" spans="2:5" x14ac:dyDescent="0.2">
      <c r="B6917" s="533">
        <v>8381</v>
      </c>
      <c r="C6917" s="533" t="s">
        <v>4949</v>
      </c>
      <c r="D6917" s="656" t="s">
        <v>373</v>
      </c>
      <c r="E6917" s="534">
        <v>817.30000199999995</v>
      </c>
    </row>
    <row r="6918" spans="2:5" x14ac:dyDescent="0.2">
      <c r="B6918" s="533">
        <v>8382</v>
      </c>
      <c r="C6918" s="533" t="s">
        <v>5248</v>
      </c>
      <c r="D6918" s="656" t="s">
        <v>373</v>
      </c>
      <c r="E6918" s="534">
        <v>854.58999900000003</v>
      </c>
    </row>
    <row r="6919" spans="2:5" x14ac:dyDescent="0.2">
      <c r="B6919" s="533">
        <v>8383</v>
      </c>
      <c r="C6919" s="533" t="s">
        <v>5230</v>
      </c>
      <c r="D6919" s="656" t="s">
        <v>373</v>
      </c>
      <c r="E6919" s="534">
        <v>851.88666599999999</v>
      </c>
    </row>
    <row r="6920" spans="2:5" x14ac:dyDescent="0.2">
      <c r="B6920" s="533">
        <v>8384</v>
      </c>
      <c r="C6920" s="533" t="s">
        <v>4972</v>
      </c>
      <c r="D6920" s="656" t="s">
        <v>373</v>
      </c>
      <c r="E6920" s="534">
        <v>820.5</v>
      </c>
    </row>
    <row r="6921" spans="2:5" x14ac:dyDescent="0.2">
      <c r="B6921" s="533">
        <v>8385</v>
      </c>
      <c r="C6921" s="533" t="s">
        <v>5049</v>
      </c>
      <c r="D6921" s="656" t="s">
        <v>373</v>
      </c>
      <c r="E6921" s="534">
        <v>829.12000699999999</v>
      </c>
    </row>
    <row r="6922" spans="2:5" x14ac:dyDescent="0.2">
      <c r="B6922" s="533">
        <v>8386</v>
      </c>
      <c r="C6922" s="533" t="s">
        <v>4680</v>
      </c>
      <c r="D6922" s="656" t="s">
        <v>373</v>
      </c>
      <c r="E6922" s="534">
        <v>795.11251100000004</v>
      </c>
    </row>
    <row r="6923" spans="2:5" x14ac:dyDescent="0.2">
      <c r="B6923" s="533">
        <v>8387</v>
      </c>
      <c r="C6923" s="533" t="s">
        <v>4568</v>
      </c>
      <c r="D6923" s="656" t="s">
        <v>373</v>
      </c>
      <c r="E6923" s="534">
        <v>786.44593899999995</v>
      </c>
    </row>
    <row r="6924" spans="2:5" x14ac:dyDescent="0.2">
      <c r="B6924" s="533">
        <v>8388</v>
      </c>
      <c r="C6924" s="533" t="s">
        <v>4767</v>
      </c>
      <c r="D6924" s="656" t="s">
        <v>373</v>
      </c>
      <c r="E6924" s="534">
        <v>802.01250500000003</v>
      </c>
    </row>
    <row r="6925" spans="2:5" x14ac:dyDescent="0.2">
      <c r="B6925" s="533">
        <v>8389</v>
      </c>
      <c r="C6925" s="533" t="s">
        <v>5027</v>
      </c>
      <c r="D6925" s="656" t="s">
        <v>373</v>
      </c>
      <c r="E6925" s="534">
        <v>826.45833300000004</v>
      </c>
    </row>
    <row r="6926" spans="2:5" x14ac:dyDescent="0.2">
      <c r="B6926" s="533">
        <v>8390</v>
      </c>
      <c r="C6926" s="533" t="s">
        <v>7604</v>
      </c>
      <c r="D6926" s="656" t="s">
        <v>373</v>
      </c>
      <c r="E6926" s="534">
        <v>831.42173700000001</v>
      </c>
    </row>
    <row r="6927" spans="2:5" x14ac:dyDescent="0.2">
      <c r="B6927" s="533">
        <v>8391</v>
      </c>
      <c r="C6927" s="533" t="s">
        <v>5009</v>
      </c>
      <c r="D6927" s="656" t="s">
        <v>373</v>
      </c>
      <c r="E6927" s="534">
        <v>824.27221999999995</v>
      </c>
    </row>
    <row r="6928" spans="2:5" x14ac:dyDescent="0.2">
      <c r="B6928" s="533">
        <v>8392</v>
      </c>
      <c r="C6928" s="533" t="s">
        <v>5453</v>
      </c>
      <c r="D6928" s="656" t="s">
        <v>373</v>
      </c>
      <c r="E6928" s="534">
        <v>890.41666699999996</v>
      </c>
    </row>
    <row r="6929" spans="2:5" x14ac:dyDescent="0.2">
      <c r="B6929" s="533">
        <v>8393</v>
      </c>
      <c r="C6929" s="533" t="s">
        <v>5405</v>
      </c>
      <c r="D6929" s="656" t="s">
        <v>373</v>
      </c>
      <c r="E6929" s="534">
        <v>881</v>
      </c>
    </row>
    <row r="6930" spans="2:5" x14ac:dyDescent="0.2">
      <c r="B6930" s="533">
        <v>8394</v>
      </c>
      <c r="C6930" s="533" t="s">
        <v>5011</v>
      </c>
      <c r="D6930" s="656" t="s">
        <v>373</v>
      </c>
      <c r="E6930" s="534">
        <v>824.7</v>
      </c>
    </row>
    <row r="6931" spans="2:5" x14ac:dyDescent="0.2">
      <c r="B6931" s="533">
        <v>8395</v>
      </c>
      <c r="C6931" s="533" t="s">
        <v>5175</v>
      </c>
      <c r="D6931" s="656" t="s">
        <v>373</v>
      </c>
      <c r="E6931" s="534">
        <v>843.97142699999995</v>
      </c>
    </row>
    <row r="6932" spans="2:5" x14ac:dyDescent="0.2">
      <c r="B6932" s="533">
        <v>8396</v>
      </c>
      <c r="C6932" s="533" t="s">
        <v>5489</v>
      </c>
      <c r="D6932" s="656" t="s">
        <v>373</v>
      </c>
      <c r="E6932" s="534">
        <v>895.86665900000003</v>
      </c>
    </row>
    <row r="6933" spans="2:5" x14ac:dyDescent="0.2">
      <c r="B6933" s="533">
        <v>8397</v>
      </c>
      <c r="C6933" s="533" t="s">
        <v>4995</v>
      </c>
      <c r="D6933" s="656" t="s">
        <v>373</v>
      </c>
      <c r="E6933" s="534">
        <v>823.35714299999995</v>
      </c>
    </row>
    <row r="6934" spans="2:5" x14ac:dyDescent="0.2">
      <c r="B6934" s="533">
        <v>8398</v>
      </c>
      <c r="C6934" s="533" t="s">
        <v>826</v>
      </c>
      <c r="D6934" s="656" t="s">
        <v>373</v>
      </c>
      <c r="E6934" s="534">
        <v>851.27777800000001</v>
      </c>
    </row>
    <row r="6935" spans="2:5" x14ac:dyDescent="0.2">
      <c r="B6935" s="533">
        <v>8399</v>
      </c>
      <c r="C6935" s="533" t="s">
        <v>5349</v>
      </c>
      <c r="D6935" s="656" t="s">
        <v>373</v>
      </c>
      <c r="E6935" s="534">
        <v>871.59523200000001</v>
      </c>
    </row>
    <row r="6936" spans="2:5" x14ac:dyDescent="0.2">
      <c r="B6936" s="533">
        <v>8400</v>
      </c>
      <c r="C6936" s="533" t="s">
        <v>5607</v>
      </c>
      <c r="D6936" s="656" t="s">
        <v>373</v>
      </c>
      <c r="E6936" s="534">
        <v>915.69545700000003</v>
      </c>
    </row>
    <row r="6937" spans="2:5" x14ac:dyDescent="0.2">
      <c r="B6937" s="533">
        <v>8401</v>
      </c>
      <c r="C6937" s="533" t="s">
        <v>5736</v>
      </c>
      <c r="D6937" s="656" t="s">
        <v>373</v>
      </c>
      <c r="E6937" s="534">
        <v>952.29998799999998</v>
      </c>
    </row>
    <row r="6938" spans="2:5" x14ac:dyDescent="0.2">
      <c r="B6938" s="533">
        <v>8402</v>
      </c>
      <c r="C6938" s="533" t="s">
        <v>5748</v>
      </c>
      <c r="D6938" s="656" t="s">
        <v>373</v>
      </c>
      <c r="E6938" s="534">
        <v>955.42500700000005</v>
      </c>
    </row>
    <row r="6939" spans="2:5" x14ac:dyDescent="0.2">
      <c r="B6939" s="533">
        <v>8403</v>
      </c>
      <c r="C6939" s="533" t="s">
        <v>5785</v>
      </c>
      <c r="D6939" s="656" t="s">
        <v>373</v>
      </c>
      <c r="E6939" s="534">
        <v>964.59999600000003</v>
      </c>
    </row>
    <row r="6940" spans="2:5" x14ac:dyDescent="0.2">
      <c r="B6940" s="533">
        <v>8404</v>
      </c>
      <c r="C6940" s="533" t="s">
        <v>5603</v>
      </c>
      <c r="D6940" s="656" t="s">
        <v>373</v>
      </c>
      <c r="E6940" s="534">
        <v>1007.674988</v>
      </c>
    </row>
    <row r="6941" spans="2:5" x14ac:dyDescent="0.2">
      <c r="B6941" s="533">
        <v>8405</v>
      </c>
      <c r="C6941" s="533" t="s">
        <v>5692</v>
      </c>
      <c r="D6941" s="656" t="s">
        <v>373</v>
      </c>
      <c r="E6941" s="534">
        <v>939.24545599999999</v>
      </c>
    </row>
    <row r="6942" spans="2:5" x14ac:dyDescent="0.2">
      <c r="B6942" s="533">
        <v>8406</v>
      </c>
      <c r="C6942" s="533" t="s">
        <v>5487</v>
      </c>
      <c r="D6942" s="656" t="s">
        <v>373</v>
      </c>
      <c r="E6942" s="534">
        <v>894.91428900000005</v>
      </c>
    </row>
    <row r="6943" spans="2:5" x14ac:dyDescent="0.2">
      <c r="B6943" s="533">
        <v>8407</v>
      </c>
      <c r="C6943" s="533" t="s">
        <v>7046</v>
      </c>
      <c r="D6943" s="656" t="s">
        <v>373</v>
      </c>
      <c r="E6943" s="534">
        <v>952.72499800000003</v>
      </c>
    </row>
    <row r="6944" spans="2:5" x14ac:dyDescent="0.2">
      <c r="B6944" s="533">
        <v>8408</v>
      </c>
      <c r="C6944" s="533" t="s">
        <v>5772</v>
      </c>
      <c r="D6944" s="656" t="s">
        <v>373</v>
      </c>
      <c r="E6944" s="534">
        <v>960.98000500000001</v>
      </c>
    </row>
    <row r="6945" spans="2:5" x14ac:dyDescent="0.2">
      <c r="B6945" s="533">
        <v>8409</v>
      </c>
      <c r="C6945" s="533" t="s">
        <v>7430</v>
      </c>
      <c r="D6945" s="656" t="s">
        <v>373</v>
      </c>
      <c r="E6945" s="534">
        <v>932.32499700000005</v>
      </c>
    </row>
    <row r="6946" spans="2:5" x14ac:dyDescent="0.2">
      <c r="B6946" s="533">
        <v>8410</v>
      </c>
      <c r="C6946" s="533" t="s">
        <v>5656</v>
      </c>
      <c r="D6946" s="656" t="s">
        <v>373</v>
      </c>
      <c r="E6946" s="534">
        <v>929.48124299999995</v>
      </c>
    </row>
    <row r="6947" spans="2:5" x14ac:dyDescent="0.2">
      <c r="B6947" s="533">
        <v>8411</v>
      </c>
      <c r="C6947" s="533" t="s">
        <v>5898</v>
      </c>
      <c r="D6947" s="656" t="s">
        <v>373</v>
      </c>
      <c r="E6947" s="534">
        <v>1002.827271</v>
      </c>
    </row>
    <row r="6948" spans="2:5" x14ac:dyDescent="0.2">
      <c r="B6948" s="533">
        <v>8412</v>
      </c>
      <c r="C6948" s="533" t="s">
        <v>5935</v>
      </c>
      <c r="D6948" s="656" t="s">
        <v>373</v>
      </c>
      <c r="E6948" s="534">
        <v>1024.0999879999999</v>
      </c>
    </row>
    <row r="6949" spans="2:5" x14ac:dyDescent="0.2">
      <c r="B6949" s="533">
        <v>8413</v>
      </c>
      <c r="C6949" s="533" t="s">
        <v>5922</v>
      </c>
      <c r="D6949" s="656" t="s">
        <v>373</v>
      </c>
      <c r="E6949" s="534">
        <v>1015.724998</v>
      </c>
    </row>
    <row r="6950" spans="2:5" x14ac:dyDescent="0.2">
      <c r="B6950" s="533">
        <v>8414</v>
      </c>
      <c r="C6950" s="533" t="s">
        <v>5835</v>
      </c>
      <c r="D6950" s="656" t="s">
        <v>373</v>
      </c>
      <c r="E6950" s="534">
        <v>980.46001000000001</v>
      </c>
    </row>
    <row r="6951" spans="2:5" x14ac:dyDescent="0.2">
      <c r="B6951" s="533">
        <v>8451</v>
      </c>
      <c r="C6951" s="533" t="s">
        <v>4349</v>
      </c>
      <c r="D6951" s="656" t="s">
        <v>376</v>
      </c>
      <c r="E6951" s="534">
        <v>808.32856100000004</v>
      </c>
    </row>
    <row r="6952" spans="2:5" x14ac:dyDescent="0.2">
      <c r="B6952" s="533">
        <v>8452</v>
      </c>
      <c r="C6952" s="533" t="s">
        <v>2436</v>
      </c>
      <c r="D6952" s="656" t="s">
        <v>376</v>
      </c>
      <c r="E6952" s="534">
        <v>805.98749499999997</v>
      </c>
    </row>
    <row r="6953" spans="2:5" x14ac:dyDescent="0.2">
      <c r="B6953" s="533">
        <v>8453</v>
      </c>
      <c r="C6953" s="533" t="s">
        <v>4755</v>
      </c>
      <c r="D6953" s="656" t="s">
        <v>376</v>
      </c>
      <c r="E6953" s="534">
        <v>801.21428600000002</v>
      </c>
    </row>
    <row r="6954" spans="2:5" x14ac:dyDescent="0.2">
      <c r="B6954" s="533">
        <v>8454</v>
      </c>
      <c r="C6954" s="533" t="s">
        <v>5023</v>
      </c>
      <c r="D6954" s="656" t="s">
        <v>376</v>
      </c>
      <c r="E6954" s="534">
        <v>826.03333899999996</v>
      </c>
    </row>
    <row r="6955" spans="2:5" x14ac:dyDescent="0.2">
      <c r="B6955" s="533">
        <v>8455</v>
      </c>
      <c r="C6955" s="533" t="s">
        <v>7587</v>
      </c>
      <c r="D6955" s="656" t="s">
        <v>376</v>
      </c>
      <c r="E6955" s="534">
        <v>790.27999299999999</v>
      </c>
    </row>
    <row r="6956" spans="2:5" x14ac:dyDescent="0.2">
      <c r="B6956" s="533">
        <v>8456</v>
      </c>
      <c r="C6956" s="533" t="s">
        <v>4910</v>
      </c>
      <c r="D6956" s="656" t="s">
        <v>376</v>
      </c>
      <c r="E6956" s="534">
        <v>814.01999499999999</v>
      </c>
    </row>
    <row r="6957" spans="2:5" x14ac:dyDescent="0.2">
      <c r="B6957" s="533">
        <v>8457</v>
      </c>
      <c r="C6957" s="533" t="s">
        <v>4662</v>
      </c>
      <c r="D6957" s="656" t="s">
        <v>376</v>
      </c>
      <c r="E6957" s="534">
        <v>793.85000600000001</v>
      </c>
    </row>
    <row r="6958" spans="2:5" x14ac:dyDescent="0.2">
      <c r="B6958" s="533">
        <v>8458</v>
      </c>
      <c r="C6958" s="533" t="s">
        <v>4359</v>
      </c>
      <c r="D6958" s="656" t="s">
        <v>376</v>
      </c>
      <c r="E6958" s="534">
        <v>812.54999399999997</v>
      </c>
    </row>
    <row r="6959" spans="2:5" x14ac:dyDescent="0.2">
      <c r="B6959" s="533">
        <v>8459</v>
      </c>
      <c r="C6959" s="533" t="s">
        <v>4389</v>
      </c>
      <c r="D6959" s="656" t="s">
        <v>376</v>
      </c>
      <c r="E6959" s="534">
        <v>772.08181500000001</v>
      </c>
    </row>
    <row r="6960" spans="2:5" x14ac:dyDescent="0.2">
      <c r="B6960" s="533">
        <v>8460</v>
      </c>
      <c r="C6960" s="533" t="s">
        <v>7533</v>
      </c>
      <c r="D6960" s="656" t="s">
        <v>376</v>
      </c>
      <c r="E6960" s="534">
        <v>788.02857300000005</v>
      </c>
    </row>
    <row r="6961" spans="2:5" x14ac:dyDescent="0.2">
      <c r="B6961" s="533">
        <v>8461</v>
      </c>
      <c r="C6961" s="533" t="s">
        <v>5283</v>
      </c>
      <c r="D6961" s="656" t="s">
        <v>376</v>
      </c>
      <c r="E6961" s="534">
        <v>859.91818000000001</v>
      </c>
    </row>
    <row r="6962" spans="2:5" x14ac:dyDescent="0.2">
      <c r="B6962" s="533">
        <v>8462</v>
      </c>
      <c r="C6962" s="533" t="s">
        <v>5189</v>
      </c>
      <c r="D6962" s="656" t="s">
        <v>376</v>
      </c>
      <c r="E6962" s="534">
        <v>845.48000500000001</v>
      </c>
    </row>
    <row r="6963" spans="2:5" x14ac:dyDescent="0.2">
      <c r="B6963" s="533">
        <v>8463</v>
      </c>
      <c r="C6963" s="533" t="s">
        <v>5180</v>
      </c>
      <c r="D6963" s="656" t="s">
        <v>376</v>
      </c>
      <c r="E6963" s="534">
        <v>844.66665899999998</v>
      </c>
    </row>
    <row r="6964" spans="2:5" x14ac:dyDescent="0.2">
      <c r="B6964" s="533">
        <v>8464</v>
      </c>
      <c r="C6964" s="533" t="s">
        <v>6839</v>
      </c>
      <c r="D6964" s="656" t="s">
        <v>376</v>
      </c>
      <c r="E6964" s="534">
        <v>870.31999499999995</v>
      </c>
    </row>
    <row r="6965" spans="2:5" x14ac:dyDescent="0.2">
      <c r="B6965" s="533">
        <v>8465</v>
      </c>
      <c r="C6965" s="533" t="s">
        <v>2910</v>
      </c>
      <c r="D6965" s="656" t="s">
        <v>376</v>
      </c>
      <c r="E6965" s="534">
        <v>855.25453900000002</v>
      </c>
    </row>
    <row r="6966" spans="2:5" x14ac:dyDescent="0.2">
      <c r="B6966" s="533">
        <v>8466</v>
      </c>
      <c r="C6966" s="533" t="s">
        <v>5041</v>
      </c>
      <c r="D6966" s="656" t="s">
        <v>376</v>
      </c>
      <c r="E6966" s="534">
        <v>867.60000600000001</v>
      </c>
    </row>
    <row r="6967" spans="2:5" x14ac:dyDescent="0.2">
      <c r="B6967" s="533">
        <v>8467</v>
      </c>
      <c r="C6967" s="533" t="s">
        <v>4292</v>
      </c>
      <c r="D6967" s="656" t="s">
        <v>376</v>
      </c>
      <c r="E6967" s="534">
        <v>844.55000299999995</v>
      </c>
    </row>
    <row r="6968" spans="2:5" x14ac:dyDescent="0.2">
      <c r="B6968" s="533">
        <v>8468</v>
      </c>
      <c r="C6968" s="533" t="s">
        <v>5187</v>
      </c>
      <c r="D6968" s="656" t="s">
        <v>376</v>
      </c>
      <c r="E6968" s="534">
        <v>845.39999399999999</v>
      </c>
    </row>
    <row r="6969" spans="2:5" x14ac:dyDescent="0.2">
      <c r="B6969" s="533">
        <v>8469</v>
      </c>
      <c r="C6969" s="533" t="s">
        <v>6948</v>
      </c>
      <c r="D6969" s="656" t="s">
        <v>376</v>
      </c>
      <c r="E6969" s="534">
        <v>863.61999500000002</v>
      </c>
    </row>
    <row r="6970" spans="2:5" x14ac:dyDescent="0.2">
      <c r="B6970" s="533">
        <v>8470</v>
      </c>
      <c r="C6970" s="533" t="s">
        <v>5299</v>
      </c>
      <c r="D6970" s="656" t="s">
        <v>376</v>
      </c>
      <c r="E6970" s="534">
        <v>863.25556099999994</v>
      </c>
    </row>
    <row r="6971" spans="2:5" x14ac:dyDescent="0.2">
      <c r="B6971" s="533">
        <v>8471</v>
      </c>
      <c r="C6971" s="533" t="s">
        <v>7017</v>
      </c>
      <c r="D6971" s="656" t="s">
        <v>376</v>
      </c>
      <c r="E6971" s="534">
        <v>876.70000500000003</v>
      </c>
    </row>
    <row r="6972" spans="2:5" x14ac:dyDescent="0.2">
      <c r="B6972" s="533">
        <v>8472</v>
      </c>
      <c r="C6972" s="533" t="s">
        <v>5348</v>
      </c>
      <c r="D6972" s="656" t="s">
        <v>376</v>
      </c>
      <c r="E6972" s="534">
        <v>871.44999700000005</v>
      </c>
    </row>
    <row r="6973" spans="2:5" x14ac:dyDescent="0.2">
      <c r="B6973" s="533">
        <v>8473</v>
      </c>
      <c r="C6973" s="533" t="s">
        <v>5157</v>
      </c>
      <c r="D6973" s="656" t="s">
        <v>376</v>
      </c>
      <c r="E6973" s="534">
        <v>840.133331</v>
      </c>
    </row>
    <row r="6974" spans="2:5" x14ac:dyDescent="0.2">
      <c r="B6974" s="533">
        <v>8474</v>
      </c>
      <c r="C6974" s="533" t="s">
        <v>5169</v>
      </c>
      <c r="D6974" s="656" t="s">
        <v>376</v>
      </c>
      <c r="E6974" s="534">
        <v>842.23333700000001</v>
      </c>
    </row>
    <row r="6975" spans="2:5" x14ac:dyDescent="0.2">
      <c r="B6975" s="533">
        <v>8475</v>
      </c>
      <c r="C6975" s="533" t="s">
        <v>1516</v>
      </c>
      <c r="D6975" s="656" t="s">
        <v>376</v>
      </c>
      <c r="E6975" s="534">
        <v>889.32500500000003</v>
      </c>
    </row>
    <row r="6976" spans="2:5" x14ac:dyDescent="0.2">
      <c r="B6976" s="533">
        <v>8476</v>
      </c>
      <c r="C6976" s="533" t="s">
        <v>5401</v>
      </c>
      <c r="D6976" s="656" t="s">
        <v>376</v>
      </c>
      <c r="E6976" s="534">
        <v>880.23999000000003</v>
      </c>
    </row>
    <row r="6977" spans="2:5" x14ac:dyDescent="0.2">
      <c r="B6977" s="533">
        <v>8477</v>
      </c>
      <c r="C6977" s="533" t="s">
        <v>5604</v>
      </c>
      <c r="D6977" s="656" t="s">
        <v>376</v>
      </c>
      <c r="E6977" s="534">
        <v>914.80714599999999</v>
      </c>
    </row>
    <row r="6978" spans="2:5" x14ac:dyDescent="0.2">
      <c r="B6978" s="533">
        <v>8478</v>
      </c>
      <c r="C6978" s="533" t="s">
        <v>1306</v>
      </c>
      <c r="D6978" s="656" t="s">
        <v>376</v>
      </c>
      <c r="E6978" s="534">
        <v>882.69999199999995</v>
      </c>
    </row>
    <row r="6979" spans="2:5" x14ac:dyDescent="0.2">
      <c r="B6979" s="533">
        <v>8479</v>
      </c>
      <c r="C6979" s="533" t="s">
        <v>5476</v>
      </c>
      <c r="D6979" s="656" t="s">
        <v>376</v>
      </c>
      <c r="E6979" s="534">
        <v>893.7</v>
      </c>
    </row>
    <row r="6980" spans="2:5" x14ac:dyDescent="0.2">
      <c r="B6980" s="533">
        <v>8480</v>
      </c>
      <c r="C6980" s="533" t="s">
        <v>376</v>
      </c>
      <c r="D6980" s="656" t="s">
        <v>376</v>
      </c>
      <c r="E6980" s="534">
        <v>865.85000300000002</v>
      </c>
    </row>
    <row r="6981" spans="2:5" x14ac:dyDescent="0.2">
      <c r="B6981" s="533">
        <v>8481</v>
      </c>
      <c r="C6981" s="533" t="s">
        <v>1570</v>
      </c>
      <c r="D6981" s="656" t="s">
        <v>376</v>
      </c>
      <c r="E6981" s="534">
        <v>855.73333700000001</v>
      </c>
    </row>
    <row r="6982" spans="2:5" x14ac:dyDescent="0.2">
      <c r="B6982" s="533">
        <v>8482</v>
      </c>
      <c r="C6982" s="533" t="s">
        <v>3479</v>
      </c>
      <c r="D6982" s="656" t="s">
        <v>376</v>
      </c>
      <c r="E6982" s="534">
        <v>839.70000300000004</v>
      </c>
    </row>
    <row r="6983" spans="2:5" x14ac:dyDescent="0.2">
      <c r="B6983" s="533">
        <v>8483</v>
      </c>
      <c r="C6983" s="533" t="s">
        <v>5429</v>
      </c>
      <c r="D6983" s="656" t="s">
        <v>376</v>
      </c>
      <c r="E6983" s="534">
        <v>885.60909200000003</v>
      </c>
    </row>
    <row r="6984" spans="2:5" x14ac:dyDescent="0.2">
      <c r="B6984" s="533">
        <v>8484</v>
      </c>
      <c r="C6984" s="533" t="s">
        <v>5558</v>
      </c>
      <c r="D6984" s="656" t="s">
        <v>376</v>
      </c>
      <c r="E6984" s="534">
        <v>906.83683699999995</v>
      </c>
    </row>
    <row r="6985" spans="2:5" x14ac:dyDescent="0.2">
      <c r="B6985" s="533">
        <v>8485</v>
      </c>
      <c r="C6985" s="533" t="s">
        <v>6663</v>
      </c>
      <c r="D6985" s="656" t="s">
        <v>376</v>
      </c>
      <c r="E6985" s="534">
        <v>887.97500600000001</v>
      </c>
    </row>
    <row r="6986" spans="2:5" x14ac:dyDescent="0.2">
      <c r="B6986" s="533">
        <v>8486</v>
      </c>
      <c r="C6986" s="533" t="s">
        <v>5495</v>
      </c>
      <c r="D6986" s="656" t="s">
        <v>376</v>
      </c>
      <c r="E6986" s="534">
        <v>896.19999199999995</v>
      </c>
    </row>
    <row r="6987" spans="2:5" x14ac:dyDescent="0.2">
      <c r="B6987" s="533">
        <v>8487</v>
      </c>
      <c r="C6987" s="533" t="s">
        <v>5354</v>
      </c>
      <c r="D6987" s="656" t="s">
        <v>376</v>
      </c>
      <c r="E6987" s="534">
        <v>873.39999399999999</v>
      </c>
    </row>
    <row r="6988" spans="2:5" x14ac:dyDescent="0.2">
      <c r="B6988" s="533">
        <v>8488</v>
      </c>
      <c r="C6988" s="533" t="s">
        <v>5339</v>
      </c>
      <c r="D6988" s="656" t="s">
        <v>376</v>
      </c>
      <c r="E6988" s="534">
        <v>870.14999399999999</v>
      </c>
    </row>
    <row r="6989" spans="2:5" x14ac:dyDescent="0.2">
      <c r="B6989" s="533">
        <v>8489</v>
      </c>
      <c r="C6989" s="533" t="s">
        <v>1033</v>
      </c>
      <c r="D6989" s="656" t="s">
        <v>376</v>
      </c>
      <c r="E6989" s="534">
        <v>891.65000399999997</v>
      </c>
    </row>
    <row r="6990" spans="2:5" x14ac:dyDescent="0.2">
      <c r="B6990" s="533">
        <v>8490</v>
      </c>
      <c r="C6990" s="533" t="s">
        <v>7530</v>
      </c>
      <c r="D6990" s="656" t="s">
        <v>376</v>
      </c>
      <c r="E6990" s="534">
        <v>909.09166500000003</v>
      </c>
    </row>
    <row r="6991" spans="2:5" x14ac:dyDescent="0.2">
      <c r="B6991" s="533">
        <v>8491</v>
      </c>
      <c r="C6991" s="533" t="s">
        <v>5496</v>
      </c>
      <c r="D6991" s="656" t="s">
        <v>376</v>
      </c>
      <c r="E6991" s="534">
        <v>896.25</v>
      </c>
    </row>
    <row r="6992" spans="2:5" x14ac:dyDescent="0.2">
      <c r="B6992" s="533">
        <v>8492</v>
      </c>
      <c r="C6992" s="533" t="s">
        <v>5688</v>
      </c>
      <c r="D6992" s="656" t="s">
        <v>376</v>
      </c>
      <c r="E6992" s="534">
        <v>938.57499700000005</v>
      </c>
    </row>
    <row r="6993" spans="2:5" x14ac:dyDescent="0.2">
      <c r="B6993" s="533">
        <v>8493</v>
      </c>
      <c r="C6993" s="533" t="s">
        <v>5871</v>
      </c>
      <c r="D6993" s="656" t="s">
        <v>376</v>
      </c>
      <c r="E6993" s="534">
        <v>992.52002000000005</v>
      </c>
    </row>
    <row r="6994" spans="2:5" x14ac:dyDescent="0.2">
      <c r="B6994" s="533">
        <v>8494</v>
      </c>
      <c r="C6994" s="533" t="s">
        <v>5767</v>
      </c>
      <c r="D6994" s="656" t="s">
        <v>376</v>
      </c>
      <c r="E6994" s="534">
        <v>960.57777899999996</v>
      </c>
    </row>
    <row r="6995" spans="2:5" x14ac:dyDescent="0.2">
      <c r="B6995" s="533">
        <v>8495</v>
      </c>
      <c r="C6995" s="533" t="s">
        <v>7439</v>
      </c>
      <c r="D6995" s="656" t="s">
        <v>376</v>
      </c>
      <c r="E6995" s="534">
        <v>939.94167100000004</v>
      </c>
    </row>
    <row r="6996" spans="2:5" x14ac:dyDescent="0.2">
      <c r="B6996" s="533">
        <v>8497</v>
      </c>
      <c r="C6996" s="533" t="s">
        <v>5652</v>
      </c>
      <c r="D6996" s="656" t="s">
        <v>376</v>
      </c>
      <c r="E6996" s="534">
        <v>927.77000399999997</v>
      </c>
    </row>
    <row r="6997" spans="2:5" x14ac:dyDescent="0.2">
      <c r="B6997" s="533">
        <v>8498</v>
      </c>
      <c r="C6997" s="533" t="s">
        <v>3275</v>
      </c>
      <c r="D6997" s="656" t="s">
        <v>376</v>
      </c>
      <c r="E6997" s="534">
        <v>952.00000999999997</v>
      </c>
    </row>
    <row r="6998" spans="2:5" x14ac:dyDescent="0.2">
      <c r="B6998" s="533">
        <v>8499</v>
      </c>
      <c r="C6998" s="533" t="s">
        <v>1424</v>
      </c>
      <c r="D6998" s="656" t="s">
        <v>376</v>
      </c>
      <c r="E6998" s="534">
        <v>963.375</v>
      </c>
    </row>
    <row r="6999" spans="2:5" x14ac:dyDescent="0.2">
      <c r="B6999" s="533">
        <v>8500</v>
      </c>
      <c r="C6999" s="533" t="s">
        <v>5528</v>
      </c>
      <c r="D6999" s="656" t="s">
        <v>376</v>
      </c>
      <c r="E6999" s="534">
        <v>901.65832999999998</v>
      </c>
    </row>
    <row r="7000" spans="2:5" x14ac:dyDescent="0.2">
      <c r="B7000" s="533">
        <v>8501</v>
      </c>
      <c r="C7000" s="533" t="s">
        <v>5640</v>
      </c>
      <c r="D7000" s="656" t="s">
        <v>376</v>
      </c>
      <c r="E7000" s="534">
        <v>925.02726600000005</v>
      </c>
    </row>
    <row r="7001" spans="2:5" x14ac:dyDescent="0.2">
      <c r="B7001" s="533">
        <v>8502</v>
      </c>
      <c r="C7001" s="533" t="s">
        <v>5714</v>
      </c>
      <c r="D7001" s="656" t="s">
        <v>376</v>
      </c>
      <c r="E7001" s="534">
        <v>945.80000399999994</v>
      </c>
    </row>
    <row r="7002" spans="2:5" x14ac:dyDescent="0.2">
      <c r="B7002" s="533">
        <v>8551</v>
      </c>
      <c r="C7002" s="533" t="s">
        <v>4804</v>
      </c>
      <c r="D7002" s="656" t="s">
        <v>369</v>
      </c>
      <c r="E7002" s="534">
        <v>804.40909099999999</v>
      </c>
    </row>
    <row r="7003" spans="2:5" x14ac:dyDescent="0.2">
      <c r="B7003" s="533">
        <v>8552</v>
      </c>
      <c r="C7003" s="533" t="s">
        <v>1436</v>
      </c>
      <c r="D7003" s="656" t="s">
        <v>369</v>
      </c>
      <c r="E7003" s="534">
        <v>795.07778599999995</v>
      </c>
    </row>
    <row r="7004" spans="2:5" x14ac:dyDescent="0.2">
      <c r="B7004" s="533">
        <v>8553</v>
      </c>
      <c r="C7004" s="533" t="s">
        <v>4850</v>
      </c>
      <c r="D7004" s="656" t="s">
        <v>369</v>
      </c>
      <c r="E7004" s="534">
        <v>808.07777899999996</v>
      </c>
    </row>
    <row r="7005" spans="2:5" x14ac:dyDescent="0.2">
      <c r="B7005" s="533">
        <v>8554</v>
      </c>
      <c r="C7005" s="533" t="s">
        <v>4778</v>
      </c>
      <c r="D7005" s="656" t="s">
        <v>369</v>
      </c>
      <c r="E7005" s="534">
        <v>802.55999799999995</v>
      </c>
    </row>
    <row r="7006" spans="2:5" x14ac:dyDescent="0.2">
      <c r="B7006" s="533">
        <v>8555</v>
      </c>
      <c r="C7006" s="533" t="s">
        <v>4656</v>
      </c>
      <c r="D7006" s="656" t="s">
        <v>369</v>
      </c>
      <c r="E7006" s="534">
        <v>793.23999000000003</v>
      </c>
    </row>
    <row r="7007" spans="2:5" x14ac:dyDescent="0.2">
      <c r="B7007" s="533">
        <v>8556</v>
      </c>
      <c r="C7007" s="533" t="s">
        <v>6492</v>
      </c>
      <c r="D7007" s="656" t="s">
        <v>369</v>
      </c>
      <c r="E7007" s="534">
        <v>810.42999899999995</v>
      </c>
    </row>
    <row r="7008" spans="2:5" x14ac:dyDescent="0.2">
      <c r="B7008" s="533">
        <v>8557</v>
      </c>
      <c r="C7008" s="533" t="s">
        <v>4863</v>
      </c>
      <c r="D7008" s="656" t="s">
        <v>369</v>
      </c>
      <c r="E7008" s="534">
        <v>809.17856700000004</v>
      </c>
    </row>
    <row r="7009" spans="2:5" x14ac:dyDescent="0.2">
      <c r="B7009" s="533">
        <v>8558</v>
      </c>
      <c r="C7009" s="533" t="s">
        <v>5089</v>
      </c>
      <c r="D7009" s="656" t="s">
        <v>369</v>
      </c>
      <c r="E7009" s="534">
        <v>832.72000100000002</v>
      </c>
    </row>
    <row r="7010" spans="2:5" x14ac:dyDescent="0.2">
      <c r="B7010" s="533">
        <v>8559</v>
      </c>
      <c r="C7010" s="533" t="s">
        <v>5006</v>
      </c>
      <c r="D7010" s="656" t="s">
        <v>369</v>
      </c>
      <c r="E7010" s="534">
        <v>824.15000399999997</v>
      </c>
    </row>
    <row r="7011" spans="2:5" x14ac:dyDescent="0.2">
      <c r="B7011" s="533">
        <v>8560</v>
      </c>
      <c r="C7011" s="533" t="s">
        <v>4799</v>
      </c>
      <c r="D7011" s="656" t="s">
        <v>369</v>
      </c>
      <c r="E7011" s="534">
        <v>804.04283799999996</v>
      </c>
    </row>
    <row r="7012" spans="2:5" x14ac:dyDescent="0.2">
      <c r="B7012" s="533">
        <v>8561</v>
      </c>
      <c r="C7012" s="533" t="s">
        <v>5041</v>
      </c>
      <c r="D7012" s="656" t="s">
        <v>369</v>
      </c>
      <c r="E7012" s="534">
        <v>828.375</v>
      </c>
    </row>
    <row r="7013" spans="2:5" x14ac:dyDescent="0.2">
      <c r="B7013" s="533">
        <v>8562</v>
      </c>
      <c r="C7013" s="533" t="s">
        <v>4732</v>
      </c>
      <c r="D7013" s="656" t="s">
        <v>369</v>
      </c>
      <c r="E7013" s="534">
        <v>799.35000200000002</v>
      </c>
    </row>
    <row r="7014" spans="2:5" x14ac:dyDescent="0.2">
      <c r="B7014" s="533">
        <v>8563</v>
      </c>
      <c r="C7014" s="533" t="s">
        <v>4885</v>
      </c>
      <c r="D7014" s="656" t="s">
        <v>369</v>
      </c>
      <c r="E7014" s="534">
        <v>811.62857499999996</v>
      </c>
    </row>
    <row r="7015" spans="2:5" x14ac:dyDescent="0.2">
      <c r="B7015" s="533">
        <v>8564</v>
      </c>
      <c r="C7015" s="533" t="s">
        <v>4816</v>
      </c>
      <c r="D7015" s="656" t="s">
        <v>369</v>
      </c>
      <c r="E7015" s="534">
        <v>805.7</v>
      </c>
    </row>
    <row r="7016" spans="2:5" x14ac:dyDescent="0.2">
      <c r="B7016" s="533">
        <v>8565</v>
      </c>
      <c r="C7016" s="533" t="s">
        <v>4973</v>
      </c>
      <c r="D7016" s="656" t="s">
        <v>369</v>
      </c>
      <c r="E7016" s="534">
        <v>820.50999100000001</v>
      </c>
    </row>
    <row r="7017" spans="2:5" x14ac:dyDescent="0.2">
      <c r="B7017" s="533">
        <v>8566</v>
      </c>
      <c r="C7017" s="533" t="s">
        <v>4671</v>
      </c>
      <c r="D7017" s="656" t="s">
        <v>369</v>
      </c>
      <c r="E7017" s="534">
        <v>794.3125</v>
      </c>
    </row>
    <row r="7018" spans="2:5" x14ac:dyDescent="0.2">
      <c r="B7018" s="533">
        <v>8567</v>
      </c>
      <c r="C7018" s="533" t="s">
        <v>4772</v>
      </c>
      <c r="D7018" s="656" t="s">
        <v>369</v>
      </c>
      <c r="E7018" s="534">
        <v>802.13333499999999</v>
      </c>
    </row>
    <row r="7019" spans="2:5" x14ac:dyDescent="0.2">
      <c r="B7019" s="533">
        <v>8568</v>
      </c>
      <c r="C7019" s="533" t="s">
        <v>6988</v>
      </c>
      <c r="D7019" s="656" t="s">
        <v>369</v>
      </c>
      <c r="E7019" s="534">
        <v>826.37778000000003</v>
      </c>
    </row>
    <row r="7020" spans="2:5" x14ac:dyDescent="0.2">
      <c r="B7020" s="533">
        <v>8569</v>
      </c>
      <c r="C7020" s="533" t="s">
        <v>5084</v>
      </c>
      <c r="D7020" s="656" t="s">
        <v>369</v>
      </c>
      <c r="E7020" s="534">
        <v>832.45000200000004</v>
      </c>
    </row>
    <row r="7021" spans="2:5" x14ac:dyDescent="0.2">
      <c r="B7021" s="533">
        <v>8570</v>
      </c>
      <c r="C7021" s="533" t="s">
        <v>4837</v>
      </c>
      <c r="D7021" s="656" t="s">
        <v>369</v>
      </c>
      <c r="E7021" s="534">
        <v>806.91000399999996</v>
      </c>
    </row>
    <row r="7022" spans="2:5" x14ac:dyDescent="0.2">
      <c r="B7022" s="533">
        <v>8571</v>
      </c>
      <c r="C7022" s="533" t="s">
        <v>5177</v>
      </c>
      <c r="D7022" s="656" t="s">
        <v>369</v>
      </c>
      <c r="E7022" s="534">
        <v>844.17498799999998</v>
      </c>
    </row>
    <row r="7023" spans="2:5" x14ac:dyDescent="0.2">
      <c r="B7023" s="533">
        <v>8572</v>
      </c>
      <c r="C7023" s="533" t="s">
        <v>5202</v>
      </c>
      <c r="D7023" s="656" t="s">
        <v>369</v>
      </c>
      <c r="E7023" s="534">
        <v>846.80000800000005</v>
      </c>
    </row>
    <row r="7024" spans="2:5" x14ac:dyDescent="0.2">
      <c r="B7024" s="533">
        <v>8580</v>
      </c>
      <c r="C7024" s="533" t="s">
        <v>369</v>
      </c>
      <c r="D7024" s="656" t="s">
        <v>369</v>
      </c>
      <c r="E7024" s="534">
        <v>826.83636999999999</v>
      </c>
    </row>
    <row r="7025" spans="2:5" x14ac:dyDescent="0.2">
      <c r="B7025" s="533">
        <v>8581</v>
      </c>
      <c r="C7025" s="533" t="s">
        <v>4997</v>
      </c>
      <c r="D7025" s="656" t="s">
        <v>369</v>
      </c>
      <c r="E7025" s="534">
        <v>823.38332100000002</v>
      </c>
    </row>
    <row r="7026" spans="2:5" x14ac:dyDescent="0.2">
      <c r="B7026" s="533">
        <v>8601</v>
      </c>
      <c r="C7026" s="533" t="s">
        <v>4920</v>
      </c>
      <c r="D7026" s="656" t="s">
        <v>369</v>
      </c>
      <c r="E7026" s="534">
        <v>814.89230599999996</v>
      </c>
    </row>
    <row r="7027" spans="2:5" x14ac:dyDescent="0.2">
      <c r="B7027" s="533">
        <v>8602</v>
      </c>
      <c r="C7027" s="533" t="s">
        <v>4915</v>
      </c>
      <c r="D7027" s="656" t="s">
        <v>369</v>
      </c>
      <c r="E7027" s="534">
        <v>814.47500100000002</v>
      </c>
    </row>
    <row r="7028" spans="2:5" x14ac:dyDescent="0.2">
      <c r="B7028" s="533">
        <v>8603</v>
      </c>
      <c r="C7028" s="533" t="s">
        <v>4687</v>
      </c>
      <c r="D7028" s="656" t="s">
        <v>369</v>
      </c>
      <c r="E7028" s="534">
        <v>795.48666600000001</v>
      </c>
    </row>
    <row r="7029" spans="2:5" x14ac:dyDescent="0.2">
      <c r="B7029" s="533">
        <v>8604</v>
      </c>
      <c r="C7029" s="533" t="s">
        <v>4534</v>
      </c>
      <c r="D7029" s="656" t="s">
        <v>369</v>
      </c>
      <c r="E7029" s="534">
        <v>783.28571399999998</v>
      </c>
    </row>
    <row r="7030" spans="2:5" x14ac:dyDescent="0.2">
      <c r="B7030" s="533">
        <v>8605</v>
      </c>
      <c r="C7030" s="533" t="s">
        <v>2646</v>
      </c>
      <c r="D7030" s="656" t="s">
        <v>369</v>
      </c>
      <c r="E7030" s="534">
        <v>804.59999600000003</v>
      </c>
    </row>
    <row r="7031" spans="2:5" x14ac:dyDescent="0.2">
      <c r="B7031" s="533">
        <v>8606</v>
      </c>
      <c r="C7031" s="533" t="s">
        <v>4978</v>
      </c>
      <c r="D7031" s="656" t="s">
        <v>369</v>
      </c>
      <c r="E7031" s="534">
        <v>821.05555600000002</v>
      </c>
    </row>
    <row r="7032" spans="2:5" x14ac:dyDescent="0.2">
      <c r="B7032" s="533">
        <v>8607</v>
      </c>
      <c r="C7032" s="533" t="s">
        <v>2963</v>
      </c>
      <c r="D7032" s="656" t="s">
        <v>369</v>
      </c>
      <c r="E7032" s="534">
        <v>807.24285899999995</v>
      </c>
    </row>
    <row r="7033" spans="2:5" x14ac:dyDescent="0.2">
      <c r="B7033" s="533">
        <v>8609</v>
      </c>
      <c r="C7033" s="533" t="s">
        <v>1475</v>
      </c>
      <c r="D7033" s="656" t="s">
        <v>369</v>
      </c>
      <c r="E7033" s="534">
        <v>794.63999000000001</v>
      </c>
    </row>
    <row r="7034" spans="2:5" x14ac:dyDescent="0.2">
      <c r="B7034" s="533">
        <v>8610</v>
      </c>
      <c r="C7034" s="533" t="s">
        <v>4830</v>
      </c>
      <c r="D7034" s="656" t="s">
        <v>369</v>
      </c>
      <c r="E7034" s="534">
        <v>806.57000700000003</v>
      </c>
    </row>
    <row r="7035" spans="2:5" x14ac:dyDescent="0.2">
      <c r="B7035" s="533">
        <v>8611</v>
      </c>
      <c r="C7035" s="533" t="s">
        <v>4743</v>
      </c>
      <c r="D7035" s="656" t="s">
        <v>369</v>
      </c>
      <c r="E7035" s="534">
        <v>799.883331</v>
      </c>
    </row>
    <row r="7036" spans="2:5" x14ac:dyDescent="0.2">
      <c r="B7036" s="533">
        <v>8612</v>
      </c>
      <c r="C7036" s="533" t="s">
        <v>5055</v>
      </c>
      <c r="D7036" s="656" t="s">
        <v>369</v>
      </c>
      <c r="E7036" s="534">
        <v>829.616669</v>
      </c>
    </row>
    <row r="7037" spans="2:5" x14ac:dyDescent="0.2">
      <c r="B7037" s="533">
        <v>8613</v>
      </c>
      <c r="C7037" s="533" t="s">
        <v>1750</v>
      </c>
      <c r="D7037" s="656" t="s">
        <v>369</v>
      </c>
      <c r="E7037" s="534">
        <v>790.87498500000004</v>
      </c>
    </row>
    <row r="7038" spans="2:5" x14ac:dyDescent="0.2">
      <c r="B7038" s="533">
        <v>8614</v>
      </c>
      <c r="C7038" s="533" t="s">
        <v>5053</v>
      </c>
      <c r="D7038" s="656" t="s">
        <v>369</v>
      </c>
      <c r="E7038" s="534">
        <v>829.46667500000001</v>
      </c>
    </row>
    <row r="7039" spans="2:5" x14ac:dyDescent="0.2">
      <c r="B7039" s="533">
        <v>8615</v>
      </c>
      <c r="C7039" s="533" t="s">
        <v>4432</v>
      </c>
      <c r="D7039" s="656" t="s">
        <v>369</v>
      </c>
      <c r="E7039" s="534">
        <v>776.31666099999995</v>
      </c>
    </row>
    <row r="7040" spans="2:5" x14ac:dyDescent="0.2">
      <c r="B7040" s="533">
        <v>8616</v>
      </c>
      <c r="C7040" s="533" t="s">
        <v>4870</v>
      </c>
      <c r="D7040" s="656" t="s">
        <v>369</v>
      </c>
      <c r="E7040" s="534">
        <v>809.53334600000005</v>
      </c>
    </row>
    <row r="7041" spans="2:5" x14ac:dyDescent="0.2">
      <c r="B7041" s="533">
        <v>8617</v>
      </c>
      <c r="C7041" s="533" t="s">
        <v>4472</v>
      </c>
      <c r="D7041" s="656" t="s">
        <v>369</v>
      </c>
      <c r="E7041" s="534">
        <v>778.62498500000004</v>
      </c>
    </row>
    <row r="7042" spans="2:5" x14ac:dyDescent="0.2">
      <c r="B7042" s="533">
        <v>8618</v>
      </c>
      <c r="C7042" s="533" t="s">
        <v>6854</v>
      </c>
      <c r="D7042" s="656" t="s">
        <v>369</v>
      </c>
      <c r="E7042" s="534">
        <v>802.34444199999996</v>
      </c>
    </row>
    <row r="7043" spans="2:5" x14ac:dyDescent="0.2">
      <c r="B7043" s="533">
        <v>8619</v>
      </c>
      <c r="C7043" s="533" t="s">
        <v>6886</v>
      </c>
      <c r="D7043" s="656" t="s">
        <v>369</v>
      </c>
      <c r="E7043" s="534">
        <v>761.99998000000005</v>
      </c>
    </row>
    <row r="7044" spans="2:5" x14ac:dyDescent="0.2">
      <c r="B7044" s="533">
        <v>8620</v>
      </c>
      <c r="C7044" s="533" t="s">
        <v>6939</v>
      </c>
      <c r="D7044" s="656" t="s">
        <v>369</v>
      </c>
      <c r="E7044" s="534">
        <v>835.81052799999998</v>
      </c>
    </row>
    <row r="7045" spans="2:5" x14ac:dyDescent="0.2">
      <c r="B7045" s="533">
        <v>8621</v>
      </c>
      <c r="C7045" s="533" t="s">
        <v>4865</v>
      </c>
      <c r="D7045" s="656" t="s">
        <v>369</v>
      </c>
      <c r="E7045" s="534">
        <v>809.38667399999997</v>
      </c>
    </row>
    <row r="7046" spans="2:5" x14ac:dyDescent="0.2">
      <c r="B7046" s="533">
        <v>8622</v>
      </c>
      <c r="C7046" s="533" t="s">
        <v>4930</v>
      </c>
      <c r="D7046" s="656" t="s">
        <v>369</v>
      </c>
      <c r="E7046" s="534">
        <v>815.48000500000001</v>
      </c>
    </row>
    <row r="7047" spans="2:5" x14ac:dyDescent="0.2">
      <c r="B7047" s="533">
        <v>8623</v>
      </c>
      <c r="C7047" s="533" t="s">
        <v>4741</v>
      </c>
      <c r="D7047" s="656" t="s">
        <v>369</v>
      </c>
      <c r="E7047" s="534">
        <v>799.77999299999999</v>
      </c>
    </row>
    <row r="7048" spans="2:5" x14ac:dyDescent="0.2">
      <c r="B7048" s="533">
        <v>8624</v>
      </c>
      <c r="C7048" s="533" t="s">
        <v>5213</v>
      </c>
      <c r="D7048" s="656" t="s">
        <v>369</v>
      </c>
      <c r="E7048" s="534">
        <v>848.870588</v>
      </c>
    </row>
    <row r="7049" spans="2:5" x14ac:dyDescent="0.2">
      <c r="B7049" s="533">
        <v>8625</v>
      </c>
      <c r="C7049" s="533" t="s">
        <v>4665</v>
      </c>
      <c r="D7049" s="656" t="s">
        <v>369</v>
      </c>
      <c r="E7049" s="534">
        <v>831.77499899999998</v>
      </c>
    </row>
    <row r="7050" spans="2:5" x14ac:dyDescent="0.2">
      <c r="B7050" s="533">
        <v>8626</v>
      </c>
      <c r="C7050" s="533" t="s">
        <v>5090</v>
      </c>
      <c r="D7050" s="656" t="s">
        <v>369</v>
      </c>
      <c r="E7050" s="534">
        <v>832.87143400000002</v>
      </c>
    </row>
    <row r="7051" spans="2:5" x14ac:dyDescent="0.2">
      <c r="B7051" s="533">
        <v>8627</v>
      </c>
      <c r="C7051" s="533" t="s">
        <v>4704</v>
      </c>
      <c r="D7051" s="656" t="s">
        <v>369</v>
      </c>
      <c r="E7051" s="534">
        <v>797.29091000000005</v>
      </c>
    </row>
    <row r="7052" spans="2:5" x14ac:dyDescent="0.2">
      <c r="B7052" s="533">
        <v>8628</v>
      </c>
      <c r="C7052" s="533" t="s">
        <v>1260</v>
      </c>
      <c r="D7052" s="656" t="s">
        <v>369</v>
      </c>
      <c r="E7052" s="534">
        <v>826.42500299999995</v>
      </c>
    </row>
    <row r="7053" spans="2:5" x14ac:dyDescent="0.2">
      <c r="B7053" s="533">
        <v>8629</v>
      </c>
      <c r="C7053" s="533" t="s">
        <v>4278</v>
      </c>
      <c r="D7053" s="656" t="s">
        <v>369</v>
      </c>
      <c r="E7053" s="534">
        <v>763.59999800000003</v>
      </c>
    </row>
    <row r="7054" spans="2:5" x14ac:dyDescent="0.2">
      <c r="B7054" s="533">
        <v>8630</v>
      </c>
      <c r="C7054" s="533" t="s">
        <v>4369</v>
      </c>
      <c r="D7054" s="656" t="s">
        <v>369</v>
      </c>
      <c r="E7054" s="534">
        <v>770.46665399999995</v>
      </c>
    </row>
    <row r="7055" spans="2:5" x14ac:dyDescent="0.2">
      <c r="B7055" s="533">
        <v>8631</v>
      </c>
      <c r="C7055" s="533" t="s">
        <v>3636</v>
      </c>
      <c r="D7055" s="656" t="s">
        <v>369</v>
      </c>
      <c r="E7055" s="534">
        <v>836.11817499999995</v>
      </c>
    </row>
    <row r="7056" spans="2:5" x14ac:dyDescent="0.2">
      <c r="B7056" s="533">
        <v>8632</v>
      </c>
      <c r="C7056" s="533" t="s">
        <v>5082</v>
      </c>
      <c r="D7056" s="656" t="s">
        <v>369</v>
      </c>
      <c r="E7056" s="534">
        <v>832.02856399999996</v>
      </c>
    </row>
    <row r="7057" spans="2:5" x14ac:dyDescent="0.2">
      <c r="B7057" s="533">
        <v>8633</v>
      </c>
      <c r="C7057" s="533" t="s">
        <v>4928</v>
      </c>
      <c r="D7057" s="656" t="s">
        <v>369</v>
      </c>
      <c r="E7057" s="534">
        <v>815.34000200000003</v>
      </c>
    </row>
    <row r="7058" spans="2:5" x14ac:dyDescent="0.2">
      <c r="B7058" s="533">
        <v>8634</v>
      </c>
      <c r="C7058" s="533" t="s">
        <v>4747</v>
      </c>
      <c r="D7058" s="656" t="s">
        <v>369</v>
      </c>
      <c r="E7058" s="534">
        <v>800.55999799999995</v>
      </c>
    </row>
    <row r="7059" spans="2:5" x14ac:dyDescent="0.2">
      <c r="B7059" s="533">
        <v>8635</v>
      </c>
      <c r="C7059" s="533" t="s">
        <v>4558</v>
      </c>
      <c r="D7059" s="656" t="s">
        <v>369</v>
      </c>
      <c r="E7059" s="534">
        <v>785.35000600000001</v>
      </c>
    </row>
    <row r="7060" spans="2:5" x14ac:dyDescent="0.2">
      <c r="B7060" s="533">
        <v>8636</v>
      </c>
      <c r="C7060" s="533" t="s">
        <v>4790</v>
      </c>
      <c r="D7060" s="656" t="s">
        <v>369</v>
      </c>
      <c r="E7060" s="534">
        <v>803.38889600000005</v>
      </c>
    </row>
    <row r="7061" spans="2:5" x14ac:dyDescent="0.2">
      <c r="B7061" s="533">
        <v>8637</v>
      </c>
      <c r="C7061" s="533" t="s">
        <v>4889</v>
      </c>
      <c r="D7061" s="656" t="s">
        <v>369</v>
      </c>
      <c r="E7061" s="534">
        <v>811.85833700000001</v>
      </c>
    </row>
    <row r="7062" spans="2:5" x14ac:dyDescent="0.2">
      <c r="B7062" s="533">
        <v>8638</v>
      </c>
      <c r="C7062" s="533" t="s">
        <v>4846</v>
      </c>
      <c r="D7062" s="656" t="s">
        <v>369</v>
      </c>
      <c r="E7062" s="534">
        <v>807.60909200000003</v>
      </c>
    </row>
    <row r="7063" spans="2:5" x14ac:dyDescent="0.2">
      <c r="B7063" s="533">
        <v>8639</v>
      </c>
      <c r="C7063" s="533" t="s">
        <v>4873</v>
      </c>
      <c r="D7063" s="656" t="s">
        <v>369</v>
      </c>
      <c r="E7063" s="534">
        <v>809.76666299999999</v>
      </c>
    </row>
    <row r="7064" spans="2:5" x14ac:dyDescent="0.2">
      <c r="B7064" s="533">
        <v>8640</v>
      </c>
      <c r="C7064" s="533" t="s">
        <v>4933</v>
      </c>
      <c r="D7064" s="656" t="s">
        <v>369</v>
      </c>
      <c r="E7064" s="534">
        <v>815.77500899999995</v>
      </c>
    </row>
    <row r="7065" spans="2:5" x14ac:dyDescent="0.2">
      <c r="B7065" s="533">
        <v>8641</v>
      </c>
      <c r="C7065" s="533" t="s">
        <v>2992</v>
      </c>
      <c r="D7065" s="656" t="s">
        <v>369</v>
      </c>
      <c r="E7065" s="534">
        <v>768.67498799999998</v>
      </c>
    </row>
    <row r="7066" spans="2:5" x14ac:dyDescent="0.2">
      <c r="B7066" s="533">
        <v>8642</v>
      </c>
      <c r="C7066" s="533" t="s">
        <v>6548</v>
      </c>
      <c r="D7066" s="656" t="s">
        <v>369</v>
      </c>
      <c r="E7066" s="534">
        <v>796.34999600000003</v>
      </c>
    </row>
    <row r="7067" spans="2:5" x14ac:dyDescent="0.2">
      <c r="B7067" s="533">
        <v>8643</v>
      </c>
      <c r="C7067" s="533" t="s">
        <v>4457</v>
      </c>
      <c r="D7067" s="656" t="s">
        <v>369</v>
      </c>
      <c r="E7067" s="534">
        <v>777.90000899999995</v>
      </c>
    </row>
    <row r="7068" spans="2:5" x14ac:dyDescent="0.2">
      <c r="B7068" s="533">
        <v>8644</v>
      </c>
      <c r="C7068" s="533" t="s">
        <v>7430</v>
      </c>
      <c r="D7068" s="656" t="s">
        <v>369</v>
      </c>
      <c r="E7068" s="534">
        <v>803.74286800000004</v>
      </c>
    </row>
    <row r="7069" spans="2:5" x14ac:dyDescent="0.2">
      <c r="B7069" s="533">
        <v>8645</v>
      </c>
      <c r="C7069" s="533" t="s">
        <v>4811</v>
      </c>
      <c r="D7069" s="656" t="s">
        <v>369</v>
      </c>
      <c r="E7069" s="534">
        <v>805.06667100000004</v>
      </c>
    </row>
    <row r="7070" spans="2:5" x14ac:dyDescent="0.2">
      <c r="B7070" s="533">
        <v>8646</v>
      </c>
      <c r="C7070" s="533" t="s">
        <v>4491</v>
      </c>
      <c r="D7070" s="656" t="s">
        <v>369</v>
      </c>
      <c r="E7070" s="534">
        <v>780.02499399999999</v>
      </c>
    </row>
    <row r="7071" spans="2:5" x14ac:dyDescent="0.2">
      <c r="B7071" s="533">
        <v>8647</v>
      </c>
      <c r="C7071" s="533" t="s">
        <v>4750</v>
      </c>
      <c r="D7071" s="656" t="s">
        <v>369</v>
      </c>
      <c r="E7071" s="534">
        <v>800.71428600000002</v>
      </c>
    </row>
    <row r="7072" spans="2:5" x14ac:dyDescent="0.2">
      <c r="B7072" s="533">
        <v>8648</v>
      </c>
      <c r="C7072" s="533" t="s">
        <v>4633</v>
      </c>
      <c r="D7072" s="656" t="s">
        <v>369</v>
      </c>
      <c r="E7072" s="534">
        <v>791.66668700000002</v>
      </c>
    </row>
    <row r="7073" spans="2:5" x14ac:dyDescent="0.2">
      <c r="B7073" s="533">
        <v>8649</v>
      </c>
      <c r="C7073" s="533" t="s">
        <v>4840</v>
      </c>
      <c r="D7073" s="656" t="s">
        <v>369</v>
      </c>
      <c r="E7073" s="534">
        <v>807.1</v>
      </c>
    </row>
    <row r="7074" spans="2:5" x14ac:dyDescent="0.2">
      <c r="B7074" s="533">
        <v>8650</v>
      </c>
      <c r="C7074" s="533" t="s">
        <v>4753</v>
      </c>
      <c r="D7074" s="656" t="s">
        <v>369</v>
      </c>
      <c r="E7074" s="534">
        <v>801.10000600000001</v>
      </c>
    </row>
    <row r="7075" spans="2:5" x14ac:dyDescent="0.2">
      <c r="B7075" s="533">
        <v>8651</v>
      </c>
      <c r="C7075" s="533" t="s">
        <v>7202</v>
      </c>
      <c r="D7075" s="656" t="s">
        <v>362</v>
      </c>
      <c r="E7075" s="534">
        <v>921</v>
      </c>
    </row>
    <row r="7076" spans="2:5" x14ac:dyDescent="0.2">
      <c r="B7076" s="533">
        <v>8652</v>
      </c>
      <c r="C7076" s="533" t="s">
        <v>7203</v>
      </c>
      <c r="D7076" s="656" t="s">
        <v>362</v>
      </c>
      <c r="E7076" s="534">
        <v>901.55001800000002</v>
      </c>
    </row>
    <row r="7077" spans="2:5" x14ac:dyDescent="0.2">
      <c r="B7077" s="533">
        <v>8653</v>
      </c>
      <c r="C7077" s="533" t="s">
        <v>7204</v>
      </c>
      <c r="D7077" s="656" t="s">
        <v>362</v>
      </c>
      <c r="E7077" s="534">
        <v>929.40002400000003</v>
      </c>
    </row>
    <row r="7078" spans="2:5" x14ac:dyDescent="0.2">
      <c r="B7078" s="533">
        <v>8654</v>
      </c>
      <c r="C7078" s="533" t="s">
        <v>7205</v>
      </c>
      <c r="D7078" s="656" t="s">
        <v>362</v>
      </c>
      <c r="E7078" s="534">
        <v>932.16664600000001</v>
      </c>
    </row>
    <row r="7079" spans="2:5" x14ac:dyDescent="0.2">
      <c r="B7079" s="533">
        <v>8655</v>
      </c>
      <c r="C7079" s="533" t="s">
        <v>7206</v>
      </c>
      <c r="D7079" s="656" t="s">
        <v>362</v>
      </c>
      <c r="E7079" s="534">
        <v>944.89333499999998</v>
      </c>
    </row>
    <row r="7080" spans="2:5" x14ac:dyDescent="0.2">
      <c r="B7080" s="533">
        <v>8656</v>
      </c>
      <c r="C7080" s="533" t="s">
        <v>7207</v>
      </c>
      <c r="D7080" s="656" t="s">
        <v>362</v>
      </c>
      <c r="E7080" s="534">
        <v>926.5</v>
      </c>
    </row>
    <row r="7081" spans="2:5" x14ac:dyDescent="0.2">
      <c r="B7081" s="533">
        <v>8657</v>
      </c>
      <c r="C7081" s="533" t="s">
        <v>7208</v>
      </c>
      <c r="D7081" s="656" t="s">
        <v>362</v>
      </c>
      <c r="E7081" s="534">
        <v>950.610004</v>
      </c>
    </row>
    <row r="7082" spans="2:5" x14ac:dyDescent="0.2">
      <c r="B7082" s="533">
        <v>8658</v>
      </c>
      <c r="C7082" s="533" t="s">
        <v>7209</v>
      </c>
      <c r="D7082" s="656" t="s">
        <v>362</v>
      </c>
      <c r="E7082" s="534">
        <v>950.51667299999997</v>
      </c>
    </row>
    <row r="7083" spans="2:5" x14ac:dyDescent="0.2">
      <c r="B7083" s="533">
        <v>8659</v>
      </c>
      <c r="C7083" s="533" t="s">
        <v>7210</v>
      </c>
      <c r="D7083" s="656" t="s">
        <v>362</v>
      </c>
      <c r="E7083" s="534">
        <v>942.37501499999996</v>
      </c>
    </row>
    <row r="7084" spans="2:5" x14ac:dyDescent="0.2">
      <c r="B7084" s="533">
        <v>8660</v>
      </c>
      <c r="C7084" s="533" t="s">
        <v>5385</v>
      </c>
      <c r="D7084" s="656" t="s">
        <v>362</v>
      </c>
      <c r="E7084" s="534">
        <v>878.75999100000001</v>
      </c>
    </row>
    <row r="7085" spans="2:5" x14ac:dyDescent="0.2">
      <c r="B7085" s="533">
        <v>8661</v>
      </c>
      <c r="C7085" s="533" t="s">
        <v>5466</v>
      </c>
      <c r="D7085" s="656" t="s">
        <v>362</v>
      </c>
      <c r="E7085" s="534">
        <v>892.75651700000003</v>
      </c>
    </row>
    <row r="7086" spans="2:5" x14ac:dyDescent="0.2">
      <c r="B7086" s="533">
        <v>8662</v>
      </c>
      <c r="C7086" s="533" t="s">
        <v>5539</v>
      </c>
      <c r="D7086" s="656" t="s">
        <v>362</v>
      </c>
      <c r="E7086" s="534">
        <v>903.77368799999999</v>
      </c>
    </row>
    <row r="7087" spans="2:5" x14ac:dyDescent="0.2">
      <c r="B7087" s="533">
        <v>8663</v>
      </c>
      <c r="C7087" s="533" t="s">
        <v>5708</v>
      </c>
      <c r="D7087" s="656" t="s">
        <v>362</v>
      </c>
      <c r="E7087" s="534">
        <v>944.25715000000002</v>
      </c>
    </row>
    <row r="7088" spans="2:5" x14ac:dyDescent="0.2">
      <c r="B7088" s="533">
        <v>8664</v>
      </c>
      <c r="C7088" s="533" t="s">
        <v>5645</v>
      </c>
      <c r="D7088" s="656" t="s">
        <v>362</v>
      </c>
      <c r="E7088" s="534">
        <v>925.45999800000004</v>
      </c>
    </row>
    <row r="7089" spans="2:5" x14ac:dyDescent="0.2">
      <c r="B7089" s="533">
        <v>8665</v>
      </c>
      <c r="C7089" s="533" t="s">
        <v>5972</v>
      </c>
      <c r="D7089" s="656" t="s">
        <v>362</v>
      </c>
      <c r="E7089" s="534">
        <v>1039.573676</v>
      </c>
    </row>
    <row r="7090" spans="2:5" x14ac:dyDescent="0.2">
      <c r="B7090" s="533">
        <v>8666</v>
      </c>
      <c r="C7090" s="533" t="s">
        <v>5622</v>
      </c>
      <c r="D7090" s="656" t="s">
        <v>362</v>
      </c>
      <c r="E7090" s="534">
        <v>919.72141799999997</v>
      </c>
    </row>
    <row r="7091" spans="2:5" x14ac:dyDescent="0.2">
      <c r="B7091" s="533">
        <v>8667</v>
      </c>
      <c r="C7091" s="533" t="s">
        <v>2951</v>
      </c>
      <c r="D7091" s="656" t="s">
        <v>362</v>
      </c>
      <c r="E7091" s="534">
        <v>930.95998499999996</v>
      </c>
    </row>
    <row r="7092" spans="2:5" x14ac:dyDescent="0.2">
      <c r="B7092" s="533">
        <v>8668</v>
      </c>
      <c r="C7092" s="533" t="s">
        <v>2099</v>
      </c>
      <c r="D7092" s="656" t="s">
        <v>362</v>
      </c>
      <c r="E7092" s="534">
        <v>931.33334400000001</v>
      </c>
    </row>
    <row r="7093" spans="2:5" x14ac:dyDescent="0.2">
      <c r="B7093" s="533">
        <v>8669</v>
      </c>
      <c r="C7093" s="533" t="s">
        <v>5367</v>
      </c>
      <c r="D7093" s="656" t="s">
        <v>362</v>
      </c>
      <c r="E7093" s="534">
        <v>874.429034</v>
      </c>
    </row>
    <row r="7094" spans="2:5" x14ac:dyDescent="0.2">
      <c r="B7094" s="533">
        <v>8670</v>
      </c>
      <c r="C7094" s="533" t="s">
        <v>5369</v>
      </c>
      <c r="D7094" s="656" t="s">
        <v>362</v>
      </c>
      <c r="E7094" s="534">
        <v>874.58750899999995</v>
      </c>
    </row>
    <row r="7095" spans="2:5" x14ac:dyDescent="0.2">
      <c r="B7095" s="533">
        <v>8671</v>
      </c>
      <c r="C7095" s="533" t="s">
        <v>5842</v>
      </c>
      <c r="D7095" s="656" t="s">
        <v>362</v>
      </c>
      <c r="E7095" s="534">
        <v>983.06667100000004</v>
      </c>
    </row>
    <row r="7096" spans="2:5" x14ac:dyDescent="0.2">
      <c r="B7096" s="533">
        <v>8672</v>
      </c>
      <c r="C7096" s="533" t="s">
        <v>6772</v>
      </c>
      <c r="D7096" s="656" t="s">
        <v>362</v>
      </c>
      <c r="E7096" s="534">
        <v>844.23214499999995</v>
      </c>
    </row>
    <row r="7097" spans="2:5" x14ac:dyDescent="0.2">
      <c r="B7097" s="533">
        <v>8673</v>
      </c>
      <c r="C7097" s="533" t="s">
        <v>6822</v>
      </c>
      <c r="D7097" s="656" t="s">
        <v>362</v>
      </c>
      <c r="E7097" s="534">
        <v>947.16999499999997</v>
      </c>
    </row>
    <row r="7098" spans="2:5" x14ac:dyDescent="0.2">
      <c r="B7098" s="533">
        <v>8674</v>
      </c>
      <c r="C7098" s="533" t="s">
        <v>5878</v>
      </c>
      <c r="D7098" s="656" t="s">
        <v>362</v>
      </c>
      <c r="E7098" s="534">
        <v>994.03478199999995</v>
      </c>
    </row>
    <row r="7099" spans="2:5" x14ac:dyDescent="0.2">
      <c r="B7099" s="533">
        <v>8675</v>
      </c>
      <c r="C7099" s="533" t="s">
        <v>6880</v>
      </c>
      <c r="D7099" s="656" t="s">
        <v>362</v>
      </c>
      <c r="E7099" s="534">
        <v>947.97500600000001</v>
      </c>
    </row>
    <row r="7100" spans="2:5" x14ac:dyDescent="0.2">
      <c r="B7100" s="533">
        <v>8676</v>
      </c>
      <c r="C7100" s="533" t="s">
        <v>6933</v>
      </c>
      <c r="D7100" s="656" t="s">
        <v>362</v>
      </c>
      <c r="E7100" s="534">
        <v>1027.4833269999999</v>
      </c>
    </row>
    <row r="7101" spans="2:5" x14ac:dyDescent="0.2">
      <c r="B7101" s="533">
        <v>8677</v>
      </c>
      <c r="C7101" s="533" t="s">
        <v>4684</v>
      </c>
      <c r="D7101" s="656" t="s">
        <v>362</v>
      </c>
      <c r="E7101" s="534">
        <v>941.27691700000003</v>
      </c>
    </row>
    <row r="7102" spans="2:5" x14ac:dyDescent="0.2">
      <c r="B7102" s="533">
        <v>8678</v>
      </c>
      <c r="C7102" s="533" t="s">
        <v>5636</v>
      </c>
      <c r="D7102" s="656" t="s">
        <v>362</v>
      </c>
      <c r="E7102" s="534">
        <v>924.16001000000006</v>
      </c>
    </row>
    <row r="7103" spans="2:5" x14ac:dyDescent="0.2">
      <c r="B7103" s="533">
        <v>8679</v>
      </c>
      <c r="C7103" s="533" t="s">
        <v>7004</v>
      </c>
      <c r="D7103" s="656" t="s">
        <v>362</v>
      </c>
      <c r="E7103" s="534">
        <v>1025.075012</v>
      </c>
    </row>
    <row r="7104" spans="2:5" x14ac:dyDescent="0.2">
      <c r="B7104" s="533">
        <v>8680</v>
      </c>
      <c r="C7104" s="533" t="s">
        <v>6049</v>
      </c>
      <c r="D7104" s="656" t="s">
        <v>362</v>
      </c>
      <c r="E7104" s="534">
        <v>1082.999994</v>
      </c>
    </row>
    <row r="7105" spans="2:5" x14ac:dyDescent="0.2">
      <c r="B7105" s="533">
        <v>8681</v>
      </c>
      <c r="C7105" s="533" t="s">
        <v>5892</v>
      </c>
      <c r="D7105" s="656" t="s">
        <v>362</v>
      </c>
      <c r="E7105" s="534">
        <v>998.64736800000003</v>
      </c>
    </row>
    <row r="7106" spans="2:5" x14ac:dyDescent="0.2">
      <c r="B7106" s="533">
        <v>8682</v>
      </c>
      <c r="C7106" s="533" t="s">
        <v>5168</v>
      </c>
      <c r="D7106" s="656" t="s">
        <v>362</v>
      </c>
      <c r="E7106" s="534">
        <v>841.86190699999997</v>
      </c>
    </row>
    <row r="7107" spans="2:5" x14ac:dyDescent="0.2">
      <c r="B7107" s="533">
        <v>8683</v>
      </c>
      <c r="C7107" s="533" t="s">
        <v>6978</v>
      </c>
      <c r="D7107" s="656" t="s">
        <v>362</v>
      </c>
      <c r="E7107" s="534">
        <v>872.54999799999996</v>
      </c>
    </row>
    <row r="7108" spans="2:5" x14ac:dyDescent="0.2">
      <c r="B7108" s="533">
        <v>8684</v>
      </c>
      <c r="C7108" s="533" t="s">
        <v>5643</v>
      </c>
      <c r="D7108" s="656" t="s">
        <v>362</v>
      </c>
      <c r="E7108" s="534">
        <v>925.35000600000001</v>
      </c>
    </row>
    <row r="7109" spans="2:5" x14ac:dyDescent="0.2">
      <c r="B7109" s="533">
        <v>8685</v>
      </c>
      <c r="C7109" s="533" t="s">
        <v>5383</v>
      </c>
      <c r="D7109" s="656" t="s">
        <v>362</v>
      </c>
      <c r="E7109" s="534">
        <v>878.23846000000003</v>
      </c>
    </row>
    <row r="7110" spans="2:5" x14ac:dyDescent="0.2">
      <c r="B7110" s="533">
        <v>8686</v>
      </c>
      <c r="C7110" s="533" t="s">
        <v>5391</v>
      </c>
      <c r="D7110" s="656" t="s">
        <v>362</v>
      </c>
      <c r="E7110" s="534">
        <v>879.46665399999995</v>
      </c>
    </row>
    <row r="7111" spans="2:5" x14ac:dyDescent="0.2">
      <c r="B7111" s="533">
        <v>8687</v>
      </c>
      <c r="C7111" s="533" t="s">
        <v>5601</v>
      </c>
      <c r="D7111" s="656" t="s">
        <v>362</v>
      </c>
      <c r="E7111" s="534">
        <v>914.52222400000005</v>
      </c>
    </row>
    <row r="7112" spans="2:5" x14ac:dyDescent="0.2">
      <c r="B7112" s="533">
        <v>8688</v>
      </c>
      <c r="C7112" s="533" t="s">
        <v>5548</v>
      </c>
      <c r="D7112" s="656" t="s">
        <v>362</v>
      </c>
      <c r="E7112" s="534">
        <v>905.96000400000003</v>
      </c>
    </row>
    <row r="7113" spans="2:5" x14ac:dyDescent="0.2">
      <c r="B7113" s="533">
        <v>8689</v>
      </c>
      <c r="C7113" s="533" t="s">
        <v>2563</v>
      </c>
      <c r="D7113" s="656" t="s">
        <v>362</v>
      </c>
      <c r="E7113" s="534">
        <v>922.81666099999995</v>
      </c>
    </row>
    <row r="7114" spans="2:5" x14ac:dyDescent="0.2">
      <c r="B7114" s="533">
        <v>8690</v>
      </c>
      <c r="C7114" s="533" t="s">
        <v>5869</v>
      </c>
      <c r="D7114" s="656" t="s">
        <v>362</v>
      </c>
      <c r="E7114" s="534">
        <v>992.00001399999996</v>
      </c>
    </row>
    <row r="7115" spans="2:5" x14ac:dyDescent="0.2">
      <c r="B7115" s="533">
        <v>8691</v>
      </c>
      <c r="C7115" s="533" t="s">
        <v>5598</v>
      </c>
      <c r="D7115" s="656" t="s">
        <v>362</v>
      </c>
      <c r="E7115" s="534">
        <v>913.75</v>
      </c>
    </row>
    <row r="7116" spans="2:5" x14ac:dyDescent="0.2">
      <c r="B7116" s="533">
        <v>8692</v>
      </c>
      <c r="C7116" s="533" t="s">
        <v>7258</v>
      </c>
      <c r="D7116" s="656" t="s">
        <v>362</v>
      </c>
      <c r="E7116" s="534">
        <v>914.12501499999996</v>
      </c>
    </row>
    <row r="7117" spans="2:5" x14ac:dyDescent="0.2">
      <c r="B7117" s="533">
        <v>8693</v>
      </c>
      <c r="C7117" s="533" t="s">
        <v>5995</v>
      </c>
      <c r="D7117" s="656" t="s">
        <v>362</v>
      </c>
      <c r="E7117" s="534">
        <v>1050.952393</v>
      </c>
    </row>
    <row r="7118" spans="2:5" x14ac:dyDescent="0.2">
      <c r="B7118" s="533">
        <v>8694</v>
      </c>
      <c r="C7118" s="533" t="s">
        <v>5530</v>
      </c>
      <c r="D7118" s="656" t="s">
        <v>362</v>
      </c>
      <c r="E7118" s="534">
        <v>901.72500600000001</v>
      </c>
    </row>
    <row r="7119" spans="2:5" x14ac:dyDescent="0.2">
      <c r="B7119" s="533">
        <v>8695</v>
      </c>
      <c r="C7119" s="533" t="s">
        <v>7276</v>
      </c>
      <c r="D7119" s="656" t="s">
        <v>362</v>
      </c>
      <c r="E7119" s="534">
        <v>848.71250299999997</v>
      </c>
    </row>
    <row r="7120" spans="2:5" x14ac:dyDescent="0.2">
      <c r="B7120" s="533">
        <v>8696</v>
      </c>
      <c r="C7120" s="533" t="s">
        <v>5615</v>
      </c>
      <c r="D7120" s="656" t="s">
        <v>362</v>
      </c>
      <c r="E7120" s="534">
        <v>917.54165599999999</v>
      </c>
    </row>
    <row r="7121" spans="2:5" x14ac:dyDescent="0.2">
      <c r="B7121" s="533">
        <v>8697</v>
      </c>
      <c r="C7121" s="533" t="s">
        <v>7296</v>
      </c>
      <c r="D7121" s="656" t="s">
        <v>362</v>
      </c>
      <c r="E7121" s="534">
        <v>1053.7958349999999</v>
      </c>
    </row>
    <row r="7122" spans="2:5" x14ac:dyDescent="0.2">
      <c r="B7122" s="533">
        <v>8698</v>
      </c>
      <c r="C7122" s="533" t="s">
        <v>5776</v>
      </c>
      <c r="D7122" s="656" t="s">
        <v>362</v>
      </c>
      <c r="E7122" s="534">
        <v>961.88888899999995</v>
      </c>
    </row>
    <row r="7123" spans="2:5" x14ac:dyDescent="0.2">
      <c r="B7123" s="533">
        <v>8699</v>
      </c>
      <c r="C7123" s="533" t="s">
        <v>5812</v>
      </c>
      <c r="D7123" s="656" t="s">
        <v>362</v>
      </c>
      <c r="E7123" s="534">
        <v>972.24445300000002</v>
      </c>
    </row>
    <row r="7124" spans="2:5" x14ac:dyDescent="0.2">
      <c r="B7124" s="533">
        <v>8700</v>
      </c>
      <c r="C7124" s="533" t="s">
        <v>5961</v>
      </c>
      <c r="D7124" s="656" t="s">
        <v>362</v>
      </c>
      <c r="E7124" s="534">
        <v>1035.857143</v>
      </c>
    </row>
    <row r="7125" spans="2:5" x14ac:dyDescent="0.2">
      <c r="B7125" s="533">
        <v>8701</v>
      </c>
      <c r="C7125" s="533" t="s">
        <v>5811</v>
      </c>
      <c r="D7125" s="656" t="s">
        <v>362</v>
      </c>
      <c r="E7125" s="534">
        <v>971.52857300000005</v>
      </c>
    </row>
    <row r="7126" spans="2:5" x14ac:dyDescent="0.2">
      <c r="B7126" s="533">
        <v>8702</v>
      </c>
      <c r="C7126" s="533" t="s">
        <v>5575</v>
      </c>
      <c r="D7126" s="656" t="s">
        <v>362</v>
      </c>
      <c r="E7126" s="534">
        <v>908.38667399999997</v>
      </c>
    </row>
    <row r="7127" spans="2:5" x14ac:dyDescent="0.2">
      <c r="B7127" s="533">
        <v>8703</v>
      </c>
      <c r="C7127" s="533" t="s">
        <v>5918</v>
      </c>
      <c r="D7127" s="656" t="s">
        <v>362</v>
      </c>
      <c r="E7127" s="534">
        <v>1013.749997</v>
      </c>
    </row>
    <row r="7128" spans="2:5" x14ac:dyDescent="0.2">
      <c r="B7128" s="533">
        <v>8704</v>
      </c>
      <c r="C7128" s="533" t="s">
        <v>5905</v>
      </c>
      <c r="D7128" s="656" t="s">
        <v>362</v>
      </c>
      <c r="E7128" s="534">
        <v>1006.499988</v>
      </c>
    </row>
    <row r="7129" spans="2:5" x14ac:dyDescent="0.2">
      <c r="B7129" s="533">
        <v>8705</v>
      </c>
      <c r="C7129" s="533" t="s">
        <v>4127</v>
      </c>
      <c r="D7129" s="656" t="s">
        <v>362</v>
      </c>
      <c r="E7129" s="534">
        <v>1019.7280029999999</v>
      </c>
    </row>
    <row r="7130" spans="2:5" x14ac:dyDescent="0.2">
      <c r="B7130" s="533">
        <v>8706</v>
      </c>
      <c r="C7130" s="533" t="s">
        <v>5818</v>
      </c>
      <c r="D7130" s="656" t="s">
        <v>362</v>
      </c>
      <c r="E7130" s="534">
        <v>974.67142999999999</v>
      </c>
    </row>
    <row r="7131" spans="2:5" x14ac:dyDescent="0.2">
      <c r="B7131" s="533">
        <v>8707</v>
      </c>
      <c r="C7131" s="533" t="s">
        <v>5686</v>
      </c>
      <c r="D7131" s="656" t="s">
        <v>362</v>
      </c>
      <c r="E7131" s="534">
        <v>937.40999799999997</v>
      </c>
    </row>
    <row r="7132" spans="2:5" x14ac:dyDescent="0.2">
      <c r="B7132" s="533">
        <v>8708</v>
      </c>
      <c r="C7132" s="533" t="s">
        <v>5810</v>
      </c>
      <c r="D7132" s="656" t="s">
        <v>362</v>
      </c>
      <c r="E7132" s="534">
        <v>971.45712700000001</v>
      </c>
    </row>
    <row r="7133" spans="2:5" x14ac:dyDescent="0.2">
      <c r="B7133" s="533">
        <v>8709</v>
      </c>
      <c r="C7133" s="533" t="s">
        <v>7541</v>
      </c>
      <c r="D7133" s="656" t="s">
        <v>362</v>
      </c>
      <c r="E7133" s="534">
        <v>884.43846699999995</v>
      </c>
    </row>
    <row r="7134" spans="2:5" x14ac:dyDescent="0.2">
      <c r="B7134" s="533">
        <v>8710</v>
      </c>
      <c r="C7134" s="533" t="s">
        <v>5861</v>
      </c>
      <c r="D7134" s="656" t="s">
        <v>362</v>
      </c>
      <c r="E7134" s="534">
        <v>987.23571300000003</v>
      </c>
    </row>
    <row r="7135" spans="2:5" x14ac:dyDescent="0.2">
      <c r="B7135" s="533">
        <v>8711</v>
      </c>
      <c r="C7135" s="533" t="s">
        <v>5469</v>
      </c>
      <c r="D7135" s="656" t="s">
        <v>362</v>
      </c>
      <c r="E7135" s="534">
        <v>893.2</v>
      </c>
    </row>
    <row r="7136" spans="2:5" x14ac:dyDescent="0.2">
      <c r="B7136" s="533">
        <v>8712</v>
      </c>
      <c r="C7136" s="533" t="s">
        <v>7547</v>
      </c>
      <c r="D7136" s="656" t="s">
        <v>362</v>
      </c>
      <c r="E7136" s="534">
        <v>821.53529300000002</v>
      </c>
    </row>
    <row r="7137" spans="2:5" x14ac:dyDescent="0.2">
      <c r="B7137" s="533">
        <v>8713</v>
      </c>
      <c r="C7137" s="533" t="s">
        <v>6084</v>
      </c>
      <c r="D7137" s="656" t="s">
        <v>362</v>
      </c>
      <c r="E7137" s="534">
        <v>1108.3264770000001</v>
      </c>
    </row>
    <row r="7138" spans="2:5" x14ac:dyDescent="0.2">
      <c r="B7138" s="533">
        <v>8714</v>
      </c>
      <c r="C7138" s="533" t="s">
        <v>6089</v>
      </c>
      <c r="D7138" s="656" t="s">
        <v>362</v>
      </c>
      <c r="E7138" s="534">
        <v>1115.546161</v>
      </c>
    </row>
    <row r="7139" spans="2:5" x14ac:dyDescent="0.2">
      <c r="B7139" s="533">
        <v>8715</v>
      </c>
      <c r="C7139" s="533" t="s">
        <v>6934</v>
      </c>
      <c r="D7139" s="656" t="s">
        <v>362</v>
      </c>
      <c r="E7139" s="534">
        <v>1050.0823580000001</v>
      </c>
    </row>
    <row r="7140" spans="2:5" x14ac:dyDescent="0.2">
      <c r="B7140" s="533">
        <v>8717</v>
      </c>
      <c r="C7140" s="533" t="s">
        <v>5992</v>
      </c>
      <c r="D7140" s="656" t="s">
        <v>362</v>
      </c>
      <c r="E7140" s="534">
        <v>1048.8228590000001</v>
      </c>
    </row>
    <row r="7141" spans="2:5" x14ac:dyDescent="0.2">
      <c r="B7141" s="533">
        <v>8720</v>
      </c>
      <c r="C7141" s="533" t="s">
        <v>5873</v>
      </c>
      <c r="D7141" s="656" t="s">
        <v>362</v>
      </c>
      <c r="E7141" s="534">
        <v>993.24285499999996</v>
      </c>
    </row>
    <row r="7142" spans="2:5" x14ac:dyDescent="0.2">
      <c r="B7142" s="533">
        <v>8751</v>
      </c>
      <c r="C7142" s="533" t="s">
        <v>5533</v>
      </c>
      <c r="D7142" s="656" t="s">
        <v>370</v>
      </c>
      <c r="E7142" s="534">
        <v>902.14375299999995</v>
      </c>
    </row>
    <row r="7143" spans="2:5" x14ac:dyDescent="0.2">
      <c r="B7143" s="533">
        <v>8752</v>
      </c>
      <c r="C7143" s="533" t="s">
        <v>6506</v>
      </c>
      <c r="D7143" s="656" t="s">
        <v>370</v>
      </c>
      <c r="E7143" s="534">
        <v>997.07646599999998</v>
      </c>
    </row>
    <row r="7144" spans="2:5" x14ac:dyDescent="0.2">
      <c r="B7144" s="533">
        <v>8753</v>
      </c>
      <c r="C7144" s="533" t="s">
        <v>5864</v>
      </c>
      <c r="D7144" s="656" t="s">
        <v>370</v>
      </c>
      <c r="E7144" s="534">
        <v>989.67999599999996</v>
      </c>
    </row>
    <row r="7145" spans="2:5" x14ac:dyDescent="0.2">
      <c r="B7145" s="533">
        <v>8754</v>
      </c>
      <c r="C7145" s="533" t="s">
        <v>1417</v>
      </c>
      <c r="D7145" s="656" t="s">
        <v>370</v>
      </c>
      <c r="E7145" s="534">
        <v>997.94090700000004</v>
      </c>
    </row>
    <row r="7146" spans="2:5" x14ac:dyDescent="0.2">
      <c r="B7146" s="533">
        <v>8755</v>
      </c>
      <c r="C7146" s="533" t="s">
        <v>370</v>
      </c>
      <c r="D7146" s="656" t="s">
        <v>370</v>
      </c>
      <c r="E7146" s="534">
        <v>976.15556200000003</v>
      </c>
    </row>
    <row r="7147" spans="2:5" x14ac:dyDescent="0.2">
      <c r="B7147" s="533">
        <v>8756</v>
      </c>
      <c r="C7147" s="533" t="s">
        <v>5982</v>
      </c>
      <c r="D7147" s="656" t="s">
        <v>370</v>
      </c>
      <c r="E7147" s="534">
        <v>1044.194438</v>
      </c>
    </row>
    <row r="7148" spans="2:5" x14ac:dyDescent="0.2">
      <c r="B7148" s="533">
        <v>8757</v>
      </c>
      <c r="C7148" s="533" t="s">
        <v>5846</v>
      </c>
      <c r="D7148" s="656" t="s">
        <v>370</v>
      </c>
      <c r="E7148" s="534">
        <v>985.08000500000003</v>
      </c>
    </row>
    <row r="7149" spans="2:5" x14ac:dyDescent="0.2">
      <c r="B7149" s="533">
        <v>8758</v>
      </c>
      <c r="C7149" s="533" t="s">
        <v>5350</v>
      </c>
      <c r="D7149" s="656" t="s">
        <v>370</v>
      </c>
      <c r="E7149" s="534">
        <v>872.00001299999997</v>
      </c>
    </row>
    <row r="7150" spans="2:5" x14ac:dyDescent="0.2">
      <c r="B7150" s="533">
        <v>8759</v>
      </c>
      <c r="C7150" s="533" t="s">
        <v>5908</v>
      </c>
      <c r="D7150" s="656" t="s">
        <v>370</v>
      </c>
      <c r="E7150" s="534">
        <v>1007.209522</v>
      </c>
    </row>
    <row r="7151" spans="2:5" x14ac:dyDescent="0.2">
      <c r="B7151" s="533">
        <v>8760</v>
      </c>
      <c r="C7151" s="533" t="s">
        <v>5208</v>
      </c>
      <c r="D7151" s="656" t="s">
        <v>370</v>
      </c>
      <c r="E7151" s="534">
        <v>848.322225</v>
      </c>
    </row>
    <row r="7152" spans="2:5" x14ac:dyDescent="0.2">
      <c r="B7152" s="533">
        <v>8761</v>
      </c>
      <c r="C7152" s="533" t="s">
        <v>4472</v>
      </c>
      <c r="D7152" s="656" t="s">
        <v>370</v>
      </c>
      <c r="E7152" s="534">
        <v>995.68125299999997</v>
      </c>
    </row>
    <row r="7153" spans="2:5" x14ac:dyDescent="0.2">
      <c r="B7153" s="533">
        <v>8762</v>
      </c>
      <c r="C7153" s="533" t="s">
        <v>6699</v>
      </c>
      <c r="D7153" s="656" t="s">
        <v>370</v>
      </c>
      <c r="E7153" s="534">
        <v>956.5</v>
      </c>
    </row>
    <row r="7154" spans="2:5" x14ac:dyDescent="0.2">
      <c r="B7154" s="533">
        <v>8763</v>
      </c>
      <c r="C7154" s="533" t="s">
        <v>5813</v>
      </c>
      <c r="D7154" s="656" t="s">
        <v>370</v>
      </c>
      <c r="E7154" s="534">
        <v>972.36111500000004</v>
      </c>
    </row>
    <row r="7155" spans="2:5" x14ac:dyDescent="0.2">
      <c r="B7155" s="533">
        <v>8764</v>
      </c>
      <c r="C7155" s="533" t="s">
        <v>5942</v>
      </c>
      <c r="D7155" s="656" t="s">
        <v>370</v>
      </c>
      <c r="E7155" s="534">
        <v>1027.561113</v>
      </c>
    </row>
    <row r="7156" spans="2:5" x14ac:dyDescent="0.2">
      <c r="B7156" s="533">
        <v>8765</v>
      </c>
      <c r="C7156" s="533" t="s">
        <v>5897</v>
      </c>
      <c r="D7156" s="656" t="s">
        <v>370</v>
      </c>
      <c r="E7156" s="534">
        <v>1002.700012</v>
      </c>
    </row>
    <row r="7157" spans="2:5" x14ac:dyDescent="0.2">
      <c r="B7157" s="533">
        <v>8766</v>
      </c>
      <c r="C7157" s="533" t="s">
        <v>5911</v>
      </c>
      <c r="D7157" s="656" t="s">
        <v>370</v>
      </c>
      <c r="E7157" s="534">
        <v>1009.03333</v>
      </c>
    </row>
    <row r="7158" spans="2:5" x14ac:dyDescent="0.2">
      <c r="B7158" s="533">
        <v>8767</v>
      </c>
      <c r="C7158" s="533" t="s">
        <v>5548</v>
      </c>
      <c r="D7158" s="656" t="s">
        <v>370</v>
      </c>
      <c r="E7158" s="534">
        <v>1028.96111</v>
      </c>
    </row>
    <row r="7159" spans="2:5" x14ac:dyDescent="0.2">
      <c r="B7159" s="533">
        <v>8768</v>
      </c>
      <c r="C7159" s="533" t="s">
        <v>5797</v>
      </c>
      <c r="D7159" s="656" t="s">
        <v>370</v>
      </c>
      <c r="E7159" s="534">
        <v>967.83998999999994</v>
      </c>
    </row>
    <row r="7160" spans="2:5" x14ac:dyDescent="0.2">
      <c r="B7160" s="533">
        <v>8769</v>
      </c>
      <c r="C7160" s="533" t="s">
        <v>691</v>
      </c>
      <c r="D7160" s="656" t="s">
        <v>370</v>
      </c>
      <c r="E7160" s="534">
        <v>1005.427277</v>
      </c>
    </row>
    <row r="7161" spans="2:5" x14ac:dyDescent="0.2">
      <c r="B7161" s="533">
        <v>8770</v>
      </c>
      <c r="C7161" s="533" t="s">
        <v>6010</v>
      </c>
      <c r="D7161" s="656" t="s">
        <v>370</v>
      </c>
      <c r="E7161" s="534">
        <v>1056.2999990000001</v>
      </c>
    </row>
    <row r="7162" spans="2:5" x14ac:dyDescent="0.2">
      <c r="B7162" s="533">
        <v>8771</v>
      </c>
      <c r="C7162" s="533" t="s">
        <v>5814</v>
      </c>
      <c r="D7162" s="656" t="s">
        <v>370</v>
      </c>
      <c r="E7162" s="534">
        <v>973.05000299999995</v>
      </c>
    </row>
    <row r="7163" spans="2:5" x14ac:dyDescent="0.2">
      <c r="B7163" s="533">
        <v>8772</v>
      </c>
      <c r="C7163" s="533" t="s">
        <v>5744</v>
      </c>
      <c r="D7163" s="656" t="s">
        <v>370</v>
      </c>
      <c r="E7163" s="534">
        <v>953.82058700000005</v>
      </c>
    </row>
    <row r="7164" spans="2:5" x14ac:dyDescent="0.2">
      <c r="B7164" s="533">
        <v>8773</v>
      </c>
      <c r="C7164" s="533" t="s">
        <v>5281</v>
      </c>
      <c r="D7164" s="656" t="s">
        <v>370</v>
      </c>
      <c r="E7164" s="534">
        <v>859.64666699999998</v>
      </c>
    </row>
    <row r="7165" spans="2:5" x14ac:dyDescent="0.2">
      <c r="B7165" s="533">
        <v>8774</v>
      </c>
      <c r="C7165" s="533" t="s">
        <v>5540</v>
      </c>
      <c r="D7165" s="656" t="s">
        <v>370</v>
      </c>
      <c r="E7165" s="534">
        <v>904.11817499999995</v>
      </c>
    </row>
    <row r="7166" spans="2:5" x14ac:dyDescent="0.2">
      <c r="B7166" s="533">
        <v>8775</v>
      </c>
      <c r="C7166" s="533" t="s">
        <v>7312</v>
      </c>
      <c r="D7166" s="656" t="s">
        <v>370</v>
      </c>
      <c r="E7166" s="534">
        <v>1027.871416</v>
      </c>
    </row>
    <row r="7167" spans="2:5" x14ac:dyDescent="0.2">
      <c r="B7167" s="533">
        <v>8776</v>
      </c>
      <c r="C7167" s="533" t="s">
        <v>4478</v>
      </c>
      <c r="D7167" s="656" t="s">
        <v>370</v>
      </c>
      <c r="E7167" s="534">
        <v>1001</v>
      </c>
    </row>
    <row r="7168" spans="2:5" x14ac:dyDescent="0.2">
      <c r="B7168" s="533">
        <v>8777</v>
      </c>
      <c r="C7168" s="533" t="s">
        <v>5355</v>
      </c>
      <c r="D7168" s="656" t="s">
        <v>370</v>
      </c>
      <c r="E7168" s="534">
        <v>873.47272799999996</v>
      </c>
    </row>
    <row r="7169" spans="2:5" x14ac:dyDescent="0.2">
      <c r="B7169" s="533">
        <v>8778</v>
      </c>
      <c r="C7169" s="533" t="s">
        <v>7411</v>
      </c>
      <c r="D7169" s="656" t="s">
        <v>370</v>
      </c>
      <c r="E7169" s="534">
        <v>994.01612699999998</v>
      </c>
    </row>
    <row r="7170" spans="2:5" x14ac:dyDescent="0.2">
      <c r="B7170" s="533">
        <v>8779</v>
      </c>
      <c r="C7170" s="533" t="s">
        <v>7488</v>
      </c>
      <c r="D7170" s="656" t="s">
        <v>370</v>
      </c>
      <c r="E7170" s="534">
        <v>1006.327276</v>
      </c>
    </row>
    <row r="7171" spans="2:5" x14ac:dyDescent="0.2">
      <c r="B7171" s="533">
        <v>8780</v>
      </c>
      <c r="C7171" s="533" t="s">
        <v>5979</v>
      </c>
      <c r="D7171" s="656" t="s">
        <v>370</v>
      </c>
      <c r="E7171" s="534">
        <v>1043.8882450000001</v>
      </c>
    </row>
    <row r="7172" spans="2:5" x14ac:dyDescent="0.2">
      <c r="B7172" s="533">
        <v>8781</v>
      </c>
      <c r="C7172" s="533" t="s">
        <v>5889</v>
      </c>
      <c r="D7172" s="656" t="s">
        <v>370</v>
      </c>
      <c r="E7172" s="534">
        <v>997.66665599999999</v>
      </c>
    </row>
    <row r="7173" spans="2:5" x14ac:dyDescent="0.2">
      <c r="B7173" s="533">
        <v>8782</v>
      </c>
      <c r="C7173" s="533" t="s">
        <v>5630</v>
      </c>
      <c r="D7173" s="656" t="s">
        <v>370</v>
      </c>
      <c r="E7173" s="534">
        <v>922.49354600000004</v>
      </c>
    </row>
    <row r="7174" spans="2:5" x14ac:dyDescent="0.2">
      <c r="B7174" s="533">
        <v>8783</v>
      </c>
      <c r="C7174" s="533" t="s">
        <v>5784</v>
      </c>
      <c r="D7174" s="656" t="s">
        <v>370</v>
      </c>
      <c r="E7174" s="534">
        <v>964.383331</v>
      </c>
    </row>
    <row r="7175" spans="2:5" x14ac:dyDescent="0.2">
      <c r="B7175" s="533">
        <v>8784</v>
      </c>
      <c r="C7175" s="533" t="s">
        <v>5847</v>
      </c>
      <c r="D7175" s="656" t="s">
        <v>370</v>
      </c>
      <c r="E7175" s="534">
        <v>985.40713900000003</v>
      </c>
    </row>
    <row r="7176" spans="2:5" x14ac:dyDescent="0.2">
      <c r="B7176" s="533">
        <v>8801</v>
      </c>
      <c r="C7176" s="533" t="s">
        <v>4737</v>
      </c>
      <c r="D7176" s="656" t="s">
        <v>381</v>
      </c>
      <c r="E7176" s="534">
        <v>799.62221299999999</v>
      </c>
    </row>
    <row r="7177" spans="2:5" x14ac:dyDescent="0.2">
      <c r="B7177" s="533">
        <v>8802</v>
      </c>
      <c r="C7177" s="533" t="s">
        <v>4762</v>
      </c>
      <c r="D7177" s="656" t="s">
        <v>381</v>
      </c>
      <c r="E7177" s="534">
        <v>801.83333300000004</v>
      </c>
    </row>
    <row r="7178" spans="2:5" x14ac:dyDescent="0.2">
      <c r="B7178" s="533">
        <v>8803</v>
      </c>
      <c r="C7178" s="533" t="s">
        <v>4563</v>
      </c>
      <c r="D7178" s="656" t="s">
        <v>381</v>
      </c>
      <c r="E7178" s="534">
        <v>785.94998199999998</v>
      </c>
    </row>
    <row r="7179" spans="2:5" x14ac:dyDescent="0.2">
      <c r="B7179" s="533">
        <v>8804</v>
      </c>
      <c r="C7179" s="533" t="s">
        <v>4494</v>
      </c>
      <c r="D7179" s="656" t="s">
        <v>381</v>
      </c>
      <c r="E7179" s="534">
        <v>780.22855900000002</v>
      </c>
    </row>
    <row r="7180" spans="2:5" x14ac:dyDescent="0.2">
      <c r="B7180" s="533">
        <v>8805</v>
      </c>
      <c r="C7180" s="533" t="s">
        <v>4615</v>
      </c>
      <c r="D7180" s="656" t="s">
        <v>381</v>
      </c>
      <c r="E7180" s="534">
        <v>790.33333300000004</v>
      </c>
    </row>
    <row r="7181" spans="2:5" x14ac:dyDescent="0.2">
      <c r="B7181" s="533">
        <v>8806</v>
      </c>
      <c r="C7181" s="533" t="s">
        <v>4292</v>
      </c>
      <c r="D7181" s="656" t="s">
        <v>381</v>
      </c>
      <c r="E7181" s="534">
        <v>797.13636899999995</v>
      </c>
    </row>
    <row r="7182" spans="2:5" x14ac:dyDescent="0.2">
      <c r="B7182" s="533">
        <v>8807</v>
      </c>
      <c r="C7182" s="533" t="s">
        <v>4463</v>
      </c>
      <c r="D7182" s="656" t="s">
        <v>381</v>
      </c>
      <c r="E7182" s="534">
        <v>778.14999399999999</v>
      </c>
    </row>
    <row r="7183" spans="2:5" x14ac:dyDescent="0.2">
      <c r="B7183" s="533">
        <v>8808</v>
      </c>
      <c r="C7183" s="533" t="s">
        <v>7018</v>
      </c>
      <c r="D7183" s="656" t="s">
        <v>381</v>
      </c>
      <c r="E7183" s="534">
        <v>770.10713799999996</v>
      </c>
    </row>
    <row r="7184" spans="2:5" x14ac:dyDescent="0.2">
      <c r="B7184" s="533">
        <v>8809</v>
      </c>
      <c r="C7184" s="533" t="s">
        <v>4360</v>
      </c>
      <c r="D7184" s="656" t="s">
        <v>381</v>
      </c>
      <c r="E7184" s="534">
        <v>769.81000400000005</v>
      </c>
    </row>
    <row r="7185" spans="2:5" x14ac:dyDescent="0.2">
      <c r="B7185" s="533">
        <v>8810</v>
      </c>
      <c r="C7185" s="533" t="s">
        <v>3803</v>
      </c>
      <c r="D7185" s="656" t="s">
        <v>381</v>
      </c>
      <c r="E7185" s="534">
        <v>733.45001200000002</v>
      </c>
    </row>
    <row r="7186" spans="2:5" x14ac:dyDescent="0.2">
      <c r="B7186" s="533">
        <v>8811</v>
      </c>
      <c r="C7186" s="533" t="s">
        <v>4247</v>
      </c>
      <c r="D7186" s="656" t="s">
        <v>381</v>
      </c>
      <c r="E7186" s="534">
        <v>761.36667899999998</v>
      </c>
    </row>
    <row r="7187" spans="2:5" x14ac:dyDescent="0.2">
      <c r="B7187" s="533">
        <v>8812</v>
      </c>
      <c r="C7187" s="533" t="s">
        <v>4524</v>
      </c>
      <c r="D7187" s="656" t="s">
        <v>381</v>
      </c>
      <c r="E7187" s="534">
        <v>782.48000500000001</v>
      </c>
    </row>
    <row r="7188" spans="2:5" x14ac:dyDescent="0.2">
      <c r="B7188" s="533">
        <v>8813</v>
      </c>
      <c r="C7188" s="533" t="s">
        <v>6505</v>
      </c>
      <c r="D7188" s="656" t="s">
        <v>381</v>
      </c>
      <c r="E7188" s="534">
        <v>776.21428600000002</v>
      </c>
    </row>
    <row r="7189" spans="2:5" x14ac:dyDescent="0.2">
      <c r="B7189" s="533">
        <v>8814</v>
      </c>
      <c r="C7189" s="533" t="s">
        <v>1540</v>
      </c>
      <c r="D7189" s="656" t="s">
        <v>381</v>
      </c>
      <c r="E7189" s="534">
        <v>782.83846300000005</v>
      </c>
    </row>
    <row r="7190" spans="2:5" x14ac:dyDescent="0.2">
      <c r="B7190" s="533">
        <v>8815</v>
      </c>
      <c r="C7190" s="533" t="s">
        <v>4449</v>
      </c>
      <c r="D7190" s="656" t="s">
        <v>381</v>
      </c>
      <c r="E7190" s="534">
        <v>777.30832399999997</v>
      </c>
    </row>
    <row r="7191" spans="2:5" x14ac:dyDescent="0.2">
      <c r="B7191" s="533">
        <v>8816</v>
      </c>
      <c r="C7191" s="533" t="s">
        <v>4538</v>
      </c>
      <c r="D7191" s="656" t="s">
        <v>381</v>
      </c>
      <c r="E7191" s="534">
        <v>783.81176400000004</v>
      </c>
    </row>
    <row r="7192" spans="2:5" x14ac:dyDescent="0.2">
      <c r="B7192" s="533">
        <v>8817</v>
      </c>
      <c r="C7192" s="533" t="s">
        <v>3998</v>
      </c>
      <c r="D7192" s="656" t="s">
        <v>381</v>
      </c>
      <c r="E7192" s="534">
        <v>745.37999300000001</v>
      </c>
    </row>
    <row r="7193" spans="2:5" x14ac:dyDescent="0.2">
      <c r="B7193" s="533">
        <v>8818</v>
      </c>
      <c r="C7193" s="533" t="s">
        <v>4375</v>
      </c>
      <c r="D7193" s="656" t="s">
        <v>381</v>
      </c>
      <c r="E7193" s="534">
        <v>770.84999600000003</v>
      </c>
    </row>
    <row r="7194" spans="2:5" x14ac:dyDescent="0.2">
      <c r="B7194" s="533">
        <v>8819</v>
      </c>
      <c r="C7194" s="533" t="s">
        <v>4411</v>
      </c>
      <c r="D7194" s="656" t="s">
        <v>381</v>
      </c>
      <c r="E7194" s="534">
        <v>774.25</v>
      </c>
    </row>
    <row r="7195" spans="2:5" x14ac:dyDescent="0.2">
      <c r="B7195" s="533">
        <v>8820</v>
      </c>
      <c r="C7195" s="533" t="s">
        <v>4490</v>
      </c>
      <c r="D7195" s="656" t="s">
        <v>381</v>
      </c>
      <c r="E7195" s="534">
        <v>779.99285499999996</v>
      </c>
    </row>
    <row r="7196" spans="2:5" x14ac:dyDescent="0.2">
      <c r="B7196" s="533">
        <v>8821</v>
      </c>
      <c r="C7196" s="533" t="s">
        <v>7216</v>
      </c>
      <c r="D7196" s="656" t="s">
        <v>381</v>
      </c>
      <c r="E7196" s="534">
        <v>792.80833900000005</v>
      </c>
    </row>
    <row r="7197" spans="2:5" x14ac:dyDescent="0.2">
      <c r="B7197" s="533">
        <v>8822</v>
      </c>
      <c r="C7197" s="533" t="s">
        <v>4572</v>
      </c>
      <c r="D7197" s="656" t="s">
        <v>381</v>
      </c>
      <c r="E7197" s="534">
        <v>786.56667100000004</v>
      </c>
    </row>
    <row r="7198" spans="2:5" x14ac:dyDescent="0.2">
      <c r="B7198" s="533">
        <v>8823</v>
      </c>
      <c r="C7198" s="533" t="s">
        <v>4302</v>
      </c>
      <c r="D7198" s="656" t="s">
        <v>381</v>
      </c>
      <c r="E7198" s="534">
        <v>765.57691799999998</v>
      </c>
    </row>
    <row r="7199" spans="2:5" x14ac:dyDescent="0.2">
      <c r="B7199" s="533">
        <v>8824</v>
      </c>
      <c r="C7199" s="533" t="s">
        <v>3084</v>
      </c>
      <c r="D7199" s="656" t="s">
        <v>381</v>
      </c>
      <c r="E7199" s="534">
        <v>785.10000600000001</v>
      </c>
    </row>
    <row r="7200" spans="2:5" x14ac:dyDescent="0.2">
      <c r="B7200" s="533">
        <v>8825</v>
      </c>
      <c r="C7200" s="533" t="s">
        <v>4517</v>
      </c>
      <c r="D7200" s="656" t="s">
        <v>381</v>
      </c>
      <c r="E7200" s="534">
        <v>781.58333300000004</v>
      </c>
    </row>
    <row r="7201" spans="2:5" x14ac:dyDescent="0.2">
      <c r="B7201" s="533">
        <v>8826</v>
      </c>
      <c r="C7201" s="533" t="s">
        <v>4537</v>
      </c>
      <c r="D7201" s="656" t="s">
        <v>381</v>
      </c>
      <c r="E7201" s="534">
        <v>783.75883199999998</v>
      </c>
    </row>
    <row r="7202" spans="2:5" x14ac:dyDescent="0.2">
      <c r="B7202" s="533">
        <v>8827</v>
      </c>
      <c r="C7202" s="533" t="s">
        <v>4583</v>
      </c>
      <c r="D7202" s="656" t="s">
        <v>381</v>
      </c>
      <c r="E7202" s="534">
        <v>787.48333200000002</v>
      </c>
    </row>
    <row r="7203" spans="2:5" x14ac:dyDescent="0.2">
      <c r="B7203" s="533">
        <v>8828</v>
      </c>
      <c r="C7203" s="533" t="s">
        <v>4761</v>
      </c>
      <c r="D7203" s="656" t="s">
        <v>381</v>
      </c>
      <c r="E7203" s="534">
        <v>801.81000400000005</v>
      </c>
    </row>
    <row r="7204" spans="2:5" x14ac:dyDescent="0.2">
      <c r="B7204" s="533">
        <v>8829</v>
      </c>
      <c r="C7204" s="533" t="s">
        <v>5493</v>
      </c>
      <c r="D7204" s="656" t="s">
        <v>381</v>
      </c>
      <c r="E7204" s="534">
        <v>896.13333599999999</v>
      </c>
    </row>
    <row r="7205" spans="2:5" x14ac:dyDescent="0.2">
      <c r="B7205" s="533">
        <v>8830</v>
      </c>
      <c r="C7205" s="533" t="s">
        <v>5034</v>
      </c>
      <c r="D7205" s="656" t="s">
        <v>381</v>
      </c>
      <c r="E7205" s="534">
        <v>827.27222700000004</v>
      </c>
    </row>
    <row r="7206" spans="2:5" x14ac:dyDescent="0.2">
      <c r="B7206" s="533">
        <v>8831</v>
      </c>
      <c r="C7206" s="533" t="s">
        <v>4424</v>
      </c>
      <c r="D7206" s="656" t="s">
        <v>381</v>
      </c>
      <c r="E7206" s="534">
        <v>775.47272799999996</v>
      </c>
    </row>
    <row r="7207" spans="2:5" x14ac:dyDescent="0.2">
      <c r="B7207" s="533">
        <v>8832</v>
      </c>
      <c r="C7207" s="533" t="s">
        <v>4285</v>
      </c>
      <c r="D7207" s="656" t="s">
        <v>381</v>
      </c>
      <c r="E7207" s="534">
        <v>764.08570199999997</v>
      </c>
    </row>
    <row r="7208" spans="2:5" x14ac:dyDescent="0.2">
      <c r="B7208" s="533">
        <v>8833</v>
      </c>
      <c r="C7208" s="533" t="s">
        <v>4419</v>
      </c>
      <c r="D7208" s="656" t="s">
        <v>381</v>
      </c>
      <c r="E7208" s="534">
        <v>774.97777599999995</v>
      </c>
    </row>
    <row r="7209" spans="2:5" x14ac:dyDescent="0.2">
      <c r="B7209" s="533">
        <v>8834</v>
      </c>
      <c r="C7209" s="533" t="s">
        <v>4282</v>
      </c>
      <c r="D7209" s="656" t="s">
        <v>381</v>
      </c>
      <c r="E7209" s="534">
        <v>763.77856899999995</v>
      </c>
    </row>
    <row r="7210" spans="2:5" x14ac:dyDescent="0.2">
      <c r="B7210" s="533">
        <v>8835</v>
      </c>
      <c r="C7210" s="533" t="s">
        <v>4264</v>
      </c>
      <c r="D7210" s="656" t="s">
        <v>381</v>
      </c>
      <c r="E7210" s="534">
        <v>762.83331299999998</v>
      </c>
    </row>
    <row r="7211" spans="2:5" x14ac:dyDescent="0.2">
      <c r="B7211" s="533">
        <v>8836</v>
      </c>
      <c r="C7211" s="533" t="s">
        <v>4890</v>
      </c>
      <c r="D7211" s="656" t="s">
        <v>381</v>
      </c>
      <c r="E7211" s="534">
        <v>812.17727400000001</v>
      </c>
    </row>
    <row r="7212" spans="2:5" x14ac:dyDescent="0.2">
      <c r="B7212" s="533">
        <v>8837</v>
      </c>
      <c r="C7212" s="533" t="s">
        <v>899</v>
      </c>
      <c r="D7212" s="656" t="s">
        <v>381</v>
      </c>
      <c r="E7212" s="534">
        <v>742.92000700000006</v>
      </c>
    </row>
    <row r="7213" spans="2:5" x14ac:dyDescent="0.2">
      <c r="B7213" s="533">
        <v>8838</v>
      </c>
      <c r="C7213" s="533" t="s">
        <v>1260</v>
      </c>
      <c r="D7213" s="656" t="s">
        <v>381</v>
      </c>
      <c r="E7213" s="534">
        <v>844.65002400000003</v>
      </c>
    </row>
    <row r="7214" spans="2:5" x14ac:dyDescent="0.2">
      <c r="B7214" s="533">
        <v>8839</v>
      </c>
      <c r="C7214" s="533" t="s">
        <v>4342</v>
      </c>
      <c r="D7214" s="656" t="s">
        <v>381</v>
      </c>
      <c r="E7214" s="534">
        <v>768.26153099999999</v>
      </c>
    </row>
    <row r="7215" spans="2:5" x14ac:dyDescent="0.2">
      <c r="B7215" s="533">
        <v>8840</v>
      </c>
      <c r="C7215" s="533" t="s">
        <v>4190</v>
      </c>
      <c r="D7215" s="656" t="s">
        <v>381</v>
      </c>
      <c r="E7215" s="534">
        <v>757.72666800000002</v>
      </c>
    </row>
    <row r="7216" spans="2:5" x14ac:dyDescent="0.2">
      <c r="B7216" s="533">
        <v>8841</v>
      </c>
      <c r="C7216" s="533" t="s">
        <v>6490</v>
      </c>
      <c r="D7216" s="656" t="s">
        <v>381</v>
      </c>
      <c r="E7216" s="534">
        <v>768.51000399999998</v>
      </c>
    </row>
    <row r="7217" spans="2:5" x14ac:dyDescent="0.2">
      <c r="B7217" s="533">
        <v>8842</v>
      </c>
      <c r="C7217" s="533" t="s">
        <v>7188</v>
      </c>
      <c r="D7217" s="656" t="s">
        <v>381</v>
      </c>
      <c r="E7217" s="534">
        <v>763.25556800000004</v>
      </c>
    </row>
    <row r="7218" spans="2:5" x14ac:dyDescent="0.2">
      <c r="B7218" s="533">
        <v>8843</v>
      </c>
      <c r="C7218" s="533" t="s">
        <v>4198</v>
      </c>
      <c r="D7218" s="656" t="s">
        <v>381</v>
      </c>
      <c r="E7218" s="534">
        <v>758.02499399999999</v>
      </c>
    </row>
    <row r="7219" spans="2:5" x14ac:dyDescent="0.2">
      <c r="B7219" s="533">
        <v>8844</v>
      </c>
      <c r="C7219" s="533" t="s">
        <v>381</v>
      </c>
      <c r="D7219" s="656" t="s">
        <v>381</v>
      </c>
      <c r="E7219" s="534">
        <v>750.78571399999998</v>
      </c>
    </row>
    <row r="7220" spans="2:5" x14ac:dyDescent="0.2">
      <c r="B7220" s="533">
        <v>8845</v>
      </c>
      <c r="C7220" s="533" t="s">
        <v>7192</v>
      </c>
      <c r="D7220" s="656" t="s">
        <v>381</v>
      </c>
      <c r="E7220" s="534">
        <v>789.04000199999996</v>
      </c>
    </row>
    <row r="7221" spans="2:5" x14ac:dyDescent="0.2">
      <c r="B7221" s="533">
        <v>8846</v>
      </c>
      <c r="C7221" s="533" t="s">
        <v>5259</v>
      </c>
      <c r="D7221" s="656" t="s">
        <v>381</v>
      </c>
      <c r="E7221" s="534">
        <v>856.46110699999997</v>
      </c>
    </row>
    <row r="7222" spans="2:5" x14ac:dyDescent="0.2">
      <c r="B7222" s="533">
        <v>8847</v>
      </c>
      <c r="C7222" s="533" t="s">
        <v>4927</v>
      </c>
      <c r="D7222" s="656" t="s">
        <v>381</v>
      </c>
      <c r="E7222" s="534">
        <v>815.240002</v>
      </c>
    </row>
    <row r="7223" spans="2:5" x14ac:dyDescent="0.2">
      <c r="B7223" s="533">
        <v>8848</v>
      </c>
      <c r="C7223" s="533" t="s">
        <v>4815</v>
      </c>
      <c r="D7223" s="656" t="s">
        <v>381</v>
      </c>
      <c r="E7223" s="534">
        <v>805.66665999999998</v>
      </c>
    </row>
    <row r="7224" spans="2:5" x14ac:dyDescent="0.2">
      <c r="B7224" s="533">
        <v>8849</v>
      </c>
      <c r="C7224" s="533" t="s">
        <v>7329</v>
      </c>
      <c r="D7224" s="656" t="s">
        <v>381</v>
      </c>
      <c r="E7224" s="534">
        <v>779.28571399999998</v>
      </c>
    </row>
    <row r="7225" spans="2:5" x14ac:dyDescent="0.2">
      <c r="B7225" s="533">
        <v>8850</v>
      </c>
      <c r="C7225" s="533" t="s">
        <v>4501</v>
      </c>
      <c r="D7225" s="656" t="s">
        <v>381</v>
      </c>
      <c r="E7225" s="534">
        <v>780.527781</v>
      </c>
    </row>
    <row r="7226" spans="2:5" x14ac:dyDescent="0.2">
      <c r="B7226" s="533">
        <v>8851</v>
      </c>
      <c r="C7226" s="533" t="s">
        <v>6921</v>
      </c>
      <c r="D7226" s="656" t="s">
        <v>381</v>
      </c>
      <c r="E7226" s="534">
        <v>817.91249800000003</v>
      </c>
    </row>
    <row r="7227" spans="2:5" x14ac:dyDescent="0.2">
      <c r="B7227" s="533">
        <v>8852</v>
      </c>
      <c r="C7227" s="533" t="s">
        <v>4502</v>
      </c>
      <c r="D7227" s="656" t="s">
        <v>381</v>
      </c>
      <c r="E7227" s="534">
        <v>780.55000500000006</v>
      </c>
    </row>
    <row r="7228" spans="2:5" x14ac:dyDescent="0.2">
      <c r="B7228" s="533">
        <v>8853</v>
      </c>
      <c r="C7228" s="533" t="s">
        <v>5304</v>
      </c>
      <c r="D7228" s="656" t="s">
        <v>381</v>
      </c>
      <c r="E7228" s="534">
        <v>863.82632000000001</v>
      </c>
    </row>
    <row r="7229" spans="2:5" x14ac:dyDescent="0.2">
      <c r="B7229" s="533">
        <v>8854</v>
      </c>
      <c r="C7229" s="533" t="s">
        <v>5179</v>
      </c>
      <c r="D7229" s="656" t="s">
        <v>381</v>
      </c>
      <c r="E7229" s="534">
        <v>844.56666099999995</v>
      </c>
    </row>
    <row r="7230" spans="2:5" x14ac:dyDescent="0.2">
      <c r="B7230" s="533">
        <v>8855</v>
      </c>
      <c r="C7230" s="533" t="s">
        <v>5172</v>
      </c>
      <c r="D7230" s="656" t="s">
        <v>381</v>
      </c>
      <c r="E7230" s="534">
        <v>842.82999900000004</v>
      </c>
    </row>
    <row r="7231" spans="2:5" x14ac:dyDescent="0.2">
      <c r="B7231" s="533">
        <v>8856</v>
      </c>
      <c r="C7231" s="533" t="s">
        <v>5384</v>
      </c>
      <c r="D7231" s="656" t="s">
        <v>381</v>
      </c>
      <c r="E7231" s="534">
        <v>878.47777599999995</v>
      </c>
    </row>
    <row r="7232" spans="2:5" x14ac:dyDescent="0.2">
      <c r="B7232" s="533">
        <v>8857</v>
      </c>
      <c r="C7232" s="533" t="s">
        <v>5051</v>
      </c>
      <c r="D7232" s="656" t="s">
        <v>381</v>
      </c>
      <c r="E7232" s="534">
        <v>829.40002400000003</v>
      </c>
    </row>
    <row r="7233" spans="2:5" x14ac:dyDescent="0.2">
      <c r="B7233" s="533">
        <v>8858</v>
      </c>
      <c r="C7233" s="533" t="s">
        <v>5015</v>
      </c>
      <c r="D7233" s="656" t="s">
        <v>381</v>
      </c>
      <c r="E7233" s="534">
        <v>831.25555799999995</v>
      </c>
    </row>
    <row r="7234" spans="2:5" x14ac:dyDescent="0.2">
      <c r="B7234" s="533">
        <v>8859</v>
      </c>
      <c r="C7234" s="533" t="s">
        <v>4127</v>
      </c>
      <c r="D7234" s="656" t="s">
        <v>381</v>
      </c>
      <c r="E7234" s="534">
        <v>898.58333800000003</v>
      </c>
    </row>
    <row r="7235" spans="2:5" x14ac:dyDescent="0.2">
      <c r="B7235" s="533">
        <v>8860</v>
      </c>
      <c r="C7235" s="533" t="s">
        <v>5596</v>
      </c>
      <c r="D7235" s="656" t="s">
        <v>381</v>
      </c>
      <c r="E7235" s="534">
        <v>912.67500299999995</v>
      </c>
    </row>
    <row r="7236" spans="2:5" x14ac:dyDescent="0.2">
      <c r="B7236" s="533">
        <v>8901</v>
      </c>
      <c r="C7236" s="533" t="s">
        <v>365</v>
      </c>
      <c r="D7236" s="656" t="s">
        <v>365</v>
      </c>
      <c r="E7236" s="534">
        <v>788.10001</v>
      </c>
    </row>
    <row r="7237" spans="2:5" x14ac:dyDescent="0.2">
      <c r="B7237" s="533">
        <v>8902</v>
      </c>
      <c r="C7237" s="533" t="s">
        <v>4748</v>
      </c>
      <c r="D7237" s="656" t="s">
        <v>365</v>
      </c>
      <c r="E7237" s="534">
        <v>800.58572000000004</v>
      </c>
    </row>
    <row r="7238" spans="2:5" x14ac:dyDescent="0.2">
      <c r="B7238" s="533">
        <v>8903</v>
      </c>
      <c r="C7238" s="533" t="s">
        <v>5176</v>
      </c>
      <c r="D7238" s="656" t="s">
        <v>365</v>
      </c>
      <c r="E7238" s="534">
        <v>844.11428799999999</v>
      </c>
    </row>
    <row r="7239" spans="2:5" x14ac:dyDescent="0.2">
      <c r="B7239" s="533">
        <v>8904</v>
      </c>
      <c r="C7239" s="533" t="s">
        <v>1364</v>
      </c>
      <c r="D7239" s="656" t="s">
        <v>365</v>
      </c>
      <c r="E7239" s="534">
        <v>851.13635299999999</v>
      </c>
    </row>
    <row r="7240" spans="2:5" x14ac:dyDescent="0.2">
      <c r="B7240" s="533">
        <v>8905</v>
      </c>
      <c r="C7240" s="533" t="s">
        <v>5092</v>
      </c>
      <c r="D7240" s="656" t="s">
        <v>365</v>
      </c>
      <c r="E7240" s="534">
        <v>833.23334199999999</v>
      </c>
    </row>
    <row r="7241" spans="2:5" x14ac:dyDescent="0.2">
      <c r="B7241" s="533">
        <v>8906</v>
      </c>
      <c r="C7241" s="533" t="s">
        <v>4972</v>
      </c>
      <c r="D7241" s="656" t="s">
        <v>365</v>
      </c>
      <c r="E7241" s="534">
        <v>840.05454899999995</v>
      </c>
    </row>
    <row r="7242" spans="2:5" x14ac:dyDescent="0.2">
      <c r="B7242" s="533">
        <v>8907</v>
      </c>
      <c r="C7242" s="533" t="s">
        <v>4986</v>
      </c>
      <c r="D7242" s="656" t="s">
        <v>365</v>
      </c>
      <c r="E7242" s="534">
        <v>822.40713900000003</v>
      </c>
    </row>
    <row r="7243" spans="2:5" x14ac:dyDescent="0.2">
      <c r="B7243" s="533">
        <v>8908</v>
      </c>
      <c r="C7243" s="533" t="s">
        <v>4787</v>
      </c>
      <c r="D7243" s="656" t="s">
        <v>365</v>
      </c>
      <c r="E7243" s="534">
        <v>803.10001</v>
      </c>
    </row>
    <row r="7244" spans="2:5" x14ac:dyDescent="0.2">
      <c r="B7244" s="533">
        <v>8909</v>
      </c>
      <c r="C7244" s="533" t="s">
        <v>5338</v>
      </c>
      <c r="D7244" s="656" t="s">
        <v>365</v>
      </c>
      <c r="E7244" s="534">
        <v>870.06363699999997</v>
      </c>
    </row>
    <row r="7245" spans="2:5" x14ac:dyDescent="0.2">
      <c r="B7245" s="533">
        <v>8910</v>
      </c>
      <c r="C7245" s="533" t="s">
        <v>1426</v>
      </c>
      <c r="D7245" s="656" t="s">
        <v>365</v>
      </c>
      <c r="E7245" s="534">
        <v>882.29999899999996</v>
      </c>
    </row>
    <row r="7246" spans="2:5" x14ac:dyDescent="0.2">
      <c r="B7246" s="533">
        <v>8911</v>
      </c>
      <c r="C7246" s="533" t="s">
        <v>5722</v>
      </c>
      <c r="D7246" s="656" t="s">
        <v>365</v>
      </c>
      <c r="E7246" s="534">
        <v>948.06111299999998</v>
      </c>
    </row>
    <row r="7247" spans="2:5" x14ac:dyDescent="0.2">
      <c r="B7247" s="533">
        <v>8912</v>
      </c>
      <c r="C7247" s="533" t="s">
        <v>4962</v>
      </c>
      <c r="D7247" s="656" t="s">
        <v>365</v>
      </c>
      <c r="E7247" s="534">
        <v>819.14167299999997</v>
      </c>
    </row>
    <row r="7248" spans="2:5" x14ac:dyDescent="0.2">
      <c r="B7248" s="533">
        <v>8913</v>
      </c>
      <c r="C7248" s="533" t="s">
        <v>5320</v>
      </c>
      <c r="D7248" s="656" t="s">
        <v>365</v>
      </c>
      <c r="E7248" s="534">
        <v>867.41249800000003</v>
      </c>
    </row>
    <row r="7249" spans="2:5" x14ac:dyDescent="0.2">
      <c r="B7249" s="533">
        <v>8914</v>
      </c>
      <c r="C7249" s="533" t="s">
        <v>4982</v>
      </c>
      <c r="D7249" s="656" t="s">
        <v>365</v>
      </c>
      <c r="E7249" s="534">
        <v>821.98570900000004</v>
      </c>
    </row>
    <row r="7250" spans="2:5" x14ac:dyDescent="0.2">
      <c r="B7250" s="533">
        <v>8915</v>
      </c>
      <c r="C7250" s="533" t="s">
        <v>4877</v>
      </c>
      <c r="D7250" s="656" t="s">
        <v>365</v>
      </c>
      <c r="E7250" s="534">
        <v>810.04001500000004</v>
      </c>
    </row>
    <row r="7251" spans="2:5" x14ac:dyDescent="0.2">
      <c r="B7251" s="533">
        <v>8916</v>
      </c>
      <c r="C7251" s="533" t="s">
        <v>2880</v>
      </c>
      <c r="D7251" s="656" t="s">
        <v>365</v>
      </c>
      <c r="E7251" s="534">
        <v>876.15714800000001</v>
      </c>
    </row>
    <row r="7252" spans="2:5" x14ac:dyDescent="0.2">
      <c r="B7252" s="533">
        <v>8918</v>
      </c>
      <c r="C7252" s="533" t="s">
        <v>5669</v>
      </c>
      <c r="D7252" s="656" t="s">
        <v>365</v>
      </c>
      <c r="E7252" s="534">
        <v>933.52940799999999</v>
      </c>
    </row>
    <row r="7253" spans="2:5" x14ac:dyDescent="0.2">
      <c r="B7253" s="533">
        <v>8919</v>
      </c>
      <c r="C7253" s="533" t="s">
        <v>5120</v>
      </c>
      <c r="D7253" s="656" t="s">
        <v>365</v>
      </c>
      <c r="E7253" s="534">
        <v>836.5</v>
      </c>
    </row>
    <row r="7254" spans="2:5" x14ac:dyDescent="0.2">
      <c r="B7254" s="533">
        <v>8920</v>
      </c>
      <c r="C7254" s="533" t="s">
        <v>5566</v>
      </c>
      <c r="D7254" s="656" t="s">
        <v>365</v>
      </c>
      <c r="E7254" s="534">
        <v>907.68999599999995</v>
      </c>
    </row>
    <row r="7255" spans="2:5" x14ac:dyDescent="0.2">
      <c r="B7255" s="533">
        <v>8921</v>
      </c>
      <c r="C7255" s="533" t="s">
        <v>4066</v>
      </c>
      <c r="D7255" s="656" t="s">
        <v>365</v>
      </c>
      <c r="E7255" s="534">
        <v>850.323533</v>
      </c>
    </row>
    <row r="7256" spans="2:5" x14ac:dyDescent="0.2">
      <c r="B7256" s="533">
        <v>8922</v>
      </c>
      <c r="C7256" s="533" t="s">
        <v>5456</v>
      </c>
      <c r="D7256" s="656" t="s">
        <v>365</v>
      </c>
      <c r="E7256" s="534">
        <v>891.10000600000001</v>
      </c>
    </row>
    <row r="7257" spans="2:5" x14ac:dyDescent="0.2">
      <c r="B7257" s="533">
        <v>8923</v>
      </c>
      <c r="C7257" s="533" t="s">
        <v>6494</v>
      </c>
      <c r="D7257" s="656" t="s">
        <v>365</v>
      </c>
      <c r="E7257" s="534">
        <v>777.27999299999999</v>
      </c>
    </row>
    <row r="7258" spans="2:5" x14ac:dyDescent="0.2">
      <c r="B7258" s="533">
        <v>8924</v>
      </c>
      <c r="C7258" s="533" t="s">
        <v>4709</v>
      </c>
      <c r="D7258" s="656" t="s">
        <v>365</v>
      </c>
      <c r="E7258" s="534">
        <v>797.58001100000001</v>
      </c>
    </row>
    <row r="7259" spans="2:5" x14ac:dyDescent="0.2">
      <c r="B7259" s="533">
        <v>8925</v>
      </c>
      <c r="C7259" s="533" t="s">
        <v>5220</v>
      </c>
      <c r="D7259" s="656" t="s">
        <v>365</v>
      </c>
      <c r="E7259" s="534">
        <v>850.184617</v>
      </c>
    </row>
    <row r="7260" spans="2:5" x14ac:dyDescent="0.2">
      <c r="B7260" s="533">
        <v>8926</v>
      </c>
      <c r="C7260" s="533" t="s">
        <v>4950</v>
      </c>
      <c r="D7260" s="656" t="s">
        <v>365</v>
      </c>
      <c r="E7260" s="534">
        <v>817.51110800000004</v>
      </c>
    </row>
    <row r="7261" spans="2:5" x14ac:dyDescent="0.2">
      <c r="B7261" s="533">
        <v>8927</v>
      </c>
      <c r="C7261" s="533" t="s">
        <v>4646</v>
      </c>
      <c r="D7261" s="656" t="s">
        <v>365</v>
      </c>
      <c r="E7261" s="534">
        <v>792.65832499999999</v>
      </c>
    </row>
    <row r="7262" spans="2:5" x14ac:dyDescent="0.2">
      <c r="B7262" s="533">
        <v>8928</v>
      </c>
      <c r="C7262" s="533" t="s">
        <v>5587</v>
      </c>
      <c r="D7262" s="656" t="s">
        <v>365</v>
      </c>
      <c r="E7262" s="534">
        <v>910.65555099999995</v>
      </c>
    </row>
    <row r="7263" spans="2:5" x14ac:dyDescent="0.2">
      <c r="B7263" s="533">
        <v>8929</v>
      </c>
      <c r="C7263" s="533" t="s">
        <v>5106</v>
      </c>
      <c r="D7263" s="656" t="s">
        <v>365</v>
      </c>
      <c r="E7263" s="534">
        <v>834.90000299999997</v>
      </c>
    </row>
    <row r="7264" spans="2:5" x14ac:dyDescent="0.2">
      <c r="B7264" s="533">
        <v>8930</v>
      </c>
      <c r="C7264" s="533" t="s">
        <v>4970</v>
      </c>
      <c r="D7264" s="656" t="s">
        <v>365</v>
      </c>
      <c r="E7264" s="534">
        <v>820.17142999999999</v>
      </c>
    </row>
    <row r="7265" spans="2:5" x14ac:dyDescent="0.2">
      <c r="B7265" s="533">
        <v>8931</v>
      </c>
      <c r="C7265" s="533" t="s">
        <v>4308</v>
      </c>
      <c r="D7265" s="656" t="s">
        <v>365</v>
      </c>
      <c r="E7265" s="534">
        <v>765.95555999999999</v>
      </c>
    </row>
    <row r="7266" spans="2:5" x14ac:dyDescent="0.2">
      <c r="B7266" s="533">
        <v>8932</v>
      </c>
      <c r="C7266" s="533" t="s">
        <v>5078</v>
      </c>
      <c r="D7266" s="656" t="s">
        <v>365</v>
      </c>
      <c r="E7266" s="534">
        <v>831.67000700000006</v>
      </c>
    </row>
    <row r="7267" spans="2:5" x14ac:dyDescent="0.2">
      <c r="B7267" s="533">
        <v>8933</v>
      </c>
      <c r="C7267" s="533" t="s">
        <v>5270</v>
      </c>
      <c r="D7267" s="656" t="s">
        <v>365</v>
      </c>
      <c r="E7267" s="534">
        <v>858</v>
      </c>
    </row>
    <row r="7268" spans="2:5" x14ac:dyDescent="0.2">
      <c r="B7268" s="533">
        <v>8934</v>
      </c>
      <c r="C7268" s="533" t="s">
        <v>7450</v>
      </c>
      <c r="D7268" s="656" t="s">
        <v>365</v>
      </c>
      <c r="E7268" s="534">
        <v>818.5</v>
      </c>
    </row>
    <row r="7269" spans="2:5" x14ac:dyDescent="0.2">
      <c r="B7269" s="533">
        <v>8935</v>
      </c>
      <c r="C7269" s="533" t="s">
        <v>2135</v>
      </c>
      <c r="D7269" s="656" t="s">
        <v>365</v>
      </c>
      <c r="E7269" s="534">
        <v>839.54286400000001</v>
      </c>
    </row>
    <row r="7270" spans="2:5" x14ac:dyDescent="0.2">
      <c r="B7270" s="533">
        <v>8936</v>
      </c>
      <c r="C7270" s="533" t="s">
        <v>4451</v>
      </c>
      <c r="D7270" s="656" t="s">
        <v>365</v>
      </c>
      <c r="E7270" s="534">
        <v>777.44000200000005</v>
      </c>
    </row>
    <row r="7271" spans="2:5" x14ac:dyDescent="0.2">
      <c r="B7271" s="533">
        <v>8937</v>
      </c>
      <c r="C7271" s="533" t="s">
        <v>7516</v>
      </c>
      <c r="D7271" s="656" t="s">
        <v>365</v>
      </c>
      <c r="E7271" s="534">
        <v>752.17142200000001</v>
      </c>
    </row>
    <row r="7272" spans="2:5" x14ac:dyDescent="0.2">
      <c r="B7272" s="533">
        <v>8938</v>
      </c>
      <c r="C7272" s="533" t="s">
        <v>7183</v>
      </c>
      <c r="D7272" s="656" t="s">
        <v>365</v>
      </c>
      <c r="E7272" s="534">
        <v>796.50001499999996</v>
      </c>
    </row>
    <row r="7273" spans="2:5" x14ac:dyDescent="0.2">
      <c r="B7273" s="533">
        <v>8939</v>
      </c>
      <c r="C7273" s="533" t="s">
        <v>4925</v>
      </c>
      <c r="D7273" s="656" t="s">
        <v>365</v>
      </c>
      <c r="E7273" s="534">
        <v>815.17499799999996</v>
      </c>
    </row>
    <row r="7274" spans="2:5" x14ac:dyDescent="0.2">
      <c r="B7274" s="533">
        <v>8940</v>
      </c>
      <c r="C7274" s="533" t="s">
        <v>5115</v>
      </c>
      <c r="D7274" s="656" t="s">
        <v>365</v>
      </c>
      <c r="E7274" s="534">
        <v>835.70000700000003</v>
      </c>
    </row>
    <row r="7275" spans="2:5" x14ac:dyDescent="0.2">
      <c r="B7275" s="533">
        <v>8941</v>
      </c>
      <c r="C7275" s="533" t="s">
        <v>5289</v>
      </c>
      <c r="D7275" s="656" t="s">
        <v>365</v>
      </c>
      <c r="E7275" s="534">
        <v>861.48000500000001</v>
      </c>
    </row>
    <row r="7276" spans="2:5" x14ac:dyDescent="0.2">
      <c r="B7276" s="533">
        <v>8942</v>
      </c>
      <c r="C7276" s="533" t="s">
        <v>4587</v>
      </c>
      <c r="D7276" s="656" t="s">
        <v>365</v>
      </c>
      <c r="E7276" s="534">
        <v>787.7</v>
      </c>
    </row>
    <row r="7277" spans="2:5" x14ac:dyDescent="0.2">
      <c r="B7277" s="533">
        <v>8943</v>
      </c>
      <c r="C7277" s="533" t="s">
        <v>5467</v>
      </c>
      <c r="D7277" s="656" t="s">
        <v>365</v>
      </c>
      <c r="E7277" s="534">
        <v>892.80000399999994</v>
      </c>
    </row>
    <row r="7278" spans="2:5" x14ac:dyDescent="0.2">
      <c r="B7278" s="533">
        <v>8944</v>
      </c>
      <c r="C7278" s="533" t="s">
        <v>7564</v>
      </c>
      <c r="D7278" s="656" t="s">
        <v>365</v>
      </c>
      <c r="E7278" s="534">
        <v>809.74615900000003</v>
      </c>
    </row>
    <row r="7279" spans="2:5" x14ac:dyDescent="0.2">
      <c r="B7279" s="533">
        <v>8945</v>
      </c>
      <c r="C7279" s="533" t="s">
        <v>6691</v>
      </c>
      <c r="D7279" s="656" t="s">
        <v>365</v>
      </c>
      <c r="E7279" s="534">
        <v>778.22222199999999</v>
      </c>
    </row>
    <row r="7280" spans="2:5" x14ac:dyDescent="0.2">
      <c r="B7280" s="533">
        <v>8946</v>
      </c>
      <c r="C7280" s="533" t="s">
        <v>6493</v>
      </c>
      <c r="D7280" s="656" t="s">
        <v>365</v>
      </c>
      <c r="E7280" s="534">
        <v>814.823083</v>
      </c>
    </row>
    <row r="7281" spans="2:5" x14ac:dyDescent="0.2">
      <c r="B7281" s="533">
        <v>8947</v>
      </c>
      <c r="C7281" s="533" t="s">
        <v>4985</v>
      </c>
      <c r="D7281" s="656" t="s">
        <v>365</v>
      </c>
      <c r="E7281" s="534">
        <v>822.34285599999998</v>
      </c>
    </row>
    <row r="7282" spans="2:5" x14ac:dyDescent="0.2">
      <c r="B7282" s="533">
        <v>8948</v>
      </c>
      <c r="C7282" s="533" t="s">
        <v>5136</v>
      </c>
      <c r="D7282" s="656" t="s">
        <v>365</v>
      </c>
      <c r="E7282" s="534">
        <v>838.16666699999996</v>
      </c>
    </row>
    <row r="7283" spans="2:5" x14ac:dyDescent="0.2">
      <c r="B7283" s="533">
        <v>8949</v>
      </c>
      <c r="C7283" s="533" t="s">
        <v>5074</v>
      </c>
      <c r="D7283" s="656" t="s">
        <v>365</v>
      </c>
      <c r="E7283" s="534">
        <v>831.37778000000003</v>
      </c>
    </row>
    <row r="7284" spans="2:5" x14ac:dyDescent="0.2">
      <c r="B7284" s="533">
        <v>8950</v>
      </c>
      <c r="C7284" s="533" t="s">
        <v>7182</v>
      </c>
      <c r="D7284" s="656" t="s">
        <v>365</v>
      </c>
      <c r="E7284" s="534">
        <v>827.69999199999995</v>
      </c>
    </row>
    <row r="7285" spans="2:5" x14ac:dyDescent="0.2">
      <c r="B7285" s="533">
        <v>8951</v>
      </c>
      <c r="C7285" s="533" t="s">
        <v>5802</v>
      </c>
      <c r="D7285" s="656" t="s">
        <v>365</v>
      </c>
      <c r="E7285" s="534">
        <v>968.77272200000004</v>
      </c>
    </row>
    <row r="7286" spans="2:5" x14ac:dyDescent="0.2">
      <c r="B7286" s="533">
        <v>9001</v>
      </c>
      <c r="C7286" s="533" t="s">
        <v>6012</v>
      </c>
      <c r="D7286" s="656" t="s">
        <v>7739</v>
      </c>
      <c r="E7286" s="534">
        <v>1058.853854</v>
      </c>
    </row>
    <row r="7287" spans="2:5" x14ac:dyDescent="0.2">
      <c r="B7287" s="533">
        <v>9002</v>
      </c>
      <c r="C7287" s="533" t="s">
        <v>5881</v>
      </c>
      <c r="D7287" s="656" t="s">
        <v>7739</v>
      </c>
      <c r="E7287" s="534">
        <v>995.37780099999998</v>
      </c>
    </row>
    <row r="7288" spans="2:5" x14ac:dyDescent="0.2">
      <c r="B7288" s="533">
        <v>9003</v>
      </c>
      <c r="C7288" s="533" t="s">
        <v>5264</v>
      </c>
      <c r="D7288" s="656" t="s">
        <v>7739</v>
      </c>
      <c r="E7288" s="534">
        <v>856.96666500000003</v>
      </c>
    </row>
    <row r="7289" spans="2:5" x14ac:dyDescent="0.2">
      <c r="B7289" s="533">
        <v>9004</v>
      </c>
      <c r="C7289" s="533" t="s">
        <v>5439</v>
      </c>
      <c r="D7289" s="656" t="s">
        <v>7739</v>
      </c>
      <c r="E7289" s="534">
        <v>887.30000800000005</v>
      </c>
    </row>
    <row r="7290" spans="2:5" x14ac:dyDescent="0.2">
      <c r="B7290" s="533">
        <v>9005</v>
      </c>
      <c r="C7290" s="533" t="s">
        <v>5986</v>
      </c>
      <c r="D7290" s="656" t="s">
        <v>7739</v>
      </c>
      <c r="E7290" s="534">
        <v>1044.768423</v>
      </c>
    </row>
    <row r="7291" spans="2:5" x14ac:dyDescent="0.2">
      <c r="B7291" s="533">
        <v>9006</v>
      </c>
      <c r="C7291" s="533" t="s">
        <v>5555</v>
      </c>
      <c r="D7291" s="656" t="s">
        <v>7739</v>
      </c>
      <c r="E7291" s="534">
        <v>906.56666700000005</v>
      </c>
    </row>
    <row r="7292" spans="2:5" x14ac:dyDescent="0.2">
      <c r="B7292" s="533">
        <v>9007</v>
      </c>
      <c r="C7292" s="533" t="s">
        <v>5729</v>
      </c>
      <c r="D7292" s="656" t="s">
        <v>7739</v>
      </c>
      <c r="E7292" s="534">
        <v>950.42307700000003</v>
      </c>
    </row>
    <row r="7293" spans="2:5" x14ac:dyDescent="0.2">
      <c r="B7293" s="533">
        <v>9008</v>
      </c>
      <c r="C7293" s="533" t="s">
        <v>6055</v>
      </c>
      <c r="D7293" s="656" t="s">
        <v>7739</v>
      </c>
      <c r="E7293" s="534">
        <v>1088.5719919999999</v>
      </c>
    </row>
    <row r="7294" spans="2:5" x14ac:dyDescent="0.2">
      <c r="B7294" s="533">
        <v>9009</v>
      </c>
      <c r="C7294" s="533" t="s">
        <v>6538</v>
      </c>
      <c r="D7294" s="656" t="s">
        <v>7739</v>
      </c>
      <c r="E7294" s="534">
        <v>857.98103700000001</v>
      </c>
    </row>
    <row r="7295" spans="2:5" x14ac:dyDescent="0.2">
      <c r="B7295" s="533">
        <v>9010</v>
      </c>
      <c r="C7295" s="533" t="s">
        <v>5710</v>
      </c>
      <c r="D7295" s="656" t="s">
        <v>7739</v>
      </c>
      <c r="E7295" s="534">
        <v>944.59997599999997</v>
      </c>
    </row>
    <row r="7296" spans="2:5" x14ac:dyDescent="0.2">
      <c r="B7296" s="533">
        <v>9011</v>
      </c>
      <c r="C7296" s="533" t="s">
        <v>6461</v>
      </c>
      <c r="D7296" s="656" t="s">
        <v>7739</v>
      </c>
      <c r="E7296" s="534">
        <v>884.60000600000001</v>
      </c>
    </row>
    <row r="7297" spans="2:5" x14ac:dyDescent="0.2">
      <c r="B7297" s="533">
        <v>9012</v>
      </c>
      <c r="C7297" s="533" t="s">
        <v>5297</v>
      </c>
      <c r="D7297" s="656" t="s">
        <v>7739</v>
      </c>
      <c r="E7297" s="534">
        <v>863.20833300000004</v>
      </c>
    </row>
    <row r="7298" spans="2:5" x14ac:dyDescent="0.2">
      <c r="B7298" s="533">
        <v>9013</v>
      </c>
      <c r="C7298" s="533" t="s">
        <v>5752</v>
      </c>
      <c r="D7298" s="656" t="s">
        <v>7739</v>
      </c>
      <c r="E7298" s="534">
        <v>956.74999000000003</v>
      </c>
    </row>
    <row r="7299" spans="2:5" x14ac:dyDescent="0.2">
      <c r="B7299" s="533">
        <v>9014</v>
      </c>
      <c r="C7299" s="533" t="s">
        <v>5684</v>
      </c>
      <c r="D7299" s="656" t="s">
        <v>7739</v>
      </c>
      <c r="E7299" s="534">
        <v>936.02000699999996</v>
      </c>
    </row>
    <row r="7300" spans="2:5" x14ac:dyDescent="0.2">
      <c r="B7300" s="533">
        <v>9015</v>
      </c>
      <c r="C7300" s="533" t="s">
        <v>5959</v>
      </c>
      <c r="D7300" s="656" t="s">
        <v>7739</v>
      </c>
      <c r="E7300" s="534">
        <v>1035.676927</v>
      </c>
    </row>
    <row r="7301" spans="2:5" x14ac:dyDescent="0.2">
      <c r="B7301" s="533">
        <v>9016</v>
      </c>
      <c r="C7301" s="533" t="s">
        <v>5491</v>
      </c>
      <c r="D7301" s="656" t="s">
        <v>7739</v>
      </c>
      <c r="E7301" s="534">
        <v>895.9</v>
      </c>
    </row>
    <row r="7302" spans="2:5" x14ac:dyDescent="0.2">
      <c r="B7302" s="533">
        <v>9017</v>
      </c>
      <c r="C7302" s="533" t="s">
        <v>5413</v>
      </c>
      <c r="D7302" s="656" t="s">
        <v>7739</v>
      </c>
      <c r="E7302" s="534">
        <v>883.02728300000001</v>
      </c>
    </row>
    <row r="7303" spans="2:5" x14ac:dyDescent="0.2">
      <c r="B7303" s="533">
        <v>9018</v>
      </c>
      <c r="C7303" s="533" t="s">
        <v>5709</v>
      </c>
      <c r="D7303" s="656" t="s">
        <v>7739</v>
      </c>
      <c r="E7303" s="534">
        <v>944.42500299999995</v>
      </c>
    </row>
    <row r="7304" spans="2:5" x14ac:dyDescent="0.2">
      <c r="B7304" s="533">
        <v>9019</v>
      </c>
      <c r="C7304" s="533" t="s">
        <v>5508</v>
      </c>
      <c r="D7304" s="656" t="s">
        <v>7739</v>
      </c>
      <c r="E7304" s="534">
        <v>897.69231200000002</v>
      </c>
    </row>
    <row r="7305" spans="2:5" x14ac:dyDescent="0.2">
      <c r="B7305" s="533">
        <v>9020</v>
      </c>
      <c r="C7305" s="533" t="s">
        <v>5455</v>
      </c>
      <c r="D7305" s="656" t="s">
        <v>7739</v>
      </c>
      <c r="E7305" s="534">
        <v>890.52857300000005</v>
      </c>
    </row>
    <row r="7306" spans="2:5" x14ac:dyDescent="0.2">
      <c r="B7306" s="533">
        <v>9021</v>
      </c>
      <c r="C7306" s="533" t="s">
        <v>5389</v>
      </c>
      <c r="D7306" s="656" t="s">
        <v>7739</v>
      </c>
      <c r="E7306" s="534">
        <v>879.17142999999999</v>
      </c>
    </row>
    <row r="7307" spans="2:5" x14ac:dyDescent="0.2">
      <c r="B7307" s="533">
        <v>9022</v>
      </c>
      <c r="C7307" s="533" t="s">
        <v>5826</v>
      </c>
      <c r="D7307" s="656" t="s">
        <v>7739</v>
      </c>
      <c r="E7307" s="534">
        <v>977.02856399999996</v>
      </c>
    </row>
    <row r="7308" spans="2:5" x14ac:dyDescent="0.2">
      <c r="B7308" s="533">
        <v>9023</v>
      </c>
      <c r="C7308" s="533" t="s">
        <v>5458</v>
      </c>
      <c r="D7308" s="656" t="s">
        <v>7739</v>
      </c>
      <c r="E7308" s="534">
        <v>891.47143600000004</v>
      </c>
    </row>
    <row r="7309" spans="2:5" x14ac:dyDescent="0.2">
      <c r="B7309" s="533">
        <v>9024</v>
      </c>
      <c r="C7309" s="533" t="s">
        <v>5649</v>
      </c>
      <c r="D7309" s="656" t="s">
        <v>7739</v>
      </c>
      <c r="E7309" s="534">
        <v>927.133331</v>
      </c>
    </row>
    <row r="7310" spans="2:5" x14ac:dyDescent="0.2">
      <c r="B7310" s="533">
        <v>9025</v>
      </c>
      <c r="C7310" s="533" t="s">
        <v>5300</v>
      </c>
      <c r="D7310" s="656" t="s">
        <v>7739</v>
      </c>
      <c r="E7310" s="534">
        <v>863.29999799999996</v>
      </c>
    </row>
    <row r="7311" spans="2:5" x14ac:dyDescent="0.2">
      <c r="B7311" s="533">
        <v>9026</v>
      </c>
      <c r="C7311" s="533" t="s">
        <v>1940</v>
      </c>
      <c r="D7311" s="656" t="s">
        <v>7739</v>
      </c>
      <c r="E7311" s="534">
        <v>982.72726699999998</v>
      </c>
    </row>
    <row r="7312" spans="2:5" x14ac:dyDescent="0.2">
      <c r="B7312" s="533">
        <v>9027</v>
      </c>
      <c r="C7312" s="533" t="s">
        <v>5553</v>
      </c>
      <c r="D7312" s="656" t="s">
        <v>7739</v>
      </c>
      <c r="E7312" s="534">
        <v>906.46250899999995</v>
      </c>
    </row>
    <row r="7313" spans="2:5" x14ac:dyDescent="0.2">
      <c r="B7313" s="533">
        <v>9028</v>
      </c>
      <c r="C7313" s="533" t="s">
        <v>5434</v>
      </c>
      <c r="D7313" s="656" t="s">
        <v>7739</v>
      </c>
      <c r="E7313" s="534">
        <v>886.55624399999999</v>
      </c>
    </row>
    <row r="7314" spans="2:5" x14ac:dyDescent="0.2">
      <c r="B7314" s="533">
        <v>9029</v>
      </c>
      <c r="C7314" s="533" t="s">
        <v>5845</v>
      </c>
      <c r="D7314" s="656" t="s">
        <v>7739</v>
      </c>
      <c r="E7314" s="534">
        <v>984.74284999999998</v>
      </c>
    </row>
    <row r="7315" spans="2:5" x14ac:dyDescent="0.2">
      <c r="B7315" s="533">
        <v>9030</v>
      </c>
      <c r="C7315" s="533" t="s">
        <v>5444</v>
      </c>
      <c r="D7315" s="656" t="s">
        <v>7739</v>
      </c>
      <c r="E7315" s="534">
        <v>888.35999800000002</v>
      </c>
    </row>
    <row r="7316" spans="2:5" x14ac:dyDescent="0.2">
      <c r="B7316" s="533">
        <v>9031</v>
      </c>
      <c r="C7316" s="533" t="s">
        <v>5503</v>
      </c>
      <c r="D7316" s="656" t="s">
        <v>7739</v>
      </c>
      <c r="E7316" s="534">
        <v>896.85882200000003</v>
      </c>
    </row>
    <row r="7317" spans="2:5" x14ac:dyDescent="0.2">
      <c r="B7317" s="533">
        <v>9032</v>
      </c>
      <c r="C7317" s="533" t="s">
        <v>5989</v>
      </c>
      <c r="D7317" s="656" t="s">
        <v>7739</v>
      </c>
      <c r="E7317" s="534">
        <v>1045.739984</v>
      </c>
    </row>
    <row r="7318" spans="2:5" x14ac:dyDescent="0.2">
      <c r="B7318" s="533">
        <v>9033</v>
      </c>
      <c r="C7318" s="533" t="s">
        <v>378</v>
      </c>
      <c r="D7318" s="656" t="s">
        <v>7739</v>
      </c>
      <c r="E7318" s="534">
        <v>934.17940899999996</v>
      </c>
    </row>
    <row r="7319" spans="2:5" x14ac:dyDescent="0.2">
      <c r="B7319" s="533">
        <v>9034</v>
      </c>
      <c r="C7319" s="533" t="s">
        <v>5941</v>
      </c>
      <c r="D7319" s="656" t="s">
        <v>7739</v>
      </c>
      <c r="E7319" s="534">
        <v>1026.9772780000001</v>
      </c>
    </row>
    <row r="7320" spans="2:5" x14ac:dyDescent="0.2">
      <c r="B7320" s="533">
        <v>9035</v>
      </c>
      <c r="C7320" s="533" t="s">
        <v>4161</v>
      </c>
      <c r="D7320" s="656" t="s">
        <v>7739</v>
      </c>
      <c r="E7320" s="534">
        <v>970.259998</v>
      </c>
    </row>
    <row r="7321" spans="2:5" x14ac:dyDescent="0.2">
      <c r="B7321" s="533">
        <v>9036</v>
      </c>
      <c r="C7321" s="533" t="s">
        <v>5920</v>
      </c>
      <c r="D7321" s="656" t="s">
        <v>7739</v>
      </c>
      <c r="E7321" s="534">
        <v>1014.5857109999999</v>
      </c>
    </row>
    <row r="7322" spans="2:5" x14ac:dyDescent="0.2">
      <c r="B7322" s="533">
        <v>9037</v>
      </c>
      <c r="C7322" s="533" t="s">
        <v>5870</v>
      </c>
      <c r="D7322" s="656" t="s">
        <v>7739</v>
      </c>
      <c r="E7322" s="534">
        <v>992.19999199999995</v>
      </c>
    </row>
    <row r="7323" spans="2:5" x14ac:dyDescent="0.2">
      <c r="B7323" s="533">
        <v>9038</v>
      </c>
      <c r="C7323" s="533" t="s">
        <v>5509</v>
      </c>
      <c r="D7323" s="656" t="s">
        <v>7739</v>
      </c>
      <c r="E7323" s="534">
        <v>897.86667899999998</v>
      </c>
    </row>
    <row r="7324" spans="2:5" x14ac:dyDescent="0.2">
      <c r="B7324" s="533">
        <v>9039</v>
      </c>
      <c r="C7324" s="533" t="s">
        <v>7253</v>
      </c>
      <c r="D7324" s="656" t="s">
        <v>7739</v>
      </c>
      <c r="E7324" s="534">
        <v>967.77999299999999</v>
      </c>
    </row>
    <row r="7325" spans="2:5" x14ac:dyDescent="0.2">
      <c r="B7325" s="533">
        <v>9040</v>
      </c>
      <c r="C7325" s="533" t="s">
        <v>5726</v>
      </c>
      <c r="D7325" s="656" t="s">
        <v>7739</v>
      </c>
      <c r="E7325" s="534">
        <v>949.86250299999995</v>
      </c>
    </row>
    <row r="7326" spans="2:5" x14ac:dyDescent="0.2">
      <c r="B7326" s="533">
        <v>9041</v>
      </c>
      <c r="C7326" s="533" t="s">
        <v>5578</v>
      </c>
      <c r="D7326" s="656" t="s">
        <v>7739</v>
      </c>
      <c r="E7326" s="534">
        <v>909.48889199999996</v>
      </c>
    </row>
    <row r="7327" spans="2:5" x14ac:dyDescent="0.2">
      <c r="B7327" s="533">
        <v>9042</v>
      </c>
      <c r="C7327" s="533" t="s">
        <v>5313</v>
      </c>
      <c r="D7327" s="656" t="s">
        <v>7739</v>
      </c>
      <c r="E7327" s="534">
        <v>866.18332899999996</v>
      </c>
    </row>
    <row r="7328" spans="2:5" x14ac:dyDescent="0.2">
      <c r="B7328" s="533">
        <v>9043</v>
      </c>
      <c r="C7328" s="533" t="s">
        <v>7270</v>
      </c>
      <c r="D7328" s="656" t="s">
        <v>7739</v>
      </c>
      <c r="E7328" s="534">
        <v>930.61249499999997</v>
      </c>
    </row>
    <row r="7329" spans="2:5" x14ac:dyDescent="0.2">
      <c r="B7329" s="533">
        <v>9044</v>
      </c>
      <c r="C7329" s="533" t="s">
        <v>5532</v>
      </c>
      <c r="D7329" s="656" t="s">
        <v>7739</v>
      </c>
      <c r="E7329" s="534">
        <v>902.07501200000002</v>
      </c>
    </row>
    <row r="7330" spans="2:5" x14ac:dyDescent="0.2">
      <c r="B7330" s="533">
        <v>9045</v>
      </c>
      <c r="C7330" s="533" t="s">
        <v>5629</v>
      </c>
      <c r="D7330" s="656" t="s">
        <v>7739</v>
      </c>
      <c r="E7330" s="534">
        <v>921.60000600000001</v>
      </c>
    </row>
    <row r="7331" spans="2:5" x14ac:dyDescent="0.2">
      <c r="B7331" s="533">
        <v>9046</v>
      </c>
      <c r="C7331" s="533" t="s">
        <v>5647</v>
      </c>
      <c r="D7331" s="656" t="s">
        <v>7739</v>
      </c>
      <c r="E7331" s="534">
        <v>925.794444</v>
      </c>
    </row>
    <row r="7332" spans="2:5" x14ac:dyDescent="0.2">
      <c r="B7332" s="533">
        <v>9047</v>
      </c>
      <c r="C7332" s="533" t="s">
        <v>5284</v>
      </c>
      <c r="D7332" s="656" t="s">
        <v>7739</v>
      </c>
      <c r="E7332" s="534">
        <v>860.214294</v>
      </c>
    </row>
    <row r="7333" spans="2:5" x14ac:dyDescent="0.2">
      <c r="B7333" s="533">
        <v>9048</v>
      </c>
      <c r="C7333" s="533" t="s">
        <v>5336</v>
      </c>
      <c r="D7333" s="656" t="s">
        <v>7739</v>
      </c>
      <c r="E7333" s="534">
        <v>869.85000600000001</v>
      </c>
    </row>
    <row r="7334" spans="2:5" x14ac:dyDescent="0.2">
      <c r="B7334" s="533">
        <v>9049</v>
      </c>
      <c r="C7334" s="533" t="s">
        <v>5800</v>
      </c>
      <c r="D7334" s="656" t="s">
        <v>7739</v>
      </c>
      <c r="E7334" s="534">
        <v>968.65998500000001</v>
      </c>
    </row>
    <row r="7335" spans="2:5" x14ac:dyDescent="0.2">
      <c r="B7335" s="533">
        <v>9050</v>
      </c>
      <c r="C7335" s="533" t="s">
        <v>2940</v>
      </c>
      <c r="D7335" s="656" t="s">
        <v>7739</v>
      </c>
      <c r="E7335" s="534">
        <v>937.29998799999998</v>
      </c>
    </row>
    <row r="7336" spans="2:5" x14ac:dyDescent="0.2">
      <c r="B7336" s="533">
        <v>9051</v>
      </c>
      <c r="C7336" s="533" t="s">
        <v>5028</v>
      </c>
      <c r="D7336" s="656" t="s">
        <v>7739</v>
      </c>
      <c r="E7336" s="534">
        <v>826.46190799999999</v>
      </c>
    </row>
    <row r="7337" spans="2:5" x14ac:dyDescent="0.2">
      <c r="B7337" s="533">
        <v>9052</v>
      </c>
      <c r="C7337" s="533" t="s">
        <v>7119</v>
      </c>
      <c r="D7337" s="656" t="s">
        <v>7739</v>
      </c>
      <c r="E7337" s="534">
        <v>972.98332700000003</v>
      </c>
    </row>
    <row r="7338" spans="2:5" x14ac:dyDescent="0.2">
      <c r="B7338" s="533">
        <v>9053</v>
      </c>
      <c r="C7338" s="533" t="s">
        <v>5564</v>
      </c>
      <c r="D7338" s="656" t="s">
        <v>7739</v>
      </c>
      <c r="E7338" s="534">
        <v>907.27499399999999</v>
      </c>
    </row>
    <row r="7339" spans="2:5" x14ac:dyDescent="0.2">
      <c r="B7339" s="533">
        <v>9054</v>
      </c>
      <c r="C7339" s="533" t="s">
        <v>5987</v>
      </c>
      <c r="D7339" s="656" t="s">
        <v>7739</v>
      </c>
      <c r="E7339" s="534">
        <v>1044.866659</v>
      </c>
    </row>
    <row r="7340" spans="2:5" x14ac:dyDescent="0.2">
      <c r="B7340" s="533">
        <v>9055</v>
      </c>
      <c r="C7340" s="533" t="s">
        <v>5777</v>
      </c>
      <c r="D7340" s="656" t="s">
        <v>7739</v>
      </c>
      <c r="E7340" s="534">
        <v>962.35000600000001</v>
      </c>
    </row>
    <row r="7341" spans="2:5" x14ac:dyDescent="0.2">
      <c r="B7341" s="533">
        <v>9056</v>
      </c>
      <c r="C7341" s="533" t="s">
        <v>5276</v>
      </c>
      <c r="D7341" s="656" t="s">
        <v>7739</v>
      </c>
      <c r="E7341" s="534">
        <v>858.79998799999998</v>
      </c>
    </row>
    <row r="7342" spans="2:5" x14ac:dyDescent="0.2">
      <c r="B7342" s="533">
        <v>9057</v>
      </c>
      <c r="C7342" s="533" t="s">
        <v>5977</v>
      </c>
      <c r="D7342" s="656" t="s">
        <v>7739</v>
      </c>
      <c r="E7342" s="534">
        <v>1042.627774</v>
      </c>
    </row>
    <row r="7343" spans="2:5" x14ac:dyDescent="0.2">
      <c r="B7343" s="533">
        <v>9058</v>
      </c>
      <c r="C7343" s="533" t="s">
        <v>5734</v>
      </c>
      <c r="D7343" s="656" t="s">
        <v>7739</v>
      </c>
      <c r="E7343" s="534">
        <v>951.93334500000003</v>
      </c>
    </row>
    <row r="7344" spans="2:5" x14ac:dyDescent="0.2">
      <c r="B7344" s="533">
        <v>9059</v>
      </c>
      <c r="C7344" s="533" t="s">
        <v>5038</v>
      </c>
      <c r="D7344" s="656" t="s">
        <v>7739</v>
      </c>
      <c r="E7344" s="534">
        <v>828.15789800000005</v>
      </c>
    </row>
    <row r="7345" spans="2:5" x14ac:dyDescent="0.2">
      <c r="B7345" s="533">
        <v>9060</v>
      </c>
      <c r="C7345" s="533" t="s">
        <v>7422</v>
      </c>
      <c r="D7345" s="656" t="s">
        <v>7739</v>
      </c>
      <c r="E7345" s="534">
        <v>937.73636699999997</v>
      </c>
    </row>
    <row r="7346" spans="2:5" x14ac:dyDescent="0.2">
      <c r="B7346" s="533">
        <v>9061</v>
      </c>
      <c r="C7346" s="533" t="s">
        <v>5441</v>
      </c>
      <c r="D7346" s="656" t="s">
        <v>7739</v>
      </c>
      <c r="E7346" s="534">
        <v>887.64443600000004</v>
      </c>
    </row>
    <row r="7347" spans="2:5" x14ac:dyDescent="0.2">
      <c r="B7347" s="533">
        <v>9062</v>
      </c>
      <c r="C7347" s="533" t="s">
        <v>5728</v>
      </c>
      <c r="D7347" s="656" t="s">
        <v>7739</v>
      </c>
      <c r="E7347" s="534">
        <v>950.4</v>
      </c>
    </row>
    <row r="7348" spans="2:5" x14ac:dyDescent="0.2">
      <c r="B7348" s="533">
        <v>9063</v>
      </c>
      <c r="C7348" s="533" t="s">
        <v>5715</v>
      </c>
      <c r="D7348" s="656" t="s">
        <v>7739</v>
      </c>
      <c r="E7348" s="534">
        <v>945.87998000000005</v>
      </c>
    </row>
    <row r="7349" spans="2:5" x14ac:dyDescent="0.2">
      <c r="B7349" s="533">
        <v>9064</v>
      </c>
      <c r="C7349" s="533" t="s">
        <v>5795</v>
      </c>
      <c r="D7349" s="656" t="s">
        <v>7739</v>
      </c>
      <c r="E7349" s="534">
        <v>991.45454500000005</v>
      </c>
    </row>
    <row r="7350" spans="2:5" x14ac:dyDescent="0.2">
      <c r="B7350" s="533">
        <v>9065</v>
      </c>
      <c r="C7350" s="533" t="s">
        <v>5817</v>
      </c>
      <c r="D7350" s="656" t="s">
        <v>7739</v>
      </c>
      <c r="E7350" s="534">
        <v>974.01111500000002</v>
      </c>
    </row>
    <row r="7351" spans="2:5" x14ac:dyDescent="0.2">
      <c r="B7351" s="533">
        <v>9066</v>
      </c>
      <c r="C7351" s="533" t="s">
        <v>5792</v>
      </c>
      <c r="D7351" s="656" t="s">
        <v>7739</v>
      </c>
      <c r="E7351" s="534">
        <v>965.76250500000003</v>
      </c>
    </row>
    <row r="7352" spans="2:5" x14ac:dyDescent="0.2">
      <c r="B7352" s="533">
        <v>9067</v>
      </c>
      <c r="C7352" s="533" t="s">
        <v>5876</v>
      </c>
      <c r="D7352" s="656" t="s">
        <v>7739</v>
      </c>
      <c r="E7352" s="534">
        <v>993.89998400000002</v>
      </c>
    </row>
    <row r="7353" spans="2:5" x14ac:dyDescent="0.2">
      <c r="B7353" s="533">
        <v>9068</v>
      </c>
      <c r="C7353" s="533" t="s">
        <v>6653</v>
      </c>
      <c r="D7353" s="656" t="s">
        <v>7739</v>
      </c>
      <c r="E7353" s="534">
        <v>963.75714100000005</v>
      </c>
    </row>
    <row r="7354" spans="2:5" x14ac:dyDescent="0.2">
      <c r="B7354" s="533">
        <v>9069</v>
      </c>
      <c r="C7354" s="533" t="s">
        <v>5737</v>
      </c>
      <c r="D7354" s="656" t="s">
        <v>7739</v>
      </c>
      <c r="E7354" s="534">
        <v>952.37999300000001</v>
      </c>
    </row>
    <row r="7355" spans="2:5" x14ac:dyDescent="0.2">
      <c r="B7355" s="533">
        <v>9070</v>
      </c>
      <c r="C7355" s="533" t="s">
        <v>5468</v>
      </c>
      <c r="D7355" s="656" t="s">
        <v>7739</v>
      </c>
      <c r="E7355" s="534">
        <v>893.00000799999998</v>
      </c>
    </row>
    <row r="7356" spans="2:5" x14ac:dyDescent="0.2">
      <c r="B7356" s="533">
        <v>9071</v>
      </c>
      <c r="C7356" s="533" t="s">
        <v>7545</v>
      </c>
      <c r="D7356" s="656" t="s">
        <v>7739</v>
      </c>
      <c r="E7356" s="534">
        <v>899.15000899999995</v>
      </c>
    </row>
    <row r="7357" spans="2:5" x14ac:dyDescent="0.2">
      <c r="B7357" s="533">
        <v>9072</v>
      </c>
      <c r="C7357" s="533" t="s">
        <v>5550</v>
      </c>
      <c r="D7357" s="656" t="s">
        <v>7739</v>
      </c>
      <c r="E7357" s="534">
        <v>906</v>
      </c>
    </row>
    <row r="7358" spans="2:5" x14ac:dyDescent="0.2">
      <c r="B7358" s="533">
        <v>9073</v>
      </c>
      <c r="C7358" s="533" t="s">
        <v>5570</v>
      </c>
      <c r="D7358" s="656" t="s">
        <v>7739</v>
      </c>
      <c r="E7358" s="534">
        <v>907.96666500000003</v>
      </c>
    </row>
    <row r="7359" spans="2:5" x14ac:dyDescent="0.2">
      <c r="B7359" s="533">
        <v>9074</v>
      </c>
      <c r="C7359" s="533" t="s">
        <v>6462</v>
      </c>
      <c r="D7359" s="656" t="s">
        <v>7739</v>
      </c>
      <c r="E7359" s="534">
        <v>918.38125200000002</v>
      </c>
    </row>
    <row r="7360" spans="2:5" x14ac:dyDescent="0.2">
      <c r="B7360" s="533">
        <v>9075</v>
      </c>
      <c r="C7360" s="533" t="s">
        <v>5365</v>
      </c>
      <c r="D7360" s="656" t="s">
        <v>7739</v>
      </c>
      <c r="E7360" s="534">
        <v>874.263644</v>
      </c>
    </row>
    <row r="7361" spans="2:5" x14ac:dyDescent="0.2">
      <c r="B7361" s="533">
        <v>9076</v>
      </c>
      <c r="C7361" s="533" t="s">
        <v>5376</v>
      </c>
      <c r="D7361" s="656" t="s">
        <v>7739</v>
      </c>
      <c r="E7361" s="534">
        <v>875.74545000000001</v>
      </c>
    </row>
    <row r="7362" spans="2:5" x14ac:dyDescent="0.2">
      <c r="B7362" s="533">
        <v>9077</v>
      </c>
      <c r="C7362" s="533" t="s">
        <v>3462</v>
      </c>
      <c r="D7362" s="656" t="s">
        <v>7739</v>
      </c>
      <c r="E7362" s="534">
        <v>838.85998500000005</v>
      </c>
    </row>
    <row r="7363" spans="2:5" x14ac:dyDescent="0.2">
      <c r="B7363" s="533">
        <v>9078</v>
      </c>
      <c r="C7363" s="533" t="s">
        <v>6537</v>
      </c>
      <c r="D7363" s="656" t="s">
        <v>7739</v>
      </c>
      <c r="E7363" s="534">
        <v>1001.353341</v>
      </c>
    </row>
    <row r="7364" spans="2:5" x14ac:dyDescent="0.2">
      <c r="B7364" s="533">
        <v>9079</v>
      </c>
      <c r="C7364" s="533" t="s">
        <v>6020</v>
      </c>
      <c r="D7364" s="656" t="s">
        <v>7739</v>
      </c>
      <c r="E7364" s="534">
        <v>1067.424988</v>
      </c>
    </row>
    <row r="7365" spans="2:5" x14ac:dyDescent="0.2">
      <c r="B7365" s="533">
        <v>9081</v>
      </c>
      <c r="C7365" s="533" t="s">
        <v>5404</v>
      </c>
      <c r="D7365" s="656" t="s">
        <v>386</v>
      </c>
      <c r="E7365" s="534">
        <v>1087.269221</v>
      </c>
    </row>
    <row r="7366" spans="2:5" x14ac:dyDescent="0.2">
      <c r="B7366" s="533">
        <v>9082</v>
      </c>
      <c r="C7366" s="533" t="s">
        <v>6118</v>
      </c>
      <c r="D7366" s="656" t="s">
        <v>386</v>
      </c>
      <c r="E7366" s="534">
        <v>1142.869995</v>
      </c>
    </row>
    <row r="7367" spans="2:5" x14ac:dyDescent="0.2">
      <c r="B7367" s="533">
        <v>9083</v>
      </c>
      <c r="C7367" s="533" t="s">
        <v>6097</v>
      </c>
      <c r="D7367" s="656" t="s">
        <v>386</v>
      </c>
      <c r="E7367" s="534">
        <v>1122.2888929999999</v>
      </c>
    </row>
    <row r="7368" spans="2:5" x14ac:dyDescent="0.2">
      <c r="B7368" s="533">
        <v>9084</v>
      </c>
      <c r="C7368" s="533" t="s">
        <v>6004</v>
      </c>
      <c r="D7368" s="656" t="s">
        <v>386</v>
      </c>
      <c r="E7368" s="534">
        <v>1054.984633</v>
      </c>
    </row>
    <row r="7369" spans="2:5" x14ac:dyDescent="0.2">
      <c r="B7369" s="533">
        <v>9085</v>
      </c>
      <c r="C7369" s="533" t="s">
        <v>6559</v>
      </c>
      <c r="D7369" s="656" t="s">
        <v>386</v>
      </c>
      <c r="E7369" s="534">
        <v>1158.4128169999999</v>
      </c>
    </row>
    <row r="7370" spans="2:5" x14ac:dyDescent="0.2">
      <c r="B7370" s="533">
        <v>9086</v>
      </c>
      <c r="C7370" s="533" t="s">
        <v>6090</v>
      </c>
      <c r="D7370" s="656" t="s">
        <v>386</v>
      </c>
      <c r="E7370" s="534">
        <v>1115.738885</v>
      </c>
    </row>
    <row r="7371" spans="2:5" x14ac:dyDescent="0.2">
      <c r="B7371" s="533">
        <v>9087</v>
      </c>
      <c r="C7371" s="533" t="s">
        <v>6138</v>
      </c>
      <c r="D7371" s="656" t="s">
        <v>386</v>
      </c>
      <c r="E7371" s="534">
        <v>1151.799998</v>
      </c>
    </row>
    <row r="7372" spans="2:5" x14ac:dyDescent="0.2">
      <c r="B7372" s="533">
        <v>9088</v>
      </c>
      <c r="C7372" s="533" t="s">
        <v>6283</v>
      </c>
      <c r="D7372" s="656" t="s">
        <v>386</v>
      </c>
      <c r="E7372" s="534">
        <v>1337.829999</v>
      </c>
    </row>
    <row r="7373" spans="2:5" x14ac:dyDescent="0.2">
      <c r="B7373" s="533">
        <v>9089</v>
      </c>
      <c r="C7373" s="533" t="s">
        <v>6031</v>
      </c>
      <c r="D7373" s="656" t="s">
        <v>386</v>
      </c>
      <c r="E7373" s="534">
        <v>1074.7307599999999</v>
      </c>
    </row>
    <row r="7374" spans="2:5" x14ac:dyDescent="0.2">
      <c r="B7374" s="533">
        <v>9090</v>
      </c>
      <c r="C7374" s="533" t="s">
        <v>5829</v>
      </c>
      <c r="D7374" s="656" t="s">
        <v>386</v>
      </c>
      <c r="E7374" s="534">
        <v>1155.4874950000001</v>
      </c>
    </row>
    <row r="7375" spans="2:5" x14ac:dyDescent="0.2">
      <c r="B7375" s="533">
        <v>9091</v>
      </c>
      <c r="C7375" s="533" t="s">
        <v>1260</v>
      </c>
      <c r="D7375" s="656" t="s">
        <v>386</v>
      </c>
      <c r="E7375" s="534">
        <v>1196.7591</v>
      </c>
    </row>
    <row r="7376" spans="2:5" x14ac:dyDescent="0.2">
      <c r="B7376" s="533">
        <v>9092</v>
      </c>
      <c r="C7376" s="533" t="s">
        <v>6065</v>
      </c>
      <c r="D7376" s="656" t="s">
        <v>386</v>
      </c>
      <c r="E7376" s="534">
        <v>1094.3303069999999</v>
      </c>
    </row>
    <row r="7377" spans="2:5" x14ac:dyDescent="0.2">
      <c r="B7377" s="533">
        <v>9093</v>
      </c>
      <c r="C7377" s="533" t="s">
        <v>6227</v>
      </c>
      <c r="D7377" s="656" t="s">
        <v>386</v>
      </c>
      <c r="E7377" s="534">
        <v>1233.518738</v>
      </c>
    </row>
    <row r="7378" spans="2:5" x14ac:dyDescent="0.2">
      <c r="B7378" s="533">
        <v>9094</v>
      </c>
      <c r="C7378" s="533" t="s">
        <v>6187</v>
      </c>
      <c r="D7378" s="656" t="s">
        <v>386</v>
      </c>
      <c r="E7378" s="534">
        <v>1194.038098</v>
      </c>
    </row>
    <row r="7379" spans="2:5" x14ac:dyDescent="0.2">
      <c r="B7379" s="533">
        <v>9095</v>
      </c>
      <c r="C7379" s="533" t="s">
        <v>6126</v>
      </c>
      <c r="D7379" s="656" t="s">
        <v>386</v>
      </c>
      <c r="E7379" s="534">
        <v>1148.185704</v>
      </c>
    </row>
    <row r="7380" spans="2:5" x14ac:dyDescent="0.2">
      <c r="B7380" s="533">
        <v>9096</v>
      </c>
      <c r="C7380" s="533" t="s">
        <v>6025</v>
      </c>
      <c r="D7380" s="656" t="s">
        <v>386</v>
      </c>
      <c r="E7380" s="534">
        <v>1069.0450069999999</v>
      </c>
    </row>
    <row r="7381" spans="2:5" x14ac:dyDescent="0.2">
      <c r="B7381" s="533">
        <v>9097</v>
      </c>
      <c r="C7381" s="533" t="s">
        <v>6505</v>
      </c>
      <c r="D7381" s="656" t="s">
        <v>386</v>
      </c>
      <c r="E7381" s="534">
        <v>1280.054543</v>
      </c>
    </row>
    <row r="7382" spans="2:5" x14ac:dyDescent="0.2">
      <c r="B7382" s="533">
        <v>9098</v>
      </c>
      <c r="C7382" s="533" t="s">
        <v>6050</v>
      </c>
      <c r="D7382" s="656" t="s">
        <v>386</v>
      </c>
      <c r="E7382" s="534">
        <v>1085.227273</v>
      </c>
    </row>
    <row r="7383" spans="2:5" x14ac:dyDescent="0.2">
      <c r="B7383" s="533">
        <v>9099</v>
      </c>
      <c r="C7383" s="533" t="s">
        <v>6064</v>
      </c>
      <c r="D7383" s="656" t="s">
        <v>386</v>
      </c>
      <c r="E7383" s="534">
        <v>1093.9499719999999</v>
      </c>
    </row>
    <row r="7384" spans="2:5" x14ac:dyDescent="0.2">
      <c r="B7384" s="533">
        <v>9100</v>
      </c>
      <c r="C7384" s="533" t="s">
        <v>6091</v>
      </c>
      <c r="D7384" s="656" t="s">
        <v>386</v>
      </c>
      <c r="E7384" s="534">
        <v>1116.6800049999999</v>
      </c>
    </row>
    <row r="7385" spans="2:5" x14ac:dyDescent="0.2">
      <c r="B7385" s="533">
        <v>9101</v>
      </c>
      <c r="C7385" s="533" t="s">
        <v>6136</v>
      </c>
      <c r="D7385" s="656" t="s">
        <v>386</v>
      </c>
      <c r="E7385" s="534">
        <v>1151.2833459999999</v>
      </c>
    </row>
    <row r="7386" spans="2:5" x14ac:dyDescent="0.2">
      <c r="B7386" s="533">
        <v>9102</v>
      </c>
      <c r="C7386" s="533" t="s">
        <v>6176</v>
      </c>
      <c r="D7386" s="656" t="s">
        <v>386</v>
      </c>
      <c r="E7386" s="534">
        <v>1186.9499940000001</v>
      </c>
    </row>
    <row r="7387" spans="2:5" x14ac:dyDescent="0.2">
      <c r="B7387" s="533">
        <v>9103</v>
      </c>
      <c r="C7387" s="533" t="s">
        <v>6336</v>
      </c>
      <c r="D7387" s="656" t="s">
        <v>386</v>
      </c>
      <c r="E7387" s="534">
        <v>1503.3816320000001</v>
      </c>
    </row>
    <row r="7388" spans="2:5" x14ac:dyDescent="0.2">
      <c r="B7388" s="533">
        <v>9104</v>
      </c>
      <c r="C7388" s="533" t="s">
        <v>6353</v>
      </c>
      <c r="D7388" s="656" t="s">
        <v>454</v>
      </c>
      <c r="E7388" s="534">
        <v>1551.5600340000001</v>
      </c>
    </row>
    <row r="7389" spans="2:5" x14ac:dyDescent="0.2">
      <c r="B7389" s="533">
        <v>9151</v>
      </c>
      <c r="C7389" s="533" t="s">
        <v>5718</v>
      </c>
      <c r="D7389" s="656" t="s">
        <v>384</v>
      </c>
      <c r="E7389" s="534">
        <v>946.84782600000005</v>
      </c>
    </row>
    <row r="7390" spans="2:5" x14ac:dyDescent="0.2">
      <c r="B7390" s="533">
        <v>9152</v>
      </c>
      <c r="C7390" s="533" t="s">
        <v>5753</v>
      </c>
      <c r="D7390" s="656" t="s">
        <v>384</v>
      </c>
      <c r="E7390" s="534">
        <v>956.9375</v>
      </c>
    </row>
    <row r="7391" spans="2:5" x14ac:dyDescent="0.2">
      <c r="B7391" s="533">
        <v>9153</v>
      </c>
      <c r="C7391" s="533" t="s">
        <v>5788</v>
      </c>
      <c r="D7391" s="656" t="s">
        <v>384</v>
      </c>
      <c r="E7391" s="534">
        <v>965.22499600000003</v>
      </c>
    </row>
    <row r="7392" spans="2:5" x14ac:dyDescent="0.2">
      <c r="B7392" s="533">
        <v>9154</v>
      </c>
      <c r="C7392" s="533" t="s">
        <v>5673</v>
      </c>
      <c r="D7392" s="656" t="s">
        <v>384</v>
      </c>
      <c r="E7392" s="534">
        <v>934.04000199999996</v>
      </c>
    </row>
    <row r="7393" spans="2:5" x14ac:dyDescent="0.2">
      <c r="B7393" s="533">
        <v>9155</v>
      </c>
      <c r="C7393" s="533" t="s">
        <v>5730</v>
      </c>
      <c r="D7393" s="656" t="s">
        <v>384</v>
      </c>
      <c r="E7393" s="534">
        <v>950.45385299999998</v>
      </c>
    </row>
    <row r="7394" spans="2:5" x14ac:dyDescent="0.2">
      <c r="B7394" s="533">
        <v>9156</v>
      </c>
      <c r="C7394" s="533" t="s">
        <v>6984</v>
      </c>
      <c r="D7394" s="656" t="s">
        <v>384</v>
      </c>
      <c r="E7394" s="534">
        <v>950.18182400000001</v>
      </c>
    </row>
    <row r="7395" spans="2:5" x14ac:dyDescent="0.2">
      <c r="B7395" s="533">
        <v>9157</v>
      </c>
      <c r="C7395" s="533" t="s">
        <v>5732</v>
      </c>
      <c r="D7395" s="656" t="s">
        <v>384</v>
      </c>
      <c r="E7395" s="534">
        <v>951.69999900000005</v>
      </c>
    </row>
    <row r="7396" spans="2:5" x14ac:dyDescent="0.2">
      <c r="B7396" s="533">
        <v>9158</v>
      </c>
      <c r="C7396" s="533" t="s">
        <v>5825</v>
      </c>
      <c r="D7396" s="656" t="s">
        <v>384</v>
      </c>
      <c r="E7396" s="534">
        <v>975.76000999999997</v>
      </c>
    </row>
    <row r="7397" spans="2:5" x14ac:dyDescent="0.2">
      <c r="B7397" s="533">
        <v>9159</v>
      </c>
      <c r="C7397" s="533" t="s">
        <v>5531</v>
      </c>
      <c r="D7397" s="656" t="s">
        <v>384</v>
      </c>
      <c r="E7397" s="534">
        <v>901.84444900000005</v>
      </c>
    </row>
    <row r="7398" spans="2:5" x14ac:dyDescent="0.2">
      <c r="B7398" s="533">
        <v>9160</v>
      </c>
      <c r="C7398" s="533" t="s">
        <v>7476</v>
      </c>
      <c r="D7398" s="656" t="s">
        <v>384</v>
      </c>
      <c r="E7398" s="534">
        <v>911.18333900000005</v>
      </c>
    </row>
    <row r="7399" spans="2:5" x14ac:dyDescent="0.2">
      <c r="B7399" s="533">
        <v>9161</v>
      </c>
      <c r="C7399" s="533" t="s">
        <v>5551</v>
      </c>
      <c r="D7399" s="656" t="s">
        <v>384</v>
      </c>
      <c r="E7399" s="534">
        <v>906.31666099999995</v>
      </c>
    </row>
    <row r="7400" spans="2:5" x14ac:dyDescent="0.2">
      <c r="B7400" s="533">
        <v>9162</v>
      </c>
      <c r="C7400" s="533" t="s">
        <v>5779</v>
      </c>
      <c r="D7400" s="656" t="s">
        <v>384</v>
      </c>
      <c r="E7400" s="534">
        <v>963.02500899999995</v>
      </c>
    </row>
    <row r="7401" spans="2:5" x14ac:dyDescent="0.2">
      <c r="B7401" s="533">
        <v>9163</v>
      </c>
      <c r="C7401" s="533" t="s">
        <v>1148</v>
      </c>
      <c r="D7401" s="656" t="s">
        <v>384</v>
      </c>
      <c r="E7401" s="534">
        <v>1010.362499</v>
      </c>
    </row>
    <row r="7402" spans="2:5" x14ac:dyDescent="0.2">
      <c r="B7402" s="533">
        <v>9164</v>
      </c>
      <c r="C7402" s="533" t="s">
        <v>5865</v>
      </c>
      <c r="D7402" s="656" t="s">
        <v>384</v>
      </c>
      <c r="E7402" s="534">
        <v>990.24737200000004</v>
      </c>
    </row>
    <row r="7403" spans="2:5" x14ac:dyDescent="0.2">
      <c r="B7403" s="533">
        <v>9165</v>
      </c>
      <c r="C7403" s="533" t="s">
        <v>4204</v>
      </c>
      <c r="D7403" s="656" t="s">
        <v>384</v>
      </c>
      <c r="E7403" s="534">
        <v>1042.5999979999999</v>
      </c>
    </row>
    <row r="7404" spans="2:5" x14ac:dyDescent="0.2">
      <c r="B7404" s="533">
        <v>9166</v>
      </c>
      <c r="C7404" s="533" t="s">
        <v>5341</v>
      </c>
      <c r="D7404" s="656" t="s">
        <v>384</v>
      </c>
      <c r="E7404" s="534">
        <v>870.64999399999999</v>
      </c>
    </row>
    <row r="7405" spans="2:5" x14ac:dyDescent="0.2">
      <c r="B7405" s="533">
        <v>9167</v>
      </c>
      <c r="C7405" s="533" t="s">
        <v>1506</v>
      </c>
      <c r="D7405" s="656" t="s">
        <v>384</v>
      </c>
      <c r="E7405" s="534">
        <v>993.47691899999995</v>
      </c>
    </row>
    <row r="7406" spans="2:5" x14ac:dyDescent="0.2">
      <c r="B7406" s="533">
        <v>9168</v>
      </c>
      <c r="C7406" s="533" t="s">
        <v>5519</v>
      </c>
      <c r="D7406" s="656" t="s">
        <v>384</v>
      </c>
      <c r="E7406" s="534">
        <v>900.8</v>
      </c>
    </row>
    <row r="7407" spans="2:5" x14ac:dyDescent="0.2">
      <c r="B7407" s="533">
        <v>9169</v>
      </c>
      <c r="C7407" s="533" t="s">
        <v>5511</v>
      </c>
      <c r="D7407" s="656" t="s">
        <v>384</v>
      </c>
      <c r="E7407" s="534">
        <v>899.133331</v>
      </c>
    </row>
    <row r="7408" spans="2:5" x14ac:dyDescent="0.2">
      <c r="B7408" s="533">
        <v>9170</v>
      </c>
      <c r="C7408" s="533" t="s">
        <v>6659</v>
      </c>
      <c r="D7408" s="656" t="s">
        <v>384</v>
      </c>
      <c r="E7408" s="534">
        <v>952.52500899999995</v>
      </c>
    </row>
    <row r="7409" spans="2:5" x14ac:dyDescent="0.2">
      <c r="B7409" s="533">
        <v>9171</v>
      </c>
      <c r="C7409" s="533" t="s">
        <v>5670</v>
      </c>
      <c r="D7409" s="656" t="s">
        <v>384</v>
      </c>
      <c r="E7409" s="534">
        <v>933.76000999999997</v>
      </c>
    </row>
    <row r="7410" spans="2:5" x14ac:dyDescent="0.2">
      <c r="B7410" s="533">
        <v>9172</v>
      </c>
      <c r="C7410" s="533" t="s">
        <v>5940</v>
      </c>
      <c r="D7410" s="656" t="s">
        <v>384</v>
      </c>
      <c r="E7410" s="534">
        <v>1026.949989</v>
      </c>
    </row>
    <row r="7411" spans="2:5" x14ac:dyDescent="0.2">
      <c r="B7411" s="533">
        <v>9173</v>
      </c>
      <c r="C7411" s="533" t="s">
        <v>6000</v>
      </c>
      <c r="D7411" s="656" t="s">
        <v>384</v>
      </c>
      <c r="E7411" s="534">
        <v>1053.1571220000001</v>
      </c>
    </row>
    <row r="7412" spans="2:5" x14ac:dyDescent="0.2">
      <c r="B7412" s="533">
        <v>9174</v>
      </c>
      <c r="C7412" s="533" t="s">
        <v>6022</v>
      </c>
      <c r="D7412" s="656" t="s">
        <v>384</v>
      </c>
      <c r="E7412" s="534">
        <v>1068.450012</v>
      </c>
    </row>
    <row r="7413" spans="2:5" x14ac:dyDescent="0.2">
      <c r="B7413" s="533">
        <v>9175</v>
      </c>
      <c r="C7413" s="533" t="s">
        <v>2885</v>
      </c>
      <c r="D7413" s="656" t="s">
        <v>384</v>
      </c>
      <c r="E7413" s="534">
        <v>1104.5249940000001</v>
      </c>
    </row>
    <row r="7414" spans="2:5" x14ac:dyDescent="0.2">
      <c r="B7414" s="533">
        <v>9176</v>
      </c>
      <c r="C7414" s="533" t="s">
        <v>5402</v>
      </c>
      <c r="D7414" s="656" t="s">
        <v>384</v>
      </c>
      <c r="E7414" s="534">
        <v>880.25714500000004</v>
      </c>
    </row>
    <row r="7415" spans="2:5" x14ac:dyDescent="0.2">
      <c r="B7415" s="533">
        <v>9177</v>
      </c>
      <c r="C7415" s="533" t="s">
        <v>5731</v>
      </c>
      <c r="D7415" s="656" t="s">
        <v>384</v>
      </c>
      <c r="E7415" s="534">
        <v>951.35000600000001</v>
      </c>
    </row>
    <row r="7416" spans="2:5" x14ac:dyDescent="0.2">
      <c r="B7416" s="533">
        <v>9178</v>
      </c>
      <c r="C7416" s="533" t="s">
        <v>5885</v>
      </c>
      <c r="D7416" s="656" t="s">
        <v>384</v>
      </c>
      <c r="E7416" s="534">
        <v>996.23846000000003</v>
      </c>
    </row>
    <row r="7417" spans="2:5" x14ac:dyDescent="0.2">
      <c r="B7417" s="533">
        <v>9179</v>
      </c>
      <c r="C7417" s="533" t="s">
        <v>5997</v>
      </c>
      <c r="D7417" s="656" t="s">
        <v>384</v>
      </c>
      <c r="E7417" s="534">
        <v>1052.4800049999999</v>
      </c>
    </row>
    <row r="7418" spans="2:5" x14ac:dyDescent="0.2">
      <c r="B7418" s="533">
        <v>9180</v>
      </c>
      <c r="C7418" s="533" t="s">
        <v>7462</v>
      </c>
      <c r="D7418" s="656" t="s">
        <v>384</v>
      </c>
      <c r="E7418" s="534">
        <v>1101.599993</v>
      </c>
    </row>
    <row r="7419" spans="2:5" x14ac:dyDescent="0.2">
      <c r="B7419" s="533">
        <v>9181</v>
      </c>
      <c r="C7419" s="533" t="s">
        <v>384</v>
      </c>
      <c r="D7419" s="656" t="s">
        <v>384</v>
      </c>
      <c r="E7419" s="534">
        <v>1077.12222</v>
      </c>
    </row>
    <row r="7420" spans="2:5" x14ac:dyDescent="0.2">
      <c r="B7420" s="533">
        <v>9182</v>
      </c>
      <c r="C7420" s="533" t="s">
        <v>6044</v>
      </c>
      <c r="D7420" s="656" t="s">
        <v>384</v>
      </c>
      <c r="E7420" s="534">
        <v>1080.5</v>
      </c>
    </row>
    <row r="7421" spans="2:5" x14ac:dyDescent="0.2">
      <c r="B7421" s="533">
        <v>9183</v>
      </c>
      <c r="C7421" s="533" t="s">
        <v>5874</v>
      </c>
      <c r="D7421" s="656" t="s">
        <v>384</v>
      </c>
      <c r="E7421" s="534">
        <v>993.37331900000004</v>
      </c>
    </row>
    <row r="7422" spans="2:5" x14ac:dyDescent="0.2">
      <c r="B7422" s="533">
        <v>9184</v>
      </c>
      <c r="C7422" s="533" t="s">
        <v>6011</v>
      </c>
      <c r="D7422" s="656" t="s">
        <v>384</v>
      </c>
      <c r="E7422" s="534">
        <v>1058.549988</v>
      </c>
    </row>
    <row r="7423" spans="2:5" x14ac:dyDescent="0.2">
      <c r="B7423" s="533">
        <v>9185</v>
      </c>
      <c r="C7423" s="533" t="s">
        <v>6003</v>
      </c>
      <c r="D7423" s="656" t="s">
        <v>384</v>
      </c>
      <c r="E7423" s="534">
        <v>1054.6999820000001</v>
      </c>
    </row>
    <row r="7424" spans="2:5" x14ac:dyDescent="0.2">
      <c r="B7424" s="533">
        <v>9186</v>
      </c>
      <c r="C7424" s="533" t="s">
        <v>6054</v>
      </c>
      <c r="D7424" s="656" t="s">
        <v>384</v>
      </c>
      <c r="E7424" s="534">
        <v>1088.366659</v>
      </c>
    </row>
    <row r="7425" spans="2:5" x14ac:dyDescent="0.2">
      <c r="B7425" s="533">
        <v>9187</v>
      </c>
      <c r="C7425" s="533" t="s">
        <v>7562</v>
      </c>
      <c r="D7425" s="656" t="s">
        <v>384</v>
      </c>
      <c r="E7425" s="534">
        <v>1158.9750059999999</v>
      </c>
    </row>
    <row r="7426" spans="2:5" x14ac:dyDescent="0.2">
      <c r="B7426" s="533">
        <v>9188</v>
      </c>
      <c r="C7426" s="533" t="s">
        <v>5970</v>
      </c>
      <c r="D7426" s="656" t="s">
        <v>384</v>
      </c>
      <c r="E7426" s="534">
        <v>1039.4428539999999</v>
      </c>
    </row>
    <row r="7427" spans="2:5" x14ac:dyDescent="0.2">
      <c r="B7427" s="533">
        <v>9189</v>
      </c>
      <c r="C7427" s="533" t="s">
        <v>6503</v>
      </c>
      <c r="D7427" s="656" t="s">
        <v>384</v>
      </c>
      <c r="E7427" s="534">
        <v>1073.6599980000001</v>
      </c>
    </row>
    <row r="7428" spans="2:5" x14ac:dyDescent="0.2">
      <c r="B7428" s="533">
        <v>9190</v>
      </c>
      <c r="C7428" s="533" t="s">
        <v>2696</v>
      </c>
      <c r="D7428" s="656" t="s">
        <v>384</v>
      </c>
      <c r="E7428" s="534">
        <v>1095.4999800000001</v>
      </c>
    </row>
    <row r="7429" spans="2:5" x14ac:dyDescent="0.2">
      <c r="B7429" s="533">
        <v>9191</v>
      </c>
      <c r="C7429" s="533" t="s">
        <v>2533</v>
      </c>
      <c r="D7429" s="656" t="s">
        <v>384</v>
      </c>
      <c r="E7429" s="534">
        <v>1143.0250140000001</v>
      </c>
    </row>
    <row r="7430" spans="2:5" x14ac:dyDescent="0.2">
      <c r="B7430" s="533">
        <v>9192</v>
      </c>
      <c r="C7430" s="533" t="s">
        <v>6028</v>
      </c>
      <c r="D7430" s="656" t="s">
        <v>384</v>
      </c>
      <c r="E7430" s="534">
        <v>1071.12499</v>
      </c>
    </row>
    <row r="7431" spans="2:5" x14ac:dyDescent="0.2">
      <c r="B7431" s="533">
        <v>9193</v>
      </c>
      <c r="C7431" s="533" t="s">
        <v>6038</v>
      </c>
      <c r="D7431" s="656" t="s">
        <v>384</v>
      </c>
      <c r="E7431" s="534">
        <v>1078.6818290000001</v>
      </c>
    </row>
    <row r="7432" spans="2:5" x14ac:dyDescent="0.2">
      <c r="B7432" s="533">
        <v>9194</v>
      </c>
      <c r="C7432" s="533" t="s">
        <v>6013</v>
      </c>
      <c r="D7432" s="656" t="s">
        <v>384</v>
      </c>
      <c r="E7432" s="534">
        <v>1059.8444420000001</v>
      </c>
    </row>
    <row r="7433" spans="2:5" x14ac:dyDescent="0.2">
      <c r="B7433" s="533">
        <v>9195</v>
      </c>
      <c r="C7433" s="533" t="s">
        <v>7008</v>
      </c>
      <c r="D7433" s="656" t="s">
        <v>384</v>
      </c>
      <c r="E7433" s="534">
        <v>1141.318182</v>
      </c>
    </row>
    <row r="7434" spans="2:5" x14ac:dyDescent="0.2">
      <c r="B7434" s="533">
        <v>9196</v>
      </c>
      <c r="C7434" s="533" t="s">
        <v>6033</v>
      </c>
      <c r="D7434" s="656" t="s">
        <v>384</v>
      </c>
      <c r="E7434" s="534">
        <v>1075.7999950000001</v>
      </c>
    </row>
    <row r="7435" spans="2:5" x14ac:dyDescent="0.2">
      <c r="B7435" s="533">
        <v>9197</v>
      </c>
      <c r="C7435" s="533" t="s">
        <v>6021</v>
      </c>
      <c r="D7435" s="656" t="s">
        <v>384</v>
      </c>
      <c r="E7435" s="534">
        <v>1067.455931</v>
      </c>
    </row>
    <row r="7436" spans="2:5" x14ac:dyDescent="0.2">
      <c r="B7436" s="533">
        <v>9201</v>
      </c>
      <c r="C7436" s="533" t="s">
        <v>5538</v>
      </c>
      <c r="D7436" s="656" t="s">
        <v>386</v>
      </c>
      <c r="E7436" s="534">
        <v>903.59000200000003</v>
      </c>
    </row>
    <row r="7437" spans="2:5" x14ac:dyDescent="0.2">
      <c r="B7437" s="533">
        <v>9202</v>
      </c>
      <c r="C7437" s="533" t="s">
        <v>6721</v>
      </c>
      <c r="D7437" s="656" t="s">
        <v>386</v>
      </c>
      <c r="E7437" s="534">
        <v>1010.478258</v>
      </c>
    </row>
    <row r="7438" spans="2:5" x14ac:dyDescent="0.2">
      <c r="B7438" s="533">
        <v>9203</v>
      </c>
      <c r="C7438" s="533" t="s">
        <v>5739</v>
      </c>
      <c r="D7438" s="656" t="s">
        <v>386</v>
      </c>
      <c r="E7438" s="534">
        <v>952.60476200000005</v>
      </c>
    </row>
    <row r="7439" spans="2:5" x14ac:dyDescent="0.2">
      <c r="B7439" s="533">
        <v>9204</v>
      </c>
      <c r="C7439" s="533" t="s">
        <v>5929</v>
      </c>
      <c r="D7439" s="656" t="s">
        <v>386</v>
      </c>
      <c r="E7439" s="534">
        <v>1018.854996</v>
      </c>
    </row>
    <row r="7440" spans="2:5" x14ac:dyDescent="0.2">
      <c r="B7440" s="533">
        <v>9205</v>
      </c>
      <c r="C7440" s="533" t="s">
        <v>6030</v>
      </c>
      <c r="D7440" s="656" t="s">
        <v>386</v>
      </c>
      <c r="E7440" s="534">
        <v>1071.930777</v>
      </c>
    </row>
    <row r="7441" spans="2:5" x14ac:dyDescent="0.2">
      <c r="B7441" s="533">
        <v>9206</v>
      </c>
      <c r="C7441" s="533" t="s">
        <v>3747</v>
      </c>
      <c r="D7441" s="656" t="s">
        <v>386</v>
      </c>
      <c r="E7441" s="534">
        <v>1057.9000020000001</v>
      </c>
    </row>
    <row r="7442" spans="2:5" x14ac:dyDescent="0.2">
      <c r="B7442" s="533">
        <v>9207</v>
      </c>
      <c r="C7442" s="533" t="s">
        <v>5971</v>
      </c>
      <c r="D7442" s="656" t="s">
        <v>386</v>
      </c>
      <c r="E7442" s="534">
        <v>1039.475001</v>
      </c>
    </row>
    <row r="7443" spans="2:5" x14ac:dyDescent="0.2">
      <c r="B7443" s="533">
        <v>9208</v>
      </c>
      <c r="C7443" s="533" t="s">
        <v>1189</v>
      </c>
      <c r="D7443" s="656" t="s">
        <v>386</v>
      </c>
      <c r="E7443" s="534">
        <v>1054.4551710000001</v>
      </c>
    </row>
    <row r="7444" spans="2:5" x14ac:dyDescent="0.2">
      <c r="B7444" s="533">
        <v>9209</v>
      </c>
      <c r="C7444" s="533" t="s">
        <v>5946</v>
      </c>
      <c r="D7444" s="656" t="s">
        <v>386</v>
      </c>
      <c r="E7444" s="534">
        <v>1028.7857140000001</v>
      </c>
    </row>
    <row r="7445" spans="2:5" x14ac:dyDescent="0.2">
      <c r="B7445" s="533">
        <v>9210</v>
      </c>
      <c r="C7445" s="533" t="s">
        <v>2583</v>
      </c>
      <c r="D7445" s="656" t="s">
        <v>386</v>
      </c>
      <c r="E7445" s="534">
        <v>1019.449982</v>
      </c>
    </row>
    <row r="7446" spans="2:5" x14ac:dyDescent="0.2">
      <c r="B7446" s="533">
        <v>9211</v>
      </c>
      <c r="C7446" s="533" t="s">
        <v>6103</v>
      </c>
      <c r="D7446" s="656" t="s">
        <v>386</v>
      </c>
      <c r="E7446" s="534">
        <v>1124.623075</v>
      </c>
    </row>
    <row r="7447" spans="2:5" x14ac:dyDescent="0.2">
      <c r="B7447" s="533">
        <v>9212</v>
      </c>
      <c r="C7447" s="533" t="s">
        <v>6041</v>
      </c>
      <c r="D7447" s="656" t="s">
        <v>386</v>
      </c>
      <c r="E7447" s="534">
        <v>1079.3076920000001</v>
      </c>
    </row>
    <row r="7448" spans="2:5" x14ac:dyDescent="0.2">
      <c r="B7448" s="533">
        <v>9213</v>
      </c>
      <c r="C7448" s="533" t="s">
        <v>6128</v>
      </c>
      <c r="D7448" s="656" t="s">
        <v>386</v>
      </c>
      <c r="E7448" s="534">
        <v>1148.711114</v>
      </c>
    </row>
    <row r="7449" spans="2:5" x14ac:dyDescent="0.2">
      <c r="B7449" s="533">
        <v>9214</v>
      </c>
      <c r="C7449" s="533" t="s">
        <v>6204</v>
      </c>
      <c r="D7449" s="656" t="s">
        <v>386</v>
      </c>
      <c r="E7449" s="534">
        <v>1213.0181769999999</v>
      </c>
    </row>
    <row r="7450" spans="2:5" x14ac:dyDescent="0.2">
      <c r="B7450" s="533">
        <v>9215</v>
      </c>
      <c r="C7450" s="533" t="s">
        <v>6221</v>
      </c>
      <c r="D7450" s="656" t="s">
        <v>386</v>
      </c>
      <c r="E7450" s="534">
        <v>1230.7678530000001</v>
      </c>
    </row>
    <row r="7451" spans="2:5" x14ac:dyDescent="0.2">
      <c r="B7451" s="533">
        <v>9216</v>
      </c>
      <c r="C7451" s="533" t="s">
        <v>7006</v>
      </c>
      <c r="D7451" s="656" t="s">
        <v>386</v>
      </c>
      <c r="E7451" s="534">
        <v>1047.3714219999999</v>
      </c>
    </row>
    <row r="7452" spans="2:5" x14ac:dyDescent="0.2">
      <c r="B7452" s="533">
        <v>9217</v>
      </c>
      <c r="C7452" s="533" t="s">
        <v>6496</v>
      </c>
      <c r="D7452" s="656" t="s">
        <v>386</v>
      </c>
      <c r="E7452" s="534">
        <v>993.30000299999995</v>
      </c>
    </row>
    <row r="7453" spans="2:5" x14ac:dyDescent="0.2">
      <c r="B7453" s="533">
        <v>9218</v>
      </c>
      <c r="C7453" s="533" t="s">
        <v>6495</v>
      </c>
      <c r="D7453" s="656" t="s">
        <v>386</v>
      </c>
      <c r="E7453" s="534">
        <v>1074.133325</v>
      </c>
    </row>
    <row r="7454" spans="2:5" x14ac:dyDescent="0.2">
      <c r="B7454" s="533">
        <v>9219</v>
      </c>
      <c r="C7454" s="533" t="s">
        <v>5923</v>
      </c>
      <c r="D7454" s="656" t="s">
        <v>386</v>
      </c>
      <c r="E7454" s="534">
        <v>1016.163635</v>
      </c>
    </row>
    <row r="7455" spans="2:5" x14ac:dyDescent="0.2">
      <c r="B7455" s="533">
        <v>9220</v>
      </c>
      <c r="C7455" s="533" t="s">
        <v>4502</v>
      </c>
      <c r="D7455" s="656" t="s">
        <v>386</v>
      </c>
      <c r="E7455" s="534">
        <v>1061.8461540000001</v>
      </c>
    </row>
    <row r="7456" spans="2:5" x14ac:dyDescent="0.2">
      <c r="B7456" s="533">
        <v>9221</v>
      </c>
      <c r="C7456" s="533" t="s">
        <v>1153</v>
      </c>
      <c r="D7456" s="656" t="s">
        <v>386</v>
      </c>
      <c r="E7456" s="534">
        <v>1119.7499800000001</v>
      </c>
    </row>
    <row r="7457" spans="2:5" x14ac:dyDescent="0.2">
      <c r="B7457" s="533">
        <v>9222</v>
      </c>
      <c r="C7457" s="533" t="s">
        <v>6219</v>
      </c>
      <c r="D7457" s="656" t="s">
        <v>386</v>
      </c>
      <c r="E7457" s="534">
        <v>1229.9750059999999</v>
      </c>
    </row>
    <row r="7458" spans="2:5" x14ac:dyDescent="0.2">
      <c r="B7458" s="533">
        <v>9223</v>
      </c>
      <c r="C7458" s="533" t="s">
        <v>6165</v>
      </c>
      <c r="D7458" s="656" t="s">
        <v>386</v>
      </c>
      <c r="E7458" s="534">
        <v>1176.613642</v>
      </c>
    </row>
    <row r="7459" spans="2:5" x14ac:dyDescent="0.2">
      <c r="B7459" s="533">
        <v>9224</v>
      </c>
      <c r="C7459" s="533" t="s">
        <v>3035</v>
      </c>
      <c r="D7459" s="656" t="s">
        <v>386</v>
      </c>
      <c r="E7459" s="534">
        <v>1094.4437479999999</v>
      </c>
    </row>
    <row r="7460" spans="2:5" x14ac:dyDescent="0.2">
      <c r="B7460" s="533">
        <v>9225</v>
      </c>
      <c r="C7460" s="533" t="s">
        <v>6144</v>
      </c>
      <c r="D7460" s="656" t="s">
        <v>386</v>
      </c>
      <c r="E7460" s="534">
        <v>1153.608348</v>
      </c>
    </row>
    <row r="7461" spans="2:5" x14ac:dyDescent="0.2">
      <c r="B7461" s="533">
        <v>9226</v>
      </c>
      <c r="C7461" s="533" t="s">
        <v>6197</v>
      </c>
      <c r="D7461" s="656" t="s">
        <v>386</v>
      </c>
      <c r="E7461" s="534">
        <v>1202.6687469999999</v>
      </c>
    </row>
    <row r="7462" spans="2:5" x14ac:dyDescent="0.2">
      <c r="B7462" s="533">
        <v>9227</v>
      </c>
      <c r="C7462" s="533" t="s">
        <v>6243</v>
      </c>
      <c r="D7462" s="656" t="s">
        <v>386</v>
      </c>
      <c r="E7462" s="534">
        <v>1253.230769</v>
      </c>
    </row>
    <row r="7463" spans="2:5" x14ac:dyDescent="0.2">
      <c r="B7463" s="533">
        <v>9228</v>
      </c>
      <c r="C7463" s="533" t="s">
        <v>6245</v>
      </c>
      <c r="D7463" s="656" t="s">
        <v>386</v>
      </c>
      <c r="E7463" s="534">
        <v>1267.6272859999999</v>
      </c>
    </row>
    <row r="7464" spans="2:5" x14ac:dyDescent="0.2">
      <c r="B7464" s="533">
        <v>9229</v>
      </c>
      <c r="C7464" s="533" t="s">
        <v>7282</v>
      </c>
      <c r="D7464" s="656" t="s">
        <v>386</v>
      </c>
      <c r="E7464" s="534">
        <v>1280.4208269999999</v>
      </c>
    </row>
    <row r="7465" spans="2:5" x14ac:dyDescent="0.2">
      <c r="B7465" s="533">
        <v>9230</v>
      </c>
      <c r="C7465" s="533" t="s">
        <v>6284</v>
      </c>
      <c r="D7465" s="656" t="s">
        <v>386</v>
      </c>
      <c r="E7465" s="534">
        <v>1338.542864</v>
      </c>
    </row>
    <row r="7466" spans="2:5" x14ac:dyDescent="0.2">
      <c r="B7466" s="533">
        <v>9231</v>
      </c>
      <c r="C7466" s="533" t="s">
        <v>6288</v>
      </c>
      <c r="D7466" s="656" t="s">
        <v>386</v>
      </c>
      <c r="E7466" s="534">
        <v>1346.294118</v>
      </c>
    </row>
    <row r="7467" spans="2:5" x14ac:dyDescent="0.2">
      <c r="B7467" s="533">
        <v>9232</v>
      </c>
      <c r="C7467" s="533" t="s">
        <v>6252</v>
      </c>
      <c r="D7467" s="656" t="s">
        <v>386</v>
      </c>
      <c r="E7467" s="534">
        <v>1281.957684</v>
      </c>
    </row>
    <row r="7468" spans="2:5" x14ac:dyDescent="0.2">
      <c r="B7468" s="533">
        <v>9233</v>
      </c>
      <c r="C7468" s="533" t="s">
        <v>7421</v>
      </c>
      <c r="D7468" s="656" t="s">
        <v>377</v>
      </c>
      <c r="E7468" s="534">
        <v>1212.8000079999999</v>
      </c>
    </row>
    <row r="7469" spans="2:5" x14ac:dyDescent="0.2">
      <c r="B7469" s="533">
        <v>9234</v>
      </c>
      <c r="C7469" s="533" t="s">
        <v>6206</v>
      </c>
      <c r="D7469" s="656" t="s">
        <v>377</v>
      </c>
      <c r="E7469" s="534">
        <v>1214.3277989999999</v>
      </c>
    </row>
    <row r="7470" spans="2:5" x14ac:dyDescent="0.2">
      <c r="B7470" s="533">
        <v>9235</v>
      </c>
      <c r="C7470" s="533" t="s">
        <v>6264</v>
      </c>
      <c r="D7470" s="656" t="s">
        <v>377</v>
      </c>
      <c r="E7470" s="534">
        <v>1298.8000179999999</v>
      </c>
    </row>
    <row r="7471" spans="2:5" x14ac:dyDescent="0.2">
      <c r="B7471" s="533">
        <v>9236</v>
      </c>
      <c r="C7471" s="533" t="s">
        <v>6305</v>
      </c>
      <c r="D7471" s="656" t="s">
        <v>377</v>
      </c>
      <c r="E7471" s="534">
        <v>1399.0699950000001</v>
      </c>
    </row>
    <row r="7472" spans="2:5" x14ac:dyDescent="0.2">
      <c r="B7472" s="533">
        <v>9237</v>
      </c>
      <c r="C7472" s="533" t="s">
        <v>6286</v>
      </c>
      <c r="D7472" s="656" t="s">
        <v>377</v>
      </c>
      <c r="E7472" s="534">
        <v>1342.3874969999999</v>
      </c>
    </row>
    <row r="7473" spans="2:5" x14ac:dyDescent="0.2">
      <c r="B7473" s="533">
        <v>9238</v>
      </c>
      <c r="C7473" s="533" t="s">
        <v>6249</v>
      </c>
      <c r="D7473" s="656" t="s">
        <v>377</v>
      </c>
      <c r="E7473" s="534">
        <v>1279.0947389999999</v>
      </c>
    </row>
    <row r="7474" spans="2:5" x14ac:dyDescent="0.2">
      <c r="B7474" s="533">
        <v>9239</v>
      </c>
      <c r="C7474" s="533" t="s">
        <v>6273</v>
      </c>
      <c r="D7474" s="656" t="s">
        <v>377</v>
      </c>
      <c r="E7474" s="534">
        <v>1325.829403</v>
      </c>
    </row>
    <row r="7475" spans="2:5" x14ac:dyDescent="0.2">
      <c r="B7475" s="533">
        <v>9240</v>
      </c>
      <c r="C7475" s="533" t="s">
        <v>6348</v>
      </c>
      <c r="D7475" s="656" t="s">
        <v>377</v>
      </c>
      <c r="E7475" s="534">
        <v>1541.390474</v>
      </c>
    </row>
    <row r="7476" spans="2:5" x14ac:dyDescent="0.2">
      <c r="B7476" s="533">
        <v>9241</v>
      </c>
      <c r="C7476" s="533" t="s">
        <v>6321</v>
      </c>
      <c r="D7476" s="656" t="s">
        <v>377</v>
      </c>
      <c r="E7476" s="534">
        <v>1447.1437639999999</v>
      </c>
    </row>
    <row r="7477" spans="2:5" x14ac:dyDescent="0.2">
      <c r="B7477" s="533">
        <v>9242</v>
      </c>
      <c r="C7477" s="533" t="s">
        <v>6253</v>
      </c>
      <c r="D7477" s="656" t="s">
        <v>377</v>
      </c>
      <c r="E7477" s="534">
        <v>1283.0416620000001</v>
      </c>
    </row>
    <row r="7478" spans="2:5" x14ac:dyDescent="0.2">
      <c r="B7478" s="533">
        <v>9243</v>
      </c>
      <c r="C7478" s="533" t="s">
        <v>6271</v>
      </c>
      <c r="D7478" s="656" t="s">
        <v>377</v>
      </c>
      <c r="E7478" s="534">
        <v>1316.2499800000001</v>
      </c>
    </row>
    <row r="7479" spans="2:5" x14ac:dyDescent="0.2">
      <c r="B7479" s="533">
        <v>9244</v>
      </c>
      <c r="C7479" s="533" t="s">
        <v>6250</v>
      </c>
      <c r="D7479" s="656" t="s">
        <v>377</v>
      </c>
      <c r="E7479" s="534">
        <v>1279.2800050000001</v>
      </c>
    </row>
    <row r="7480" spans="2:5" x14ac:dyDescent="0.2">
      <c r="B7480" s="533">
        <v>9245</v>
      </c>
      <c r="C7480" s="533" t="s">
        <v>6317</v>
      </c>
      <c r="D7480" s="656" t="s">
        <v>377</v>
      </c>
      <c r="E7480" s="534">
        <v>1438.9166560000001</v>
      </c>
    </row>
    <row r="7481" spans="2:5" x14ac:dyDescent="0.2">
      <c r="B7481" s="533">
        <v>9246</v>
      </c>
      <c r="C7481" s="533" t="s">
        <v>6912</v>
      </c>
      <c r="D7481" s="656" t="s">
        <v>377</v>
      </c>
      <c r="E7481" s="534">
        <v>1387.7727379999999</v>
      </c>
    </row>
    <row r="7482" spans="2:5" x14ac:dyDescent="0.2">
      <c r="B7482" s="533">
        <v>9247</v>
      </c>
      <c r="C7482" s="533" t="s">
        <v>6366</v>
      </c>
      <c r="D7482" s="656" t="s">
        <v>377</v>
      </c>
      <c r="E7482" s="534">
        <v>1580.8720069999999</v>
      </c>
    </row>
    <row r="7483" spans="2:5" x14ac:dyDescent="0.2">
      <c r="B7483" s="533">
        <v>9248</v>
      </c>
      <c r="C7483" s="533" t="s">
        <v>6354</v>
      </c>
      <c r="D7483" s="656" t="s">
        <v>377</v>
      </c>
      <c r="E7483" s="534">
        <v>1552.5325499999999</v>
      </c>
    </row>
    <row r="7484" spans="2:5" x14ac:dyDescent="0.2">
      <c r="B7484" s="533">
        <v>9249</v>
      </c>
      <c r="C7484" s="533" t="s">
        <v>6396</v>
      </c>
      <c r="D7484" s="656" t="s">
        <v>377</v>
      </c>
      <c r="E7484" s="534">
        <v>1681.9035730000001</v>
      </c>
    </row>
    <row r="7485" spans="2:5" x14ac:dyDescent="0.2">
      <c r="B7485" s="533">
        <v>9250</v>
      </c>
      <c r="C7485" s="533" t="s">
        <v>6415</v>
      </c>
      <c r="D7485" s="656" t="s">
        <v>377</v>
      </c>
      <c r="E7485" s="534">
        <v>1771.579997</v>
      </c>
    </row>
    <row r="7486" spans="2:5" x14ac:dyDescent="0.2">
      <c r="B7486" s="533">
        <v>9251</v>
      </c>
      <c r="C7486" s="533" t="s">
        <v>6398</v>
      </c>
      <c r="D7486" s="656" t="s">
        <v>377</v>
      </c>
      <c r="E7486" s="534">
        <v>1689.3310289999999</v>
      </c>
    </row>
    <row r="7487" spans="2:5" x14ac:dyDescent="0.2">
      <c r="B7487" s="533">
        <v>9252</v>
      </c>
      <c r="C7487" s="533" t="s">
        <v>6388</v>
      </c>
      <c r="D7487" s="656" t="s">
        <v>377</v>
      </c>
      <c r="E7487" s="534">
        <v>1650.4967750000001</v>
      </c>
    </row>
    <row r="7488" spans="2:5" x14ac:dyDescent="0.2">
      <c r="B7488" s="533">
        <v>9253</v>
      </c>
      <c r="C7488" s="533" t="s">
        <v>6384</v>
      </c>
      <c r="D7488" s="656" t="s">
        <v>377</v>
      </c>
      <c r="E7488" s="534">
        <v>1643.4999909999999</v>
      </c>
    </row>
    <row r="7489" spans="2:5" x14ac:dyDescent="0.2">
      <c r="B7489" s="533">
        <v>9254</v>
      </c>
      <c r="C7489" s="533" t="s">
        <v>6434</v>
      </c>
      <c r="D7489" s="656" t="s">
        <v>377</v>
      </c>
      <c r="E7489" s="534">
        <v>1903.621249</v>
      </c>
    </row>
    <row r="7490" spans="2:5" x14ac:dyDescent="0.2">
      <c r="B7490" s="533">
        <v>9255</v>
      </c>
      <c r="C7490" s="533" t="s">
        <v>6399</v>
      </c>
      <c r="D7490" s="656" t="s">
        <v>377</v>
      </c>
      <c r="E7490" s="534">
        <v>1692.973684</v>
      </c>
    </row>
    <row r="7491" spans="2:5" x14ac:dyDescent="0.2">
      <c r="B7491" s="533">
        <v>9256</v>
      </c>
      <c r="C7491" s="533" t="s">
        <v>6365</v>
      </c>
      <c r="D7491" s="656" t="s">
        <v>377</v>
      </c>
      <c r="E7491" s="534">
        <v>1580.837509</v>
      </c>
    </row>
    <row r="7492" spans="2:5" x14ac:dyDescent="0.2">
      <c r="B7492" s="533">
        <v>9257</v>
      </c>
      <c r="C7492" s="533" t="s">
        <v>6416</v>
      </c>
      <c r="D7492" s="656" t="s">
        <v>377</v>
      </c>
      <c r="E7492" s="534">
        <v>1781.212125</v>
      </c>
    </row>
    <row r="7493" spans="2:5" x14ac:dyDescent="0.2">
      <c r="B7493" s="533">
        <v>9258</v>
      </c>
      <c r="C7493" s="533" t="s">
        <v>7099</v>
      </c>
      <c r="D7493" s="656" t="s">
        <v>377</v>
      </c>
      <c r="E7493" s="534">
        <v>1596.3583369999999</v>
      </c>
    </row>
    <row r="7494" spans="2:5" x14ac:dyDescent="0.2">
      <c r="B7494" s="533">
        <v>9259</v>
      </c>
      <c r="C7494" s="533" t="s">
        <v>6393</v>
      </c>
      <c r="D7494" s="656" t="s">
        <v>377</v>
      </c>
      <c r="E7494" s="534">
        <v>1673.5489399999999</v>
      </c>
    </row>
    <row r="7495" spans="2:5" x14ac:dyDescent="0.2">
      <c r="B7495" s="533">
        <v>9260</v>
      </c>
      <c r="C7495" s="533" t="s">
        <v>6372</v>
      </c>
      <c r="D7495" s="656" t="s">
        <v>377</v>
      </c>
      <c r="E7495" s="534">
        <v>1595.9740400000001</v>
      </c>
    </row>
    <row r="7496" spans="2:5" x14ac:dyDescent="0.2">
      <c r="B7496" s="533">
        <v>9261</v>
      </c>
      <c r="C7496" s="533" t="s">
        <v>6429</v>
      </c>
      <c r="D7496" s="656" t="s">
        <v>377</v>
      </c>
      <c r="E7496" s="534">
        <v>1879.007087</v>
      </c>
    </row>
    <row r="7497" spans="2:5" x14ac:dyDescent="0.2">
      <c r="B7497" s="533">
        <v>9262</v>
      </c>
      <c r="C7497" s="533" t="s">
        <v>6361</v>
      </c>
      <c r="D7497" s="656" t="s">
        <v>377</v>
      </c>
      <c r="E7497" s="534">
        <v>1566.8100019999999</v>
      </c>
    </row>
    <row r="7498" spans="2:5" x14ac:dyDescent="0.2">
      <c r="B7498" s="533">
        <v>9301</v>
      </c>
      <c r="C7498" s="533" t="s">
        <v>6026</v>
      </c>
      <c r="D7498" s="656" t="s">
        <v>362</v>
      </c>
      <c r="E7498" s="534">
        <v>1070.4624940000001</v>
      </c>
    </row>
    <row r="7499" spans="2:5" x14ac:dyDescent="0.2">
      <c r="B7499" s="533">
        <v>9302</v>
      </c>
      <c r="C7499" s="533" t="s">
        <v>7414</v>
      </c>
      <c r="D7499" s="656" t="s">
        <v>362</v>
      </c>
      <c r="E7499" s="534">
        <v>1134.023524</v>
      </c>
    </row>
    <row r="7500" spans="2:5" x14ac:dyDescent="0.2">
      <c r="B7500" s="533">
        <v>9303</v>
      </c>
      <c r="C7500" s="533" t="s">
        <v>7487</v>
      </c>
      <c r="D7500" s="656" t="s">
        <v>362</v>
      </c>
      <c r="E7500" s="534">
        <v>1082.760006</v>
      </c>
    </row>
    <row r="7501" spans="2:5" x14ac:dyDescent="0.2">
      <c r="B7501" s="533">
        <v>9304</v>
      </c>
      <c r="C7501" s="533" t="s">
        <v>6122</v>
      </c>
      <c r="D7501" s="656" t="s">
        <v>362</v>
      </c>
      <c r="E7501" s="534">
        <v>1145.388234</v>
      </c>
    </row>
    <row r="7502" spans="2:5" x14ac:dyDescent="0.2">
      <c r="B7502" s="533">
        <v>9306</v>
      </c>
      <c r="C7502" s="533" t="s">
        <v>6052</v>
      </c>
      <c r="D7502" s="656" t="s">
        <v>362</v>
      </c>
      <c r="E7502" s="534">
        <v>1086.133335</v>
      </c>
    </row>
    <row r="7503" spans="2:5" x14ac:dyDescent="0.2">
      <c r="B7503" s="533">
        <v>9307</v>
      </c>
      <c r="C7503" s="533" t="s">
        <v>1360</v>
      </c>
      <c r="D7503" s="656" t="s">
        <v>362</v>
      </c>
      <c r="E7503" s="534">
        <v>1146.836348</v>
      </c>
    </row>
    <row r="7504" spans="2:5" x14ac:dyDescent="0.2">
      <c r="B7504" s="533">
        <v>9308</v>
      </c>
      <c r="C7504" s="533" t="s">
        <v>6137</v>
      </c>
      <c r="D7504" s="656" t="s">
        <v>362</v>
      </c>
      <c r="E7504" s="534">
        <v>1151.3629739999999</v>
      </c>
    </row>
    <row r="7505" spans="2:5" x14ac:dyDescent="0.2">
      <c r="B7505" s="533">
        <v>9309</v>
      </c>
      <c r="C7505" s="533" t="s">
        <v>6145</v>
      </c>
      <c r="D7505" s="656" t="s">
        <v>368</v>
      </c>
      <c r="E7505" s="534">
        <v>1154.6000059999999</v>
      </c>
    </row>
    <row r="7506" spans="2:5" x14ac:dyDescent="0.2">
      <c r="B7506" s="533">
        <v>9310</v>
      </c>
      <c r="C7506" s="533" t="s">
        <v>4972</v>
      </c>
      <c r="D7506" s="656" t="s">
        <v>368</v>
      </c>
      <c r="E7506" s="534">
        <v>1201.3799799999999</v>
      </c>
    </row>
    <row r="7507" spans="2:5" x14ac:dyDescent="0.2">
      <c r="B7507" s="533">
        <v>9311</v>
      </c>
      <c r="C7507" s="533" t="s">
        <v>3909</v>
      </c>
      <c r="D7507" s="656" t="s">
        <v>368</v>
      </c>
      <c r="E7507" s="534">
        <v>1121.399991</v>
      </c>
    </row>
    <row r="7508" spans="2:5" x14ac:dyDescent="0.2">
      <c r="B7508" s="533">
        <v>9312</v>
      </c>
      <c r="C7508" s="533" t="s">
        <v>6121</v>
      </c>
      <c r="D7508" s="656" t="s">
        <v>368</v>
      </c>
      <c r="E7508" s="534">
        <v>1145</v>
      </c>
    </row>
    <row r="7509" spans="2:5" x14ac:dyDescent="0.2">
      <c r="B7509" s="533">
        <v>9313</v>
      </c>
      <c r="C7509" s="533" t="s">
        <v>6193</v>
      </c>
      <c r="D7509" s="656" t="s">
        <v>368</v>
      </c>
      <c r="E7509" s="534">
        <v>1200.085693</v>
      </c>
    </row>
    <row r="7510" spans="2:5" x14ac:dyDescent="0.2">
      <c r="B7510" s="533">
        <v>9314</v>
      </c>
      <c r="C7510" s="533" t="s">
        <v>6141</v>
      </c>
      <c r="D7510" s="656" t="s">
        <v>368</v>
      </c>
      <c r="E7510" s="534">
        <v>1153.2428500000001</v>
      </c>
    </row>
    <row r="7511" spans="2:5" x14ac:dyDescent="0.2">
      <c r="B7511" s="533">
        <v>9315</v>
      </c>
      <c r="C7511" s="533" t="s">
        <v>6182</v>
      </c>
      <c r="D7511" s="656" t="s">
        <v>368</v>
      </c>
      <c r="E7511" s="534">
        <v>1188.2923020000001</v>
      </c>
    </row>
    <row r="7512" spans="2:5" x14ac:dyDescent="0.2">
      <c r="B7512" s="533">
        <v>9316</v>
      </c>
      <c r="C7512" s="533" t="s">
        <v>6201</v>
      </c>
      <c r="D7512" s="656" t="s">
        <v>368</v>
      </c>
      <c r="E7512" s="534">
        <v>1206.25</v>
      </c>
    </row>
    <row r="7513" spans="2:5" x14ac:dyDescent="0.2">
      <c r="B7513" s="533">
        <v>9317</v>
      </c>
      <c r="C7513" s="533" t="s">
        <v>1925</v>
      </c>
      <c r="D7513" s="656" t="s">
        <v>368</v>
      </c>
      <c r="E7513" s="534">
        <v>1225.9181570000001</v>
      </c>
    </row>
    <row r="7514" spans="2:5" x14ac:dyDescent="0.2">
      <c r="B7514" s="533">
        <v>9318</v>
      </c>
      <c r="C7514" s="533" t="s">
        <v>6617</v>
      </c>
      <c r="D7514" s="656" t="s">
        <v>368</v>
      </c>
      <c r="E7514" s="534">
        <v>1132.7210500000001</v>
      </c>
    </row>
    <row r="7515" spans="2:5" x14ac:dyDescent="0.2">
      <c r="B7515" s="533">
        <v>9319</v>
      </c>
      <c r="C7515" s="533" t="s">
        <v>6149</v>
      </c>
      <c r="D7515" s="656" t="s">
        <v>368</v>
      </c>
      <c r="E7515" s="534">
        <v>1157.182601</v>
      </c>
    </row>
    <row r="7516" spans="2:5" x14ac:dyDescent="0.2">
      <c r="B7516" s="533">
        <v>9320</v>
      </c>
      <c r="C7516" s="533" t="s">
        <v>3304</v>
      </c>
      <c r="D7516" s="656" t="s">
        <v>368</v>
      </c>
      <c r="E7516" s="534">
        <v>1133.830005</v>
      </c>
    </row>
    <row r="7517" spans="2:5" x14ac:dyDescent="0.2">
      <c r="B7517" s="533">
        <v>9321</v>
      </c>
      <c r="C7517" s="533" t="s">
        <v>6100</v>
      </c>
      <c r="D7517" s="656" t="s">
        <v>368</v>
      </c>
      <c r="E7517" s="534">
        <v>1124.0249940000001</v>
      </c>
    </row>
    <row r="7518" spans="2:5" x14ac:dyDescent="0.2">
      <c r="B7518" s="533">
        <v>9322</v>
      </c>
      <c r="C7518" s="533" t="s">
        <v>3546</v>
      </c>
      <c r="D7518" s="656" t="s">
        <v>368</v>
      </c>
      <c r="E7518" s="534">
        <v>1111.25</v>
      </c>
    </row>
    <row r="7519" spans="2:5" x14ac:dyDescent="0.2">
      <c r="B7519" s="533">
        <v>9323</v>
      </c>
      <c r="C7519" s="533" t="s">
        <v>5208</v>
      </c>
      <c r="D7519" s="656" t="s">
        <v>368</v>
      </c>
      <c r="E7519" s="534">
        <v>1140.544447</v>
      </c>
    </row>
    <row r="7520" spans="2:5" x14ac:dyDescent="0.2">
      <c r="B7520" s="533">
        <v>9324</v>
      </c>
      <c r="C7520" s="533" t="s">
        <v>6175</v>
      </c>
      <c r="D7520" s="656" t="s">
        <v>368</v>
      </c>
      <c r="E7520" s="534">
        <v>1186.6600100000001</v>
      </c>
    </row>
    <row r="7521" spans="2:5" x14ac:dyDescent="0.2">
      <c r="B7521" s="533">
        <v>9325</v>
      </c>
      <c r="C7521" s="533" t="s">
        <v>6152</v>
      </c>
      <c r="D7521" s="656" t="s">
        <v>368</v>
      </c>
      <c r="E7521" s="534">
        <v>1161.349976</v>
      </c>
    </row>
    <row r="7522" spans="2:5" x14ac:dyDescent="0.2">
      <c r="B7522" s="533">
        <v>9326</v>
      </c>
      <c r="C7522" s="533" t="s">
        <v>6177</v>
      </c>
      <c r="D7522" s="656" t="s">
        <v>368</v>
      </c>
      <c r="E7522" s="534">
        <v>1186.9833269999999</v>
      </c>
    </row>
    <row r="7523" spans="2:5" x14ac:dyDescent="0.2">
      <c r="B7523" s="533">
        <v>9327</v>
      </c>
      <c r="C7523" s="533" t="s">
        <v>6725</v>
      </c>
      <c r="D7523" s="656" t="s">
        <v>368</v>
      </c>
      <c r="E7523" s="534">
        <v>1295.5200070000001</v>
      </c>
    </row>
    <row r="7524" spans="2:5" x14ac:dyDescent="0.2">
      <c r="B7524" s="533">
        <v>9328</v>
      </c>
      <c r="C7524" s="533" t="s">
        <v>1273</v>
      </c>
      <c r="D7524" s="656" t="s">
        <v>368</v>
      </c>
      <c r="E7524" s="534">
        <v>1305.012489</v>
      </c>
    </row>
    <row r="7525" spans="2:5" x14ac:dyDescent="0.2">
      <c r="B7525" s="533">
        <v>9329</v>
      </c>
      <c r="C7525" s="533" t="s">
        <v>6244</v>
      </c>
      <c r="D7525" s="656" t="s">
        <v>368</v>
      </c>
      <c r="E7525" s="534">
        <v>1265.443481</v>
      </c>
    </row>
    <row r="7526" spans="2:5" x14ac:dyDescent="0.2">
      <c r="B7526" s="533">
        <v>9330</v>
      </c>
      <c r="C7526" s="533" t="s">
        <v>6270</v>
      </c>
      <c r="D7526" s="656" t="s">
        <v>368</v>
      </c>
      <c r="E7526" s="534">
        <v>1313.833347</v>
      </c>
    </row>
    <row r="7527" spans="2:5" x14ac:dyDescent="0.2">
      <c r="B7527" s="533">
        <v>9331</v>
      </c>
      <c r="C7527" s="533" t="s">
        <v>6289</v>
      </c>
      <c r="D7527" s="656" t="s">
        <v>368</v>
      </c>
      <c r="E7527" s="534">
        <v>1349.930758</v>
      </c>
    </row>
    <row r="7528" spans="2:5" x14ac:dyDescent="0.2">
      <c r="B7528" s="533">
        <v>9332</v>
      </c>
      <c r="C7528" s="533" t="s">
        <v>6276</v>
      </c>
      <c r="D7528" s="656" t="s">
        <v>368</v>
      </c>
      <c r="E7528" s="534">
        <v>1331.9944459999999</v>
      </c>
    </row>
    <row r="7529" spans="2:5" x14ac:dyDescent="0.2">
      <c r="B7529" s="533">
        <v>9333</v>
      </c>
      <c r="C7529" s="533" t="s">
        <v>5058</v>
      </c>
      <c r="D7529" s="656" t="s">
        <v>368</v>
      </c>
      <c r="E7529" s="534">
        <v>1181.1999840000001</v>
      </c>
    </row>
    <row r="7530" spans="2:5" x14ac:dyDescent="0.2">
      <c r="B7530" s="533">
        <v>9334</v>
      </c>
      <c r="C7530" s="533" t="s">
        <v>6179</v>
      </c>
      <c r="D7530" s="656" t="s">
        <v>368</v>
      </c>
      <c r="E7530" s="534">
        <v>1187.3999960000001</v>
      </c>
    </row>
    <row r="7531" spans="2:5" x14ac:dyDescent="0.2">
      <c r="B7531" s="533">
        <v>9335</v>
      </c>
      <c r="C7531" s="533" t="s">
        <v>6225</v>
      </c>
      <c r="D7531" s="656" t="s">
        <v>368</v>
      </c>
      <c r="E7531" s="534">
        <v>1233.150007</v>
      </c>
    </row>
    <row r="7532" spans="2:5" x14ac:dyDescent="0.2">
      <c r="B7532" s="533">
        <v>9336</v>
      </c>
      <c r="C7532" s="533" t="s">
        <v>7077</v>
      </c>
      <c r="D7532" s="656" t="s">
        <v>368</v>
      </c>
      <c r="E7532" s="534">
        <v>1247.1206810000001</v>
      </c>
    </row>
    <row r="7533" spans="2:5" x14ac:dyDescent="0.2">
      <c r="B7533" s="533">
        <v>9337</v>
      </c>
      <c r="C7533" s="533" t="s">
        <v>3313</v>
      </c>
      <c r="D7533" s="656" t="s">
        <v>368</v>
      </c>
      <c r="E7533" s="534">
        <v>1288.6999920000001</v>
      </c>
    </row>
    <row r="7534" spans="2:5" x14ac:dyDescent="0.2">
      <c r="B7534" s="533">
        <v>9338</v>
      </c>
      <c r="C7534" s="533" t="s">
        <v>7445</v>
      </c>
      <c r="D7534" s="656" t="s">
        <v>368</v>
      </c>
      <c r="E7534" s="534">
        <v>1272.136375</v>
      </c>
    </row>
    <row r="7535" spans="2:5" x14ac:dyDescent="0.2">
      <c r="B7535" s="533">
        <v>9401</v>
      </c>
      <c r="C7535" s="533" t="s">
        <v>7222</v>
      </c>
      <c r="D7535" s="656" t="s">
        <v>368</v>
      </c>
      <c r="E7535" s="534">
        <v>1278.161527</v>
      </c>
    </row>
    <row r="7536" spans="2:5" x14ac:dyDescent="0.2">
      <c r="B7536" s="533">
        <v>9402</v>
      </c>
      <c r="C7536" s="533" t="s">
        <v>6342</v>
      </c>
      <c r="D7536" s="656" t="s">
        <v>368</v>
      </c>
      <c r="E7536" s="534">
        <v>1520.488231</v>
      </c>
    </row>
    <row r="7537" spans="2:5" x14ac:dyDescent="0.2">
      <c r="B7537" s="533">
        <v>9403</v>
      </c>
      <c r="C7537" s="533" t="s">
        <v>6277</v>
      </c>
      <c r="D7537" s="656" t="s">
        <v>368</v>
      </c>
      <c r="E7537" s="534">
        <v>1332.418191</v>
      </c>
    </row>
    <row r="7538" spans="2:5" x14ac:dyDescent="0.2">
      <c r="B7538" s="533">
        <v>9404</v>
      </c>
      <c r="C7538" s="533" t="s">
        <v>6292</v>
      </c>
      <c r="D7538" s="656" t="s">
        <v>368</v>
      </c>
      <c r="E7538" s="534">
        <v>1354.691671</v>
      </c>
    </row>
    <row r="7539" spans="2:5" x14ac:dyDescent="0.2">
      <c r="B7539" s="533">
        <v>9405</v>
      </c>
      <c r="C7539" s="533" t="s">
        <v>6343</v>
      </c>
      <c r="D7539" s="656" t="s">
        <v>368</v>
      </c>
      <c r="E7539" s="534">
        <v>1521.0666639999999</v>
      </c>
    </row>
    <row r="7540" spans="2:5" x14ac:dyDescent="0.2">
      <c r="B7540" s="533">
        <v>9406</v>
      </c>
      <c r="C7540" s="533" t="s">
        <v>6410</v>
      </c>
      <c r="D7540" s="656" t="s">
        <v>368</v>
      </c>
      <c r="E7540" s="534">
        <v>1748.7685719999999</v>
      </c>
    </row>
    <row r="7541" spans="2:5" x14ac:dyDescent="0.2">
      <c r="B7541" s="533">
        <v>9407</v>
      </c>
      <c r="C7541" s="533" t="s">
        <v>6527</v>
      </c>
      <c r="D7541" s="656" t="s">
        <v>368</v>
      </c>
      <c r="E7541" s="534">
        <v>1435.1100100000001</v>
      </c>
    </row>
    <row r="7542" spans="2:5" x14ac:dyDescent="0.2">
      <c r="B7542" s="533">
        <v>9408</v>
      </c>
      <c r="C7542" s="533" t="s">
        <v>6308</v>
      </c>
      <c r="D7542" s="656" t="s">
        <v>368</v>
      </c>
      <c r="E7542" s="534">
        <v>1406.560876</v>
      </c>
    </row>
    <row r="7543" spans="2:5" x14ac:dyDescent="0.2">
      <c r="B7543" s="533">
        <v>9409</v>
      </c>
      <c r="C7543" s="533" t="s">
        <v>6307</v>
      </c>
      <c r="D7543" s="656" t="s">
        <v>368</v>
      </c>
      <c r="E7543" s="534">
        <v>1403.4500029999999</v>
      </c>
    </row>
    <row r="7544" spans="2:5" x14ac:dyDescent="0.2">
      <c r="B7544" s="533">
        <v>9410</v>
      </c>
      <c r="C7544" s="533" t="s">
        <v>6328</v>
      </c>
      <c r="D7544" s="656" t="s">
        <v>368</v>
      </c>
      <c r="E7544" s="534">
        <v>1470.4375</v>
      </c>
    </row>
    <row r="7545" spans="2:5" x14ac:dyDescent="0.2">
      <c r="B7545" s="533">
        <v>9411</v>
      </c>
      <c r="C7545" s="533" t="s">
        <v>6316</v>
      </c>
      <c r="D7545" s="656" t="s">
        <v>368</v>
      </c>
      <c r="E7545" s="534">
        <v>1438.080013</v>
      </c>
    </row>
    <row r="7546" spans="2:5" x14ac:dyDescent="0.2">
      <c r="B7546" s="533">
        <v>9412</v>
      </c>
      <c r="C7546" s="533" t="s">
        <v>6768</v>
      </c>
      <c r="D7546" s="656" t="s">
        <v>368</v>
      </c>
      <c r="E7546" s="534">
        <v>1773.0026889999999</v>
      </c>
    </row>
    <row r="7547" spans="2:5" x14ac:dyDescent="0.2">
      <c r="B7547" s="533">
        <v>9413</v>
      </c>
      <c r="C7547" s="533" t="s">
        <v>6346</v>
      </c>
      <c r="D7547" s="656" t="s">
        <v>368</v>
      </c>
      <c r="E7547" s="534">
        <v>1532.2692400000001</v>
      </c>
    </row>
    <row r="7548" spans="2:5" x14ac:dyDescent="0.2">
      <c r="B7548" s="533">
        <v>9414</v>
      </c>
      <c r="C7548" s="533" t="s">
        <v>6401</v>
      </c>
      <c r="D7548" s="656" t="s">
        <v>368</v>
      </c>
      <c r="E7548" s="534">
        <v>1705.2051280000001</v>
      </c>
    </row>
    <row r="7549" spans="2:5" x14ac:dyDescent="0.2">
      <c r="B7549" s="533">
        <v>9415</v>
      </c>
      <c r="C7549" s="533" t="s">
        <v>6364</v>
      </c>
      <c r="D7549" s="656" t="s">
        <v>368</v>
      </c>
      <c r="E7549" s="534">
        <v>1580.5439940000001</v>
      </c>
    </row>
    <row r="7550" spans="2:5" x14ac:dyDescent="0.2">
      <c r="B7550" s="533">
        <v>9416</v>
      </c>
      <c r="C7550" s="533" t="s">
        <v>6413</v>
      </c>
      <c r="D7550" s="656" t="s">
        <v>368</v>
      </c>
      <c r="E7550" s="534">
        <v>1761.652558</v>
      </c>
    </row>
    <row r="7551" spans="2:5" x14ac:dyDescent="0.2">
      <c r="B7551" s="533">
        <v>9417</v>
      </c>
      <c r="C7551" s="533" t="s">
        <v>6421</v>
      </c>
      <c r="D7551" s="656" t="s">
        <v>368</v>
      </c>
      <c r="E7551" s="534">
        <v>1829.1092410000001</v>
      </c>
    </row>
    <row r="7552" spans="2:5" x14ac:dyDescent="0.2">
      <c r="B7552" s="533">
        <v>9418</v>
      </c>
      <c r="C7552" s="533" t="s">
        <v>6432</v>
      </c>
      <c r="D7552" s="656" t="s">
        <v>368</v>
      </c>
      <c r="E7552" s="534">
        <v>1894.4093210000001</v>
      </c>
    </row>
    <row r="7553" spans="2:5" x14ac:dyDescent="0.2">
      <c r="B7553" s="533">
        <v>9419</v>
      </c>
      <c r="C7553" s="533" t="s">
        <v>6314</v>
      </c>
      <c r="D7553" s="656" t="s">
        <v>379</v>
      </c>
      <c r="E7553" s="534">
        <v>1433.2555609999999</v>
      </c>
    </row>
    <row r="7554" spans="2:5" x14ac:dyDescent="0.2">
      <c r="B7554" s="533">
        <v>9420</v>
      </c>
      <c r="C7554" s="533" t="s">
        <v>6351</v>
      </c>
      <c r="D7554" s="656" t="s">
        <v>379</v>
      </c>
      <c r="E7554" s="534">
        <v>1546.526926</v>
      </c>
    </row>
    <row r="7555" spans="2:5" x14ac:dyDescent="0.2">
      <c r="B7555" s="533">
        <v>9421</v>
      </c>
      <c r="C7555" s="533" t="s">
        <v>6668</v>
      </c>
      <c r="D7555" s="656" t="s">
        <v>379</v>
      </c>
      <c r="E7555" s="534">
        <v>1495.4266520000001</v>
      </c>
    </row>
    <row r="7556" spans="2:5" x14ac:dyDescent="0.2">
      <c r="B7556" s="533">
        <v>9422</v>
      </c>
      <c r="C7556" s="533" t="s">
        <v>6356</v>
      </c>
      <c r="D7556" s="656" t="s">
        <v>379</v>
      </c>
      <c r="E7556" s="534">
        <v>1555.355564</v>
      </c>
    </row>
    <row r="7557" spans="2:5" x14ac:dyDescent="0.2">
      <c r="B7557" s="533">
        <v>9423</v>
      </c>
      <c r="C7557" s="533" t="s">
        <v>6438</v>
      </c>
      <c r="D7557" s="656" t="s">
        <v>379</v>
      </c>
      <c r="E7557" s="534">
        <v>1937.5242249999999</v>
      </c>
    </row>
    <row r="7558" spans="2:5" x14ac:dyDescent="0.2">
      <c r="B7558" s="533">
        <v>9424</v>
      </c>
      <c r="C7558" s="533" t="s">
        <v>6381</v>
      </c>
      <c r="D7558" s="656" t="s">
        <v>379</v>
      </c>
      <c r="E7558" s="534">
        <v>1636.530438</v>
      </c>
    </row>
    <row r="7559" spans="2:5" x14ac:dyDescent="0.2">
      <c r="B7559" s="533">
        <v>9425</v>
      </c>
      <c r="C7559" s="533" t="s">
        <v>3503</v>
      </c>
      <c r="D7559" s="656" t="s">
        <v>379</v>
      </c>
      <c r="E7559" s="534">
        <v>2072.5951239999999</v>
      </c>
    </row>
    <row r="7560" spans="2:5" x14ac:dyDescent="0.2">
      <c r="B7560" s="533">
        <v>9426</v>
      </c>
      <c r="C7560" s="533" t="s">
        <v>6447</v>
      </c>
      <c r="D7560" s="656" t="s">
        <v>379</v>
      </c>
      <c r="E7560" s="534">
        <v>2057.9898330000001</v>
      </c>
    </row>
    <row r="7561" spans="2:5" x14ac:dyDescent="0.2">
      <c r="B7561" s="533">
        <v>9501</v>
      </c>
      <c r="C7561" s="533" t="s">
        <v>6184</v>
      </c>
      <c r="D7561" s="656" t="s">
        <v>379</v>
      </c>
      <c r="E7561" s="534">
        <v>1192.1631500000001</v>
      </c>
    </row>
    <row r="7562" spans="2:5" x14ac:dyDescent="0.2">
      <c r="B7562" s="533">
        <v>9502</v>
      </c>
      <c r="C7562" s="533" t="s">
        <v>6275</v>
      </c>
      <c r="D7562" s="656" t="s">
        <v>379</v>
      </c>
      <c r="E7562" s="534">
        <v>1331.645714</v>
      </c>
    </row>
    <row r="7563" spans="2:5" x14ac:dyDescent="0.2">
      <c r="B7563" s="533">
        <v>9503</v>
      </c>
      <c r="C7563" s="533" t="s">
        <v>1154</v>
      </c>
      <c r="D7563" s="656" t="s">
        <v>379</v>
      </c>
      <c r="E7563" s="534">
        <v>1236.23999</v>
      </c>
    </row>
    <row r="7564" spans="2:5" x14ac:dyDescent="0.2">
      <c r="B7564" s="533">
        <v>9504</v>
      </c>
      <c r="C7564" s="533" t="s">
        <v>6724</v>
      </c>
      <c r="D7564" s="656" t="s">
        <v>379</v>
      </c>
      <c r="E7564" s="534">
        <v>1165.756517</v>
      </c>
    </row>
    <row r="7565" spans="2:5" x14ac:dyDescent="0.2">
      <c r="B7565" s="533">
        <v>9505</v>
      </c>
      <c r="C7565" s="533" t="s">
        <v>6216</v>
      </c>
      <c r="D7565" s="656" t="s">
        <v>379</v>
      </c>
      <c r="E7565" s="534">
        <v>1227.7785730000001</v>
      </c>
    </row>
    <row r="7566" spans="2:5" x14ac:dyDescent="0.2">
      <c r="B7566" s="533">
        <v>9506</v>
      </c>
      <c r="C7566" s="533" t="s">
        <v>6180</v>
      </c>
      <c r="D7566" s="656" t="s">
        <v>379</v>
      </c>
      <c r="E7566" s="534">
        <v>1187.4521749999999</v>
      </c>
    </row>
    <row r="7567" spans="2:5" x14ac:dyDescent="0.2">
      <c r="B7567" s="533">
        <v>9507</v>
      </c>
      <c r="C7567" s="533" t="s">
        <v>6278</v>
      </c>
      <c r="D7567" s="656" t="s">
        <v>379</v>
      </c>
      <c r="E7567" s="534">
        <v>1332.5500019999999</v>
      </c>
    </row>
    <row r="7568" spans="2:5" x14ac:dyDescent="0.2">
      <c r="B7568" s="533">
        <v>9508</v>
      </c>
      <c r="C7568" s="533" t="s">
        <v>6303</v>
      </c>
      <c r="D7568" s="656" t="s">
        <v>379</v>
      </c>
      <c r="E7568" s="534">
        <v>1390.7588029999999</v>
      </c>
    </row>
    <row r="7569" spans="2:5" x14ac:dyDescent="0.2">
      <c r="B7569" s="533">
        <v>9509</v>
      </c>
      <c r="C7569" s="533" t="s">
        <v>6280</v>
      </c>
      <c r="D7569" s="656" t="s">
        <v>379</v>
      </c>
      <c r="E7569" s="534">
        <v>1335.1153939999999</v>
      </c>
    </row>
    <row r="7570" spans="2:5" x14ac:dyDescent="0.2">
      <c r="B7570" s="533">
        <v>9510</v>
      </c>
      <c r="C7570" s="533" t="s">
        <v>6255</v>
      </c>
      <c r="D7570" s="656" t="s">
        <v>379</v>
      </c>
      <c r="E7570" s="534">
        <v>1284.3625030000001</v>
      </c>
    </row>
    <row r="7571" spans="2:5" x14ac:dyDescent="0.2">
      <c r="B7571" s="533">
        <v>9511</v>
      </c>
      <c r="C7571" s="533" t="s">
        <v>3325</v>
      </c>
      <c r="D7571" s="656" t="s">
        <v>379</v>
      </c>
      <c r="E7571" s="534">
        <v>1322.080005</v>
      </c>
    </row>
    <row r="7572" spans="2:5" x14ac:dyDescent="0.2">
      <c r="B7572" s="533">
        <v>9512</v>
      </c>
      <c r="C7572" s="533" t="s">
        <v>6169</v>
      </c>
      <c r="D7572" s="656" t="s">
        <v>379</v>
      </c>
      <c r="E7572" s="534">
        <v>1178.1439989999999</v>
      </c>
    </row>
    <row r="7573" spans="2:5" x14ac:dyDescent="0.2">
      <c r="B7573" s="533">
        <v>9513</v>
      </c>
      <c r="C7573" s="533" t="s">
        <v>6296</v>
      </c>
      <c r="D7573" s="656" t="s">
        <v>379</v>
      </c>
      <c r="E7573" s="534">
        <v>1369.2142940000001</v>
      </c>
    </row>
    <row r="7574" spans="2:5" x14ac:dyDescent="0.2">
      <c r="B7574" s="533">
        <v>9514</v>
      </c>
      <c r="C7574" s="533" t="s">
        <v>379</v>
      </c>
      <c r="D7574" s="656" t="s">
        <v>379</v>
      </c>
      <c r="E7574" s="534">
        <v>1349.4499510000001</v>
      </c>
    </row>
    <row r="7575" spans="2:5" x14ac:dyDescent="0.2">
      <c r="B7575" s="533">
        <v>9515</v>
      </c>
      <c r="C7575" s="533" t="s">
        <v>3498</v>
      </c>
      <c r="D7575" s="656" t="s">
        <v>379</v>
      </c>
      <c r="E7575" s="534">
        <v>1410.6647089999999</v>
      </c>
    </row>
    <row r="7576" spans="2:5" x14ac:dyDescent="0.2">
      <c r="B7576" s="533">
        <v>9516</v>
      </c>
      <c r="C7576" s="533" t="s">
        <v>6262</v>
      </c>
      <c r="D7576" s="656" t="s">
        <v>379</v>
      </c>
      <c r="E7576" s="534">
        <v>1294.205005</v>
      </c>
    </row>
    <row r="7577" spans="2:5" x14ac:dyDescent="0.2">
      <c r="B7577" s="533">
        <v>9517</v>
      </c>
      <c r="C7577" s="533" t="s">
        <v>6367</v>
      </c>
      <c r="D7577" s="656" t="s">
        <v>379</v>
      </c>
      <c r="E7577" s="534">
        <v>1581.0391259999999</v>
      </c>
    </row>
    <row r="7578" spans="2:5" x14ac:dyDescent="0.2">
      <c r="B7578" s="533">
        <v>9518</v>
      </c>
      <c r="C7578" s="533" t="s">
        <v>7603</v>
      </c>
      <c r="D7578" s="656" t="s">
        <v>379</v>
      </c>
      <c r="E7578" s="534">
        <v>1446.3545369999999</v>
      </c>
    </row>
    <row r="7579" spans="2:5" x14ac:dyDescent="0.2">
      <c r="B7579" s="533">
        <v>9519</v>
      </c>
      <c r="C7579" s="533" t="s">
        <v>6306</v>
      </c>
      <c r="D7579" s="656" t="s">
        <v>379</v>
      </c>
      <c r="E7579" s="534">
        <v>1399.6272690000001</v>
      </c>
    </row>
    <row r="7580" spans="2:5" x14ac:dyDescent="0.2">
      <c r="B7580" s="533">
        <v>9520</v>
      </c>
      <c r="C7580" s="533" t="s">
        <v>6355</v>
      </c>
      <c r="D7580" s="656" t="s">
        <v>379</v>
      </c>
      <c r="E7580" s="534">
        <v>1552.690691</v>
      </c>
    </row>
    <row r="7581" spans="2:5" x14ac:dyDescent="0.2">
      <c r="B7581" s="533">
        <v>9521</v>
      </c>
      <c r="C7581" s="533" t="s">
        <v>6435</v>
      </c>
      <c r="D7581" s="656" t="s">
        <v>379</v>
      </c>
      <c r="E7581" s="534">
        <v>1919.444438</v>
      </c>
    </row>
    <row r="7582" spans="2:5" x14ac:dyDescent="0.2">
      <c r="B7582" s="533">
        <v>9522</v>
      </c>
      <c r="C7582" s="533" t="s">
        <v>6392</v>
      </c>
      <c r="D7582" s="656" t="s">
        <v>379</v>
      </c>
      <c r="E7582" s="534">
        <v>1666.4407980000001</v>
      </c>
    </row>
    <row r="7583" spans="2:5" x14ac:dyDescent="0.2">
      <c r="B7583" s="533">
        <v>9601</v>
      </c>
      <c r="C7583" s="533" t="s">
        <v>6079</v>
      </c>
      <c r="D7583" s="656" t="s">
        <v>363</v>
      </c>
      <c r="E7583" s="534">
        <v>1104.857125</v>
      </c>
    </row>
    <row r="7584" spans="2:5" x14ac:dyDescent="0.2">
      <c r="B7584" s="533">
        <v>9602</v>
      </c>
      <c r="C7584" s="533" t="s">
        <v>6214</v>
      </c>
      <c r="D7584" s="656" t="s">
        <v>363</v>
      </c>
      <c r="E7584" s="534">
        <v>1225.838454</v>
      </c>
    </row>
    <row r="7585" spans="2:5" x14ac:dyDescent="0.2">
      <c r="B7585" s="533">
        <v>9603</v>
      </c>
      <c r="C7585" s="533" t="s">
        <v>6014</v>
      </c>
      <c r="D7585" s="656" t="s">
        <v>363</v>
      </c>
      <c r="E7585" s="534">
        <v>1060.1266720000001</v>
      </c>
    </row>
    <row r="7586" spans="2:5" x14ac:dyDescent="0.2">
      <c r="B7586" s="533">
        <v>9604</v>
      </c>
      <c r="C7586" s="533" t="s">
        <v>5957</v>
      </c>
      <c r="D7586" s="656" t="s">
        <v>363</v>
      </c>
      <c r="E7586" s="534">
        <v>1034.733348</v>
      </c>
    </row>
    <row r="7587" spans="2:5" x14ac:dyDescent="0.2">
      <c r="B7587" s="533">
        <v>9605</v>
      </c>
      <c r="C7587" s="533" t="s">
        <v>6301</v>
      </c>
      <c r="D7587" s="656" t="s">
        <v>363</v>
      </c>
      <c r="E7587" s="534">
        <v>1388.039996</v>
      </c>
    </row>
    <row r="7588" spans="2:5" x14ac:dyDescent="0.2">
      <c r="B7588" s="533">
        <v>9606</v>
      </c>
      <c r="C7588" s="533" t="s">
        <v>5896</v>
      </c>
      <c r="D7588" s="656" t="s">
        <v>363</v>
      </c>
      <c r="E7588" s="534">
        <v>1001.549995</v>
      </c>
    </row>
    <row r="7589" spans="2:5" x14ac:dyDescent="0.2">
      <c r="B7589" s="533">
        <v>9607</v>
      </c>
      <c r="C7589" s="533" t="s">
        <v>6327</v>
      </c>
      <c r="D7589" s="656" t="s">
        <v>363</v>
      </c>
      <c r="E7589" s="534">
        <v>1468.56665</v>
      </c>
    </row>
    <row r="7590" spans="2:5" x14ac:dyDescent="0.2">
      <c r="B7590" s="533">
        <v>9608</v>
      </c>
      <c r="C7590" s="533" t="s">
        <v>6211</v>
      </c>
      <c r="D7590" s="656" t="s">
        <v>363</v>
      </c>
      <c r="E7590" s="534">
        <v>1220.369995</v>
      </c>
    </row>
    <row r="7591" spans="2:5" x14ac:dyDescent="0.2">
      <c r="B7591" s="533">
        <v>9609</v>
      </c>
      <c r="C7591" s="533" t="s">
        <v>6579</v>
      </c>
      <c r="D7591" s="656" t="s">
        <v>363</v>
      </c>
      <c r="E7591" s="534">
        <v>1034.5280029999999</v>
      </c>
    </row>
    <row r="7592" spans="2:5" x14ac:dyDescent="0.2">
      <c r="B7592" s="533">
        <v>9610</v>
      </c>
      <c r="C7592" s="533" t="s">
        <v>6222</v>
      </c>
      <c r="D7592" s="656" t="s">
        <v>363</v>
      </c>
      <c r="E7592" s="534">
        <v>1231.0333250000001</v>
      </c>
    </row>
    <row r="7593" spans="2:5" x14ac:dyDescent="0.2">
      <c r="B7593" s="533">
        <v>9611</v>
      </c>
      <c r="C7593" s="533" t="s">
        <v>6190</v>
      </c>
      <c r="D7593" s="656" t="s">
        <v>363</v>
      </c>
      <c r="E7593" s="534">
        <v>1197.177762</v>
      </c>
    </row>
    <row r="7594" spans="2:5" x14ac:dyDescent="0.2">
      <c r="B7594" s="533">
        <v>9612</v>
      </c>
      <c r="C7594" s="533" t="s">
        <v>1031</v>
      </c>
      <c r="D7594" s="656" t="s">
        <v>363</v>
      </c>
      <c r="E7594" s="534">
        <v>1104.2999950000001</v>
      </c>
    </row>
    <row r="7595" spans="2:5" x14ac:dyDescent="0.2">
      <c r="B7595" s="533">
        <v>9613</v>
      </c>
      <c r="C7595" s="533" t="s">
        <v>6692</v>
      </c>
      <c r="D7595" s="656" t="s">
        <v>363</v>
      </c>
      <c r="E7595" s="534">
        <v>1158.039137</v>
      </c>
    </row>
    <row r="7596" spans="2:5" x14ac:dyDescent="0.2">
      <c r="B7596" s="533">
        <v>9614</v>
      </c>
      <c r="C7596" s="533" t="s">
        <v>5991</v>
      </c>
      <c r="D7596" s="656" t="s">
        <v>363</v>
      </c>
      <c r="E7596" s="534">
        <v>1047.125</v>
      </c>
    </row>
    <row r="7597" spans="2:5" x14ac:dyDescent="0.2">
      <c r="B7597" s="533">
        <v>9615</v>
      </c>
      <c r="C7597" s="533" t="s">
        <v>6140</v>
      </c>
      <c r="D7597" s="656" t="s">
        <v>363</v>
      </c>
      <c r="E7597" s="534">
        <v>1152.7642739999999</v>
      </c>
    </row>
    <row r="7598" spans="2:5" x14ac:dyDescent="0.2">
      <c r="B7598" s="533">
        <v>9616</v>
      </c>
      <c r="C7598" s="533" t="s">
        <v>6101</v>
      </c>
      <c r="D7598" s="656" t="s">
        <v>363</v>
      </c>
      <c r="E7598" s="534">
        <v>1124.128575</v>
      </c>
    </row>
    <row r="7599" spans="2:5" x14ac:dyDescent="0.2">
      <c r="B7599" s="533">
        <v>9617</v>
      </c>
      <c r="C7599" s="533" t="s">
        <v>2099</v>
      </c>
      <c r="D7599" s="656" t="s">
        <v>363</v>
      </c>
      <c r="E7599" s="534">
        <v>1086.3499879999999</v>
      </c>
    </row>
    <row r="7600" spans="2:5" x14ac:dyDescent="0.2">
      <c r="B7600" s="533">
        <v>9618</v>
      </c>
      <c r="C7600" s="533" t="s">
        <v>6299</v>
      </c>
      <c r="D7600" s="656" t="s">
        <v>363</v>
      </c>
      <c r="E7600" s="534">
        <v>1372.94444</v>
      </c>
    </row>
    <row r="7601" spans="2:5" x14ac:dyDescent="0.2">
      <c r="B7601" s="533">
        <v>9619</v>
      </c>
      <c r="C7601" s="533" t="s">
        <v>6349</v>
      </c>
      <c r="D7601" s="656" t="s">
        <v>363</v>
      </c>
      <c r="E7601" s="534">
        <v>1541.6320020000001</v>
      </c>
    </row>
    <row r="7602" spans="2:5" x14ac:dyDescent="0.2">
      <c r="B7602" s="533">
        <v>9620</v>
      </c>
      <c r="C7602" s="533" t="s">
        <v>6818</v>
      </c>
      <c r="D7602" s="656" t="s">
        <v>363</v>
      </c>
      <c r="E7602" s="534">
        <v>1051.2166649999999</v>
      </c>
    </row>
    <row r="7603" spans="2:5" x14ac:dyDescent="0.2">
      <c r="B7603" s="533">
        <v>9621</v>
      </c>
      <c r="C7603" s="533" t="s">
        <v>6323</v>
      </c>
      <c r="D7603" s="656" t="s">
        <v>363</v>
      </c>
      <c r="E7603" s="534">
        <v>1451.5166630000001</v>
      </c>
    </row>
    <row r="7604" spans="2:5" x14ac:dyDescent="0.2">
      <c r="B7604" s="533">
        <v>9622</v>
      </c>
      <c r="C7604" s="533" t="s">
        <v>6241</v>
      </c>
      <c r="D7604" s="656" t="s">
        <v>363</v>
      </c>
      <c r="E7604" s="534">
        <v>1250.616679</v>
      </c>
    </row>
    <row r="7605" spans="2:5" x14ac:dyDescent="0.2">
      <c r="B7605" s="533">
        <v>9623</v>
      </c>
      <c r="C7605" s="533" t="s">
        <v>6858</v>
      </c>
      <c r="D7605" s="656" t="s">
        <v>363</v>
      </c>
      <c r="E7605" s="534">
        <v>1224.833333</v>
      </c>
    </row>
    <row r="7606" spans="2:5" x14ac:dyDescent="0.2">
      <c r="B7606" s="533">
        <v>9624</v>
      </c>
      <c r="C7606" s="533" t="s">
        <v>6885</v>
      </c>
      <c r="D7606" s="656" t="s">
        <v>363</v>
      </c>
      <c r="E7606" s="534">
        <v>1178.4300049999999</v>
      </c>
    </row>
    <row r="7607" spans="2:5" x14ac:dyDescent="0.2">
      <c r="B7607" s="533">
        <v>9625</v>
      </c>
      <c r="C7607" s="533" t="s">
        <v>6888</v>
      </c>
      <c r="D7607" s="656" t="s">
        <v>363</v>
      </c>
      <c r="E7607" s="534">
        <v>1061.8000030000001</v>
      </c>
    </row>
    <row r="7608" spans="2:5" x14ac:dyDescent="0.2">
      <c r="B7608" s="533">
        <v>9626</v>
      </c>
      <c r="C7608" s="533" t="s">
        <v>6199</v>
      </c>
      <c r="D7608" s="656" t="s">
        <v>363</v>
      </c>
      <c r="E7608" s="534">
        <v>1204.7699950000001</v>
      </c>
    </row>
    <row r="7609" spans="2:5" x14ac:dyDescent="0.2">
      <c r="B7609" s="533">
        <v>9627</v>
      </c>
      <c r="C7609" s="533" t="s">
        <v>6001</v>
      </c>
      <c r="D7609" s="656" t="s">
        <v>363</v>
      </c>
      <c r="E7609" s="534">
        <v>1053.23334</v>
      </c>
    </row>
    <row r="7610" spans="2:5" x14ac:dyDescent="0.2">
      <c r="B7610" s="533">
        <v>9628</v>
      </c>
      <c r="C7610" s="533" t="s">
        <v>6088</v>
      </c>
      <c r="D7610" s="656" t="s">
        <v>363</v>
      </c>
      <c r="E7610" s="534">
        <v>1112.3000079999999</v>
      </c>
    </row>
    <row r="7611" spans="2:5" x14ac:dyDescent="0.2">
      <c r="B7611" s="533">
        <v>9629</v>
      </c>
      <c r="C7611" s="533" t="s">
        <v>4006</v>
      </c>
      <c r="D7611" s="656" t="s">
        <v>363</v>
      </c>
      <c r="E7611" s="534">
        <v>1042.4800290000001</v>
      </c>
    </row>
    <row r="7612" spans="2:5" x14ac:dyDescent="0.2">
      <c r="B7612" s="533">
        <v>9631</v>
      </c>
      <c r="C7612" s="533" t="s">
        <v>6157</v>
      </c>
      <c r="D7612" s="656" t="s">
        <v>363</v>
      </c>
      <c r="E7612" s="534">
        <v>1167.1249849999999</v>
      </c>
    </row>
    <row r="7613" spans="2:5" x14ac:dyDescent="0.2">
      <c r="B7613" s="533">
        <v>9632</v>
      </c>
      <c r="C7613" s="533" t="s">
        <v>6130</v>
      </c>
      <c r="D7613" s="656" t="s">
        <v>363</v>
      </c>
      <c r="E7613" s="534">
        <v>1149.257167</v>
      </c>
    </row>
    <row r="7614" spans="2:5" x14ac:dyDescent="0.2">
      <c r="B7614" s="533">
        <v>9633</v>
      </c>
      <c r="C7614" s="533" t="s">
        <v>6297</v>
      </c>
      <c r="D7614" s="656" t="s">
        <v>363</v>
      </c>
      <c r="E7614" s="534">
        <v>1370.9888780000001</v>
      </c>
    </row>
    <row r="7615" spans="2:5" x14ac:dyDescent="0.2">
      <c r="B7615" s="533">
        <v>9634</v>
      </c>
      <c r="C7615" s="533" t="s">
        <v>6986</v>
      </c>
      <c r="D7615" s="656" t="s">
        <v>363</v>
      </c>
      <c r="E7615" s="534">
        <v>992.28750200000002</v>
      </c>
    </row>
    <row r="7616" spans="2:5" x14ac:dyDescent="0.2">
      <c r="B7616" s="533">
        <v>9635</v>
      </c>
      <c r="C7616" s="533" t="s">
        <v>7005</v>
      </c>
      <c r="D7616" s="656" t="s">
        <v>363</v>
      </c>
      <c r="E7616" s="534">
        <v>1357.1800049999999</v>
      </c>
    </row>
    <row r="7617" spans="2:5" x14ac:dyDescent="0.2">
      <c r="B7617" s="533">
        <v>9636</v>
      </c>
      <c r="C7617" s="533" t="s">
        <v>7008</v>
      </c>
      <c r="D7617" s="656" t="s">
        <v>363</v>
      </c>
      <c r="E7617" s="534">
        <v>1022.568745</v>
      </c>
    </row>
    <row r="7618" spans="2:5" x14ac:dyDescent="0.2">
      <c r="B7618" s="533">
        <v>9638</v>
      </c>
      <c r="C7618" s="533" t="s">
        <v>7025</v>
      </c>
      <c r="D7618" s="656" t="s">
        <v>363</v>
      </c>
      <c r="E7618" s="534">
        <v>1132.277785</v>
      </c>
    </row>
    <row r="7619" spans="2:5" x14ac:dyDescent="0.2">
      <c r="B7619" s="533">
        <v>9639</v>
      </c>
      <c r="C7619" s="533" t="s">
        <v>6441</v>
      </c>
      <c r="D7619" s="656" t="s">
        <v>363</v>
      </c>
      <c r="E7619" s="534">
        <v>1945.640005</v>
      </c>
    </row>
    <row r="7620" spans="2:5" x14ac:dyDescent="0.2">
      <c r="B7620" s="533">
        <v>9640</v>
      </c>
      <c r="C7620" s="533" t="s">
        <v>5882</v>
      </c>
      <c r="D7620" s="656" t="s">
        <v>363</v>
      </c>
      <c r="E7620" s="534">
        <v>995.48260000000005</v>
      </c>
    </row>
    <row r="7621" spans="2:5" x14ac:dyDescent="0.2">
      <c r="B7621" s="533">
        <v>9641</v>
      </c>
      <c r="C7621" s="533" t="s">
        <v>5913</v>
      </c>
      <c r="D7621" s="656" t="s">
        <v>363</v>
      </c>
      <c r="E7621" s="534">
        <v>1011.1</v>
      </c>
    </row>
    <row r="7622" spans="2:5" x14ac:dyDescent="0.2">
      <c r="B7622" s="533">
        <v>9642</v>
      </c>
      <c r="C7622" s="533" t="s">
        <v>6319</v>
      </c>
      <c r="D7622" s="656" t="s">
        <v>363</v>
      </c>
      <c r="E7622" s="534">
        <v>1441.2468719999999</v>
      </c>
    </row>
    <row r="7623" spans="2:5" x14ac:dyDescent="0.2">
      <c r="B7623" s="533">
        <v>9643</v>
      </c>
      <c r="C7623" s="533" t="s">
        <v>6034</v>
      </c>
      <c r="D7623" s="656" t="s">
        <v>363</v>
      </c>
      <c r="E7623" s="534">
        <v>1076.3428610000001</v>
      </c>
    </row>
    <row r="7624" spans="2:5" x14ac:dyDescent="0.2">
      <c r="B7624" s="533">
        <v>9644</v>
      </c>
      <c r="C7624" s="533" t="s">
        <v>5963</v>
      </c>
      <c r="D7624" s="656" t="s">
        <v>363</v>
      </c>
      <c r="E7624" s="534">
        <v>1036.2222220000001</v>
      </c>
    </row>
    <row r="7625" spans="2:5" x14ac:dyDescent="0.2">
      <c r="B7625" s="533">
        <v>9645</v>
      </c>
      <c r="C7625" s="533" t="s">
        <v>1260</v>
      </c>
      <c r="D7625" s="656" t="s">
        <v>363</v>
      </c>
      <c r="E7625" s="534">
        <v>1250.8499959999999</v>
      </c>
    </row>
    <row r="7626" spans="2:5" x14ac:dyDescent="0.2">
      <c r="B7626" s="533">
        <v>9646</v>
      </c>
      <c r="C7626" s="533" t="s">
        <v>6178</v>
      </c>
      <c r="D7626" s="656" t="s">
        <v>363</v>
      </c>
      <c r="E7626" s="534">
        <v>1187.318182</v>
      </c>
    </row>
    <row r="7627" spans="2:5" x14ac:dyDescent="0.2">
      <c r="B7627" s="533">
        <v>9647</v>
      </c>
      <c r="C7627" s="533" t="s">
        <v>5958</v>
      </c>
      <c r="D7627" s="656" t="s">
        <v>363</v>
      </c>
      <c r="E7627" s="534">
        <v>1034.961127</v>
      </c>
    </row>
    <row r="7628" spans="2:5" x14ac:dyDescent="0.2">
      <c r="B7628" s="533">
        <v>9648</v>
      </c>
      <c r="C7628" s="533" t="s">
        <v>5962</v>
      </c>
      <c r="D7628" s="656" t="s">
        <v>363</v>
      </c>
      <c r="E7628" s="534">
        <v>1035.870007</v>
      </c>
    </row>
    <row r="7629" spans="2:5" x14ac:dyDescent="0.2">
      <c r="B7629" s="533">
        <v>9649</v>
      </c>
      <c r="C7629" s="533" t="s">
        <v>6162</v>
      </c>
      <c r="D7629" s="656" t="s">
        <v>363</v>
      </c>
      <c r="E7629" s="534">
        <v>1173.742833</v>
      </c>
    </row>
    <row r="7630" spans="2:5" x14ac:dyDescent="0.2">
      <c r="B7630" s="533">
        <v>9650</v>
      </c>
      <c r="C7630" s="533" t="s">
        <v>5944</v>
      </c>
      <c r="D7630" s="656" t="s">
        <v>363</v>
      </c>
      <c r="E7630" s="534">
        <v>1033.3000079999999</v>
      </c>
    </row>
    <row r="7631" spans="2:5" x14ac:dyDescent="0.2">
      <c r="B7631" s="533">
        <v>9651</v>
      </c>
      <c r="C7631" s="533" t="s">
        <v>6127</v>
      </c>
      <c r="D7631" s="656" t="s">
        <v>363</v>
      </c>
      <c r="E7631" s="534">
        <v>1148.2199949999999</v>
      </c>
    </row>
    <row r="7632" spans="2:5" x14ac:dyDescent="0.2">
      <c r="B7632" s="533">
        <v>9652</v>
      </c>
      <c r="C7632" s="533" t="s">
        <v>6240</v>
      </c>
      <c r="D7632" s="656" t="s">
        <v>363</v>
      </c>
      <c r="E7632" s="534">
        <v>1249.837509</v>
      </c>
    </row>
    <row r="7633" spans="2:5" x14ac:dyDescent="0.2">
      <c r="B7633" s="533">
        <v>9653</v>
      </c>
      <c r="C7633" s="533" t="s">
        <v>6391</v>
      </c>
      <c r="D7633" s="656" t="s">
        <v>363</v>
      </c>
      <c r="E7633" s="534">
        <v>1657.2384689999999</v>
      </c>
    </row>
    <row r="7634" spans="2:5" x14ac:dyDescent="0.2">
      <c r="B7634" s="533">
        <v>9654</v>
      </c>
      <c r="C7634" s="533" t="s">
        <v>6274</v>
      </c>
      <c r="D7634" s="656" t="s">
        <v>363</v>
      </c>
      <c r="E7634" s="534">
        <v>1329.0916649999999</v>
      </c>
    </row>
    <row r="7635" spans="2:5" x14ac:dyDescent="0.2">
      <c r="B7635" s="533">
        <v>9655</v>
      </c>
      <c r="C7635" s="533" t="s">
        <v>7252</v>
      </c>
      <c r="D7635" s="656" t="s">
        <v>363</v>
      </c>
      <c r="E7635" s="534">
        <v>1374.960879</v>
      </c>
    </row>
    <row r="7636" spans="2:5" x14ac:dyDescent="0.2">
      <c r="B7636" s="533">
        <v>9656</v>
      </c>
      <c r="C7636" s="533" t="s">
        <v>6287</v>
      </c>
      <c r="D7636" s="656" t="s">
        <v>363</v>
      </c>
      <c r="E7636" s="534">
        <v>1343.7749960000001</v>
      </c>
    </row>
    <row r="7637" spans="2:5" x14ac:dyDescent="0.2">
      <c r="B7637" s="533">
        <v>9657</v>
      </c>
      <c r="C7637" s="533" t="s">
        <v>6024</v>
      </c>
      <c r="D7637" s="656" t="s">
        <v>363</v>
      </c>
      <c r="E7637" s="534">
        <v>1068.98928</v>
      </c>
    </row>
    <row r="7638" spans="2:5" x14ac:dyDescent="0.2">
      <c r="B7638" s="533">
        <v>9658</v>
      </c>
      <c r="C7638" s="533" t="s">
        <v>2070</v>
      </c>
      <c r="D7638" s="656" t="s">
        <v>363</v>
      </c>
      <c r="E7638" s="534">
        <v>1141.583333</v>
      </c>
    </row>
    <row r="7639" spans="2:5" x14ac:dyDescent="0.2">
      <c r="B7639" s="533">
        <v>9659</v>
      </c>
      <c r="C7639" s="533" t="s">
        <v>6235</v>
      </c>
      <c r="D7639" s="656" t="s">
        <v>363</v>
      </c>
      <c r="E7639" s="534">
        <v>1244.436379</v>
      </c>
    </row>
    <row r="7640" spans="2:5" x14ac:dyDescent="0.2">
      <c r="B7640" s="533">
        <v>9660</v>
      </c>
      <c r="C7640" s="533" t="s">
        <v>6251</v>
      </c>
      <c r="D7640" s="656" t="s">
        <v>363</v>
      </c>
      <c r="E7640" s="534">
        <v>1280.136364</v>
      </c>
    </row>
    <row r="7641" spans="2:5" x14ac:dyDescent="0.2">
      <c r="B7641" s="533">
        <v>9661</v>
      </c>
      <c r="C7641" s="533" t="s">
        <v>6114</v>
      </c>
      <c r="D7641" s="656" t="s">
        <v>363</v>
      </c>
      <c r="E7641" s="534">
        <v>1137.4312359999999</v>
      </c>
    </row>
    <row r="7642" spans="2:5" x14ac:dyDescent="0.2">
      <c r="B7642" s="533">
        <v>9662</v>
      </c>
      <c r="C7642" s="533" t="s">
        <v>6129</v>
      </c>
      <c r="D7642" s="656" t="s">
        <v>363</v>
      </c>
      <c r="E7642" s="534">
        <v>1148.9571530000001</v>
      </c>
    </row>
    <row r="7643" spans="2:5" x14ac:dyDescent="0.2">
      <c r="B7643" s="533">
        <v>9663</v>
      </c>
      <c r="C7643" s="533" t="s">
        <v>6112</v>
      </c>
      <c r="D7643" s="656" t="s">
        <v>363</v>
      </c>
      <c r="E7643" s="534">
        <v>1136.4750369999999</v>
      </c>
    </row>
    <row r="7644" spans="2:5" x14ac:dyDescent="0.2">
      <c r="B7644" s="533">
        <v>9664</v>
      </c>
      <c r="C7644" s="533" t="s">
        <v>6237</v>
      </c>
      <c r="D7644" s="656" t="s">
        <v>363</v>
      </c>
      <c r="E7644" s="534">
        <v>1247.8363589999999</v>
      </c>
    </row>
    <row r="7645" spans="2:5" x14ac:dyDescent="0.2">
      <c r="B7645" s="533">
        <v>9665</v>
      </c>
      <c r="C7645" s="533" t="s">
        <v>6212</v>
      </c>
      <c r="D7645" s="656" t="s">
        <v>363</v>
      </c>
      <c r="E7645" s="534">
        <v>1220.883321</v>
      </c>
    </row>
    <row r="7646" spans="2:5" x14ac:dyDescent="0.2">
      <c r="B7646" s="533">
        <v>9666</v>
      </c>
      <c r="C7646" s="533" t="s">
        <v>6198</v>
      </c>
      <c r="D7646" s="656" t="s">
        <v>363</v>
      </c>
      <c r="E7646" s="534">
        <v>1203.4812549999999</v>
      </c>
    </row>
    <row r="7647" spans="2:5" x14ac:dyDescent="0.2">
      <c r="B7647" s="533">
        <v>9667</v>
      </c>
      <c r="C7647" s="533" t="s">
        <v>363</v>
      </c>
      <c r="D7647" s="656" t="s">
        <v>363</v>
      </c>
      <c r="E7647" s="534">
        <v>1070.1272750000001</v>
      </c>
    </row>
    <row r="7648" spans="2:5" x14ac:dyDescent="0.2">
      <c r="B7648" s="533">
        <v>9668</v>
      </c>
      <c r="C7648" s="533" t="s">
        <v>7374</v>
      </c>
      <c r="D7648" s="656" t="s">
        <v>363</v>
      </c>
      <c r="E7648" s="534">
        <v>1348.4125059999999</v>
      </c>
    </row>
    <row r="7649" spans="2:5" x14ac:dyDescent="0.2">
      <c r="B7649" s="533">
        <v>9669</v>
      </c>
      <c r="C7649" s="533" t="s">
        <v>7387</v>
      </c>
      <c r="D7649" s="656" t="s">
        <v>363</v>
      </c>
      <c r="E7649" s="534">
        <v>1033.1667070000001</v>
      </c>
    </row>
    <row r="7650" spans="2:5" x14ac:dyDescent="0.2">
      <c r="B7650" s="533">
        <v>9670</v>
      </c>
      <c r="C7650" s="533" t="s">
        <v>6453</v>
      </c>
      <c r="D7650" s="656" t="s">
        <v>363</v>
      </c>
      <c r="E7650" s="534">
        <v>2106.2085729999999</v>
      </c>
    </row>
    <row r="7651" spans="2:5" x14ac:dyDescent="0.2">
      <c r="B7651" s="533">
        <v>9671</v>
      </c>
      <c r="C7651" s="533" t="s">
        <v>7461</v>
      </c>
      <c r="D7651" s="656" t="s">
        <v>363</v>
      </c>
      <c r="E7651" s="534">
        <v>1081.5703739999999</v>
      </c>
    </row>
    <row r="7652" spans="2:5" x14ac:dyDescent="0.2">
      <c r="B7652" s="533">
        <v>9672</v>
      </c>
      <c r="C7652" s="533" t="s">
        <v>7464</v>
      </c>
      <c r="D7652" s="656" t="s">
        <v>363</v>
      </c>
      <c r="E7652" s="534">
        <v>1329.7</v>
      </c>
    </row>
    <row r="7653" spans="2:5" x14ac:dyDescent="0.2">
      <c r="B7653" s="533">
        <v>9673</v>
      </c>
      <c r="C7653" s="533" t="s">
        <v>4549</v>
      </c>
      <c r="D7653" s="656" t="s">
        <v>363</v>
      </c>
      <c r="E7653" s="534">
        <v>1482.400009</v>
      </c>
    </row>
    <row r="7654" spans="2:5" x14ac:dyDescent="0.2">
      <c r="B7654" s="533">
        <v>9674</v>
      </c>
      <c r="C7654" s="533" t="s">
        <v>6146</v>
      </c>
      <c r="D7654" s="656" t="s">
        <v>363</v>
      </c>
      <c r="E7654" s="534">
        <v>1156.180636</v>
      </c>
    </row>
    <row r="7655" spans="2:5" x14ac:dyDescent="0.2">
      <c r="B7655" s="533">
        <v>9675</v>
      </c>
      <c r="C7655" s="533" t="s">
        <v>5988</v>
      </c>
      <c r="D7655" s="656" t="s">
        <v>363</v>
      </c>
      <c r="E7655" s="534">
        <v>1045.2700010000001</v>
      </c>
    </row>
    <row r="7656" spans="2:5" x14ac:dyDescent="0.2">
      <c r="B7656" s="533">
        <v>9676</v>
      </c>
      <c r="C7656" s="533" t="s">
        <v>7518</v>
      </c>
      <c r="D7656" s="656" t="s">
        <v>363</v>
      </c>
      <c r="E7656" s="534">
        <v>1483.4222139999999</v>
      </c>
    </row>
    <row r="7657" spans="2:5" x14ac:dyDescent="0.2">
      <c r="B7657" s="533">
        <v>9677</v>
      </c>
      <c r="C7657" s="533" t="s">
        <v>5902</v>
      </c>
      <c r="D7657" s="656" t="s">
        <v>363</v>
      </c>
      <c r="E7657" s="534">
        <v>1005.995461</v>
      </c>
    </row>
    <row r="7658" spans="2:5" x14ac:dyDescent="0.2">
      <c r="B7658" s="533">
        <v>9678</v>
      </c>
      <c r="C7658" s="533" t="s">
        <v>6320</v>
      </c>
      <c r="D7658" s="656" t="s">
        <v>363</v>
      </c>
      <c r="E7658" s="534">
        <v>1445.5571640000001</v>
      </c>
    </row>
    <row r="7659" spans="2:5" x14ac:dyDescent="0.2">
      <c r="B7659" s="533">
        <v>9679</v>
      </c>
      <c r="C7659" s="533" t="s">
        <v>6063</v>
      </c>
      <c r="D7659" s="656" t="s">
        <v>363</v>
      </c>
      <c r="E7659" s="534">
        <v>1093.7349979999999</v>
      </c>
    </row>
    <row r="7660" spans="2:5" x14ac:dyDescent="0.2">
      <c r="B7660" s="533">
        <v>9680</v>
      </c>
      <c r="C7660" s="533" t="s">
        <v>5910</v>
      </c>
      <c r="D7660" s="656" t="s">
        <v>363</v>
      </c>
      <c r="E7660" s="534">
        <v>1008.329405</v>
      </c>
    </row>
    <row r="7661" spans="2:5" x14ac:dyDescent="0.2">
      <c r="B7661" s="533">
        <v>9681</v>
      </c>
      <c r="C7661" s="533" t="s">
        <v>6009</v>
      </c>
      <c r="D7661" s="656" t="s">
        <v>363</v>
      </c>
      <c r="E7661" s="534">
        <v>1056.208333</v>
      </c>
    </row>
    <row r="7662" spans="2:5" x14ac:dyDescent="0.2">
      <c r="B7662" s="533">
        <v>9682</v>
      </c>
      <c r="C7662" s="533" t="s">
        <v>6139</v>
      </c>
      <c r="D7662" s="656" t="s">
        <v>363</v>
      </c>
      <c r="E7662" s="534">
        <v>1152.6555450000001</v>
      </c>
    </row>
    <row r="7663" spans="2:5" x14ac:dyDescent="0.2">
      <c r="B7663" s="533">
        <v>9683</v>
      </c>
      <c r="C7663" s="533" t="s">
        <v>6291</v>
      </c>
      <c r="D7663" s="656" t="s">
        <v>363</v>
      </c>
      <c r="E7663" s="534">
        <v>1351.8154019999999</v>
      </c>
    </row>
    <row r="7664" spans="2:5" x14ac:dyDescent="0.2">
      <c r="B7664" s="533">
        <v>9684</v>
      </c>
      <c r="C7664" s="533" t="s">
        <v>5936</v>
      </c>
      <c r="D7664" s="656" t="s">
        <v>363</v>
      </c>
      <c r="E7664" s="534">
        <v>1024.157148</v>
      </c>
    </row>
    <row r="7665" spans="2:5" x14ac:dyDescent="0.2">
      <c r="B7665" s="533">
        <v>9685</v>
      </c>
      <c r="C7665" s="533" t="s">
        <v>5919</v>
      </c>
      <c r="D7665" s="656" t="s">
        <v>363</v>
      </c>
      <c r="E7665" s="534">
        <v>1013.933322</v>
      </c>
    </row>
    <row r="7666" spans="2:5" x14ac:dyDescent="0.2">
      <c r="B7666" s="533">
        <v>9701</v>
      </c>
      <c r="C7666" s="533" t="s">
        <v>5954</v>
      </c>
      <c r="D7666" s="656" t="s">
        <v>381</v>
      </c>
      <c r="E7666" s="534">
        <v>1033.8333540000001</v>
      </c>
    </row>
    <row r="7667" spans="2:5" x14ac:dyDescent="0.2">
      <c r="B7667" s="533">
        <v>9702</v>
      </c>
      <c r="C7667" s="533" t="s">
        <v>6879</v>
      </c>
      <c r="D7667" s="656" t="s">
        <v>381</v>
      </c>
      <c r="E7667" s="534">
        <v>1029.0250140000001</v>
      </c>
    </row>
    <row r="7668" spans="2:5" x14ac:dyDescent="0.2">
      <c r="B7668" s="533">
        <v>9703</v>
      </c>
      <c r="C7668" s="533" t="s">
        <v>5851</v>
      </c>
      <c r="D7668" s="656" t="s">
        <v>381</v>
      </c>
      <c r="E7668" s="534">
        <v>985.80908799999997</v>
      </c>
    </row>
    <row r="7669" spans="2:5" x14ac:dyDescent="0.2">
      <c r="B7669" s="533">
        <v>9706</v>
      </c>
      <c r="C7669" s="533" t="s">
        <v>5696</v>
      </c>
      <c r="D7669" s="656" t="s">
        <v>381</v>
      </c>
      <c r="E7669" s="534">
        <v>940.20001200000002</v>
      </c>
    </row>
    <row r="7670" spans="2:5" x14ac:dyDescent="0.2">
      <c r="B7670" s="533">
        <v>9707</v>
      </c>
      <c r="C7670" s="533" t="s">
        <v>1996</v>
      </c>
      <c r="D7670" s="656" t="s">
        <v>381</v>
      </c>
      <c r="E7670" s="534">
        <v>1003.477783</v>
      </c>
    </row>
    <row r="7671" spans="2:5" x14ac:dyDescent="0.2">
      <c r="B7671" s="533">
        <v>9708</v>
      </c>
      <c r="C7671" s="533" t="s">
        <v>2758</v>
      </c>
      <c r="D7671" s="656" t="s">
        <v>381</v>
      </c>
      <c r="E7671" s="534">
        <v>946.63748899999996</v>
      </c>
    </row>
    <row r="7672" spans="2:5" x14ac:dyDescent="0.2">
      <c r="B7672" s="533">
        <v>9709</v>
      </c>
      <c r="C7672" s="533" t="s">
        <v>5595</v>
      </c>
      <c r="D7672" s="656" t="s">
        <v>381</v>
      </c>
      <c r="E7672" s="534">
        <v>912.52220999999997</v>
      </c>
    </row>
    <row r="7673" spans="2:5" x14ac:dyDescent="0.2">
      <c r="B7673" s="533">
        <v>9711</v>
      </c>
      <c r="C7673" s="533" t="s">
        <v>3599</v>
      </c>
      <c r="D7673" s="656" t="s">
        <v>381</v>
      </c>
      <c r="E7673" s="534">
        <v>964.97501399999999</v>
      </c>
    </row>
    <row r="7674" spans="2:5" x14ac:dyDescent="0.2">
      <c r="B7674" s="533">
        <v>9712</v>
      </c>
      <c r="C7674" s="533" t="s">
        <v>6755</v>
      </c>
      <c r="D7674" s="656" t="s">
        <v>381</v>
      </c>
      <c r="E7674" s="534">
        <v>967.21111399999995</v>
      </c>
    </row>
    <row r="7675" spans="2:5" x14ac:dyDescent="0.2">
      <c r="B7675" s="533">
        <v>9713</v>
      </c>
      <c r="C7675" s="533" t="s">
        <v>2696</v>
      </c>
      <c r="D7675" s="656" t="s">
        <v>381</v>
      </c>
      <c r="E7675" s="534">
        <v>993.29999499999997</v>
      </c>
    </row>
    <row r="7676" spans="2:5" x14ac:dyDescent="0.2">
      <c r="B7676" s="533">
        <v>9716</v>
      </c>
      <c r="C7676" s="533" t="s">
        <v>5521</v>
      </c>
      <c r="D7676" s="656" t="s">
        <v>381</v>
      </c>
      <c r="E7676" s="534">
        <v>900.99230499999999</v>
      </c>
    </row>
    <row r="7677" spans="2:5" x14ac:dyDescent="0.2">
      <c r="B7677" s="533">
        <v>9717</v>
      </c>
      <c r="C7677" s="533" t="s">
        <v>5699</v>
      </c>
      <c r="D7677" s="656" t="s">
        <v>381</v>
      </c>
      <c r="E7677" s="534">
        <v>941.56000400000005</v>
      </c>
    </row>
    <row r="7678" spans="2:5" x14ac:dyDescent="0.2">
      <c r="B7678" s="533">
        <v>9718</v>
      </c>
      <c r="C7678" s="533" t="s">
        <v>5600</v>
      </c>
      <c r="D7678" s="656" t="s">
        <v>381</v>
      </c>
      <c r="E7678" s="534">
        <v>914.34286099999997</v>
      </c>
    </row>
    <row r="7679" spans="2:5" x14ac:dyDescent="0.2">
      <c r="B7679" s="533">
        <v>9721</v>
      </c>
      <c r="C7679" s="533" t="s">
        <v>5097</v>
      </c>
      <c r="D7679" s="656" t="s">
        <v>381</v>
      </c>
      <c r="E7679" s="534">
        <v>833.90002400000003</v>
      </c>
    </row>
    <row r="7680" spans="2:5" x14ac:dyDescent="0.2">
      <c r="B7680" s="533">
        <v>9722</v>
      </c>
      <c r="C7680" s="533" t="s">
        <v>5529</v>
      </c>
      <c r="D7680" s="656" t="s">
        <v>381</v>
      </c>
      <c r="E7680" s="534">
        <v>901.69230800000003</v>
      </c>
    </row>
    <row r="7681" spans="2:5" x14ac:dyDescent="0.2">
      <c r="B7681" s="533">
        <v>9723</v>
      </c>
      <c r="C7681" s="533" t="s">
        <v>5416</v>
      </c>
      <c r="D7681" s="656" t="s">
        <v>381</v>
      </c>
      <c r="E7681" s="534">
        <v>883.71110699999997</v>
      </c>
    </row>
    <row r="7682" spans="2:5" x14ac:dyDescent="0.2">
      <c r="B7682" s="533">
        <v>9724</v>
      </c>
      <c r="C7682" s="533" t="s">
        <v>5110</v>
      </c>
      <c r="D7682" s="656" t="s">
        <v>381</v>
      </c>
      <c r="E7682" s="534">
        <v>835.26666299999999</v>
      </c>
    </row>
    <row r="7683" spans="2:5" x14ac:dyDescent="0.2">
      <c r="B7683" s="533">
        <v>9725</v>
      </c>
      <c r="C7683" s="533" t="s">
        <v>5426</v>
      </c>
      <c r="D7683" s="656" t="s">
        <v>381</v>
      </c>
      <c r="E7683" s="534">
        <v>884.96666800000003</v>
      </c>
    </row>
    <row r="7684" spans="2:5" x14ac:dyDescent="0.2">
      <c r="B7684" s="533">
        <v>9726</v>
      </c>
      <c r="C7684" s="533" t="s">
        <v>5625</v>
      </c>
      <c r="D7684" s="656" t="s">
        <v>381</v>
      </c>
      <c r="E7684" s="534">
        <v>919.885716</v>
      </c>
    </row>
    <row r="7685" spans="2:5" x14ac:dyDescent="0.2">
      <c r="B7685" s="533">
        <v>9727</v>
      </c>
      <c r="C7685" s="533" t="s">
        <v>5694</v>
      </c>
      <c r="D7685" s="656" t="s">
        <v>381</v>
      </c>
      <c r="E7685" s="534">
        <v>939.67142999999999</v>
      </c>
    </row>
    <row r="7686" spans="2:5" x14ac:dyDescent="0.2">
      <c r="B7686" s="533">
        <v>9732</v>
      </c>
      <c r="C7686" s="533" t="s">
        <v>1454</v>
      </c>
      <c r="D7686" s="656" t="s">
        <v>381</v>
      </c>
      <c r="E7686" s="534">
        <v>932.23331700000006</v>
      </c>
    </row>
    <row r="7687" spans="2:5" x14ac:dyDescent="0.2">
      <c r="B7687" s="533">
        <v>9733</v>
      </c>
      <c r="C7687" s="533" t="s">
        <v>3614</v>
      </c>
      <c r="D7687" s="656" t="s">
        <v>381</v>
      </c>
      <c r="E7687" s="534">
        <v>922.13334099999997</v>
      </c>
    </row>
    <row r="7688" spans="2:5" x14ac:dyDescent="0.2">
      <c r="B7688" s="533">
        <v>9734</v>
      </c>
      <c r="C7688" s="533" t="s">
        <v>5479</v>
      </c>
      <c r="D7688" s="656" t="s">
        <v>381</v>
      </c>
      <c r="E7688" s="534">
        <v>894.014274</v>
      </c>
    </row>
    <row r="7689" spans="2:5" x14ac:dyDescent="0.2">
      <c r="B7689" s="533">
        <v>9735</v>
      </c>
      <c r="C7689" s="533" t="s">
        <v>6930</v>
      </c>
      <c r="D7689" s="656" t="s">
        <v>381</v>
      </c>
      <c r="E7689" s="534">
        <v>899.77273300000002</v>
      </c>
    </row>
    <row r="7690" spans="2:5" x14ac:dyDescent="0.2">
      <c r="B7690" s="533">
        <v>9736</v>
      </c>
      <c r="C7690" s="533" t="s">
        <v>5789</v>
      </c>
      <c r="D7690" s="656" t="s">
        <v>363</v>
      </c>
      <c r="E7690" s="534">
        <v>965.23333700000001</v>
      </c>
    </row>
    <row r="7691" spans="2:5" x14ac:dyDescent="0.2">
      <c r="B7691" s="533">
        <v>9737</v>
      </c>
      <c r="C7691" s="533" t="s">
        <v>5782</v>
      </c>
      <c r="D7691" s="656" t="s">
        <v>363</v>
      </c>
      <c r="E7691" s="534">
        <v>963.89090799999997</v>
      </c>
    </row>
    <row r="7692" spans="2:5" x14ac:dyDescent="0.2">
      <c r="B7692" s="533">
        <v>9738</v>
      </c>
      <c r="C7692" s="533" t="s">
        <v>5765</v>
      </c>
      <c r="D7692" s="656" t="s">
        <v>363</v>
      </c>
      <c r="E7692" s="534">
        <v>959.85555699999998</v>
      </c>
    </row>
    <row r="7693" spans="2:5" x14ac:dyDescent="0.2">
      <c r="B7693" s="533">
        <v>9739</v>
      </c>
      <c r="C7693" s="533" t="s">
        <v>5769</v>
      </c>
      <c r="D7693" s="656" t="s">
        <v>363</v>
      </c>
      <c r="E7693" s="534">
        <v>960.911112</v>
      </c>
    </row>
    <row r="7694" spans="2:5" x14ac:dyDescent="0.2">
      <c r="B7694" s="533">
        <v>9740</v>
      </c>
      <c r="C7694" s="533" t="s">
        <v>1488</v>
      </c>
      <c r="D7694" s="656" t="s">
        <v>363</v>
      </c>
      <c r="E7694" s="534">
        <v>968.79999699999996</v>
      </c>
    </row>
    <row r="7695" spans="2:5" x14ac:dyDescent="0.2">
      <c r="B7695" s="533">
        <v>9741</v>
      </c>
      <c r="C7695" s="533" t="s">
        <v>5791</v>
      </c>
      <c r="D7695" s="656" t="s">
        <v>363</v>
      </c>
      <c r="E7695" s="534">
        <v>965.63750500000003</v>
      </c>
    </row>
    <row r="7696" spans="2:5" x14ac:dyDescent="0.2">
      <c r="B7696" s="533">
        <v>9742</v>
      </c>
      <c r="C7696" s="533" t="s">
        <v>5863</v>
      </c>
      <c r="D7696" s="656" t="s">
        <v>363</v>
      </c>
      <c r="E7696" s="534">
        <v>987.98749499999997</v>
      </c>
    </row>
    <row r="7697" spans="2:5" x14ac:dyDescent="0.2">
      <c r="B7697" s="533">
        <v>9746</v>
      </c>
      <c r="C7697" s="533" t="s">
        <v>5839</v>
      </c>
      <c r="D7697" s="656" t="s">
        <v>363</v>
      </c>
      <c r="E7697" s="534">
        <v>981.04286400000001</v>
      </c>
    </row>
    <row r="7698" spans="2:5" x14ac:dyDescent="0.2">
      <c r="B7698" s="533">
        <v>9747</v>
      </c>
      <c r="C7698" s="533" t="s">
        <v>1314</v>
      </c>
      <c r="D7698" s="656" t="s">
        <v>363</v>
      </c>
      <c r="E7698" s="534">
        <v>968.89999</v>
      </c>
    </row>
    <row r="7699" spans="2:5" x14ac:dyDescent="0.2">
      <c r="B7699" s="533">
        <v>9748</v>
      </c>
      <c r="C7699" s="533" t="s">
        <v>5816</v>
      </c>
      <c r="D7699" s="656" t="s">
        <v>363</v>
      </c>
      <c r="E7699" s="534">
        <v>973.87273600000003</v>
      </c>
    </row>
    <row r="7700" spans="2:5" x14ac:dyDescent="0.2">
      <c r="B7700" s="533">
        <v>9749</v>
      </c>
      <c r="C7700" s="533" t="s">
        <v>5790</v>
      </c>
      <c r="D7700" s="656" t="s">
        <v>363</v>
      </c>
      <c r="E7700" s="534">
        <v>965.48571300000003</v>
      </c>
    </row>
    <row r="7701" spans="2:5" x14ac:dyDescent="0.2">
      <c r="B7701" s="533">
        <v>9751</v>
      </c>
      <c r="C7701" s="533" t="s">
        <v>5738</v>
      </c>
      <c r="D7701" s="656" t="s">
        <v>363</v>
      </c>
      <c r="E7701" s="534">
        <v>952.47777599999995</v>
      </c>
    </row>
    <row r="7702" spans="2:5" x14ac:dyDescent="0.2">
      <c r="B7702" s="533">
        <v>9752</v>
      </c>
      <c r="C7702" s="533" t="s">
        <v>2970</v>
      </c>
      <c r="D7702" s="656" t="s">
        <v>363</v>
      </c>
      <c r="E7702" s="534">
        <v>903.385716</v>
      </c>
    </row>
    <row r="7703" spans="2:5" x14ac:dyDescent="0.2">
      <c r="B7703" s="533">
        <v>9753</v>
      </c>
      <c r="C7703" s="533" t="s">
        <v>5727</v>
      </c>
      <c r="D7703" s="656" t="s">
        <v>363</v>
      </c>
      <c r="E7703" s="534">
        <v>949.9375</v>
      </c>
    </row>
    <row r="7704" spans="2:5" x14ac:dyDescent="0.2">
      <c r="B7704" s="533">
        <v>9756</v>
      </c>
      <c r="C7704" s="533" t="s">
        <v>5662</v>
      </c>
      <c r="D7704" s="656" t="s">
        <v>363</v>
      </c>
      <c r="E7704" s="534">
        <v>930.91000399999996</v>
      </c>
    </row>
    <row r="7705" spans="2:5" x14ac:dyDescent="0.2">
      <c r="B7705" s="533">
        <v>9757</v>
      </c>
      <c r="C7705" s="533" t="s">
        <v>1041</v>
      </c>
      <c r="D7705" s="656" t="s">
        <v>363</v>
      </c>
      <c r="E7705" s="534">
        <v>923.49999400000002</v>
      </c>
    </row>
    <row r="7706" spans="2:5" x14ac:dyDescent="0.2">
      <c r="B7706" s="533">
        <v>9758</v>
      </c>
      <c r="C7706" s="533" t="s">
        <v>5647</v>
      </c>
      <c r="D7706" s="656" t="s">
        <v>363</v>
      </c>
      <c r="E7706" s="534">
        <v>950.88888199999997</v>
      </c>
    </row>
    <row r="7707" spans="2:5" x14ac:dyDescent="0.2">
      <c r="B7707" s="533">
        <v>9760</v>
      </c>
      <c r="C7707" s="533" t="s">
        <v>5749</v>
      </c>
      <c r="D7707" s="656" t="s">
        <v>363</v>
      </c>
      <c r="E7707" s="534">
        <v>955.73331700000006</v>
      </c>
    </row>
    <row r="7708" spans="2:5" x14ac:dyDescent="0.2">
      <c r="B7708" s="533">
        <v>9762</v>
      </c>
      <c r="C7708" s="533" t="s">
        <v>5706</v>
      </c>
      <c r="D7708" s="656" t="s">
        <v>363</v>
      </c>
      <c r="E7708" s="534">
        <v>943.53636600000004</v>
      </c>
    </row>
    <row r="7709" spans="2:5" x14ac:dyDescent="0.2">
      <c r="B7709" s="533">
        <v>9763</v>
      </c>
      <c r="C7709" s="533" t="s">
        <v>5591</v>
      </c>
      <c r="D7709" s="656" t="s">
        <v>363</v>
      </c>
      <c r="E7709" s="534">
        <v>911.728568</v>
      </c>
    </row>
    <row r="7710" spans="2:5" x14ac:dyDescent="0.2">
      <c r="B7710" s="533">
        <v>9767</v>
      </c>
      <c r="C7710" s="533" t="s">
        <v>5840</v>
      </c>
      <c r="D7710" s="656" t="s">
        <v>363</v>
      </c>
      <c r="E7710" s="534">
        <v>981.44999700000005</v>
      </c>
    </row>
    <row r="7711" spans="2:5" x14ac:dyDescent="0.2">
      <c r="B7711" s="533">
        <v>9768</v>
      </c>
      <c r="C7711" s="533" t="s">
        <v>5890</v>
      </c>
      <c r="D7711" s="656" t="s">
        <v>363</v>
      </c>
      <c r="E7711" s="534">
        <v>997.94286199999999</v>
      </c>
    </row>
    <row r="7712" spans="2:5" x14ac:dyDescent="0.2">
      <c r="B7712" s="533">
        <v>9769</v>
      </c>
      <c r="C7712" s="533" t="s">
        <v>6505</v>
      </c>
      <c r="D7712" s="656" t="s">
        <v>363</v>
      </c>
      <c r="E7712" s="534">
        <v>963.240002</v>
      </c>
    </row>
    <row r="7713" spans="2:5" x14ac:dyDescent="0.2">
      <c r="B7713" s="533">
        <v>9770</v>
      </c>
      <c r="C7713" s="533" t="s">
        <v>4433</v>
      </c>
      <c r="D7713" s="656" t="s">
        <v>363</v>
      </c>
      <c r="E7713" s="534">
        <v>990.94999900000005</v>
      </c>
    </row>
    <row r="7714" spans="2:5" x14ac:dyDescent="0.2">
      <c r="B7714" s="533">
        <v>9771</v>
      </c>
      <c r="C7714" s="533" t="s">
        <v>5880</v>
      </c>
      <c r="D7714" s="656" t="s">
        <v>363</v>
      </c>
      <c r="E7714" s="534">
        <v>994.663635</v>
      </c>
    </row>
    <row r="7715" spans="2:5" x14ac:dyDescent="0.2">
      <c r="B7715" s="533">
        <v>9772</v>
      </c>
      <c r="C7715" s="533" t="s">
        <v>2099</v>
      </c>
      <c r="D7715" s="656" t="s">
        <v>363</v>
      </c>
      <c r="E7715" s="534">
        <v>954.92857100000003</v>
      </c>
    </row>
    <row r="7716" spans="2:5" x14ac:dyDescent="0.2">
      <c r="B7716" s="533">
        <v>9775</v>
      </c>
      <c r="C7716" s="533" t="s">
        <v>5926</v>
      </c>
      <c r="D7716" s="656" t="s">
        <v>363</v>
      </c>
      <c r="E7716" s="534">
        <v>1018</v>
      </c>
    </row>
    <row r="7717" spans="2:5" x14ac:dyDescent="0.2">
      <c r="B7717" s="533">
        <v>9776</v>
      </c>
      <c r="C7717" s="533" t="s">
        <v>6837</v>
      </c>
      <c r="D7717" s="656" t="s">
        <v>363</v>
      </c>
      <c r="E7717" s="534">
        <v>973.24374799999998</v>
      </c>
    </row>
    <row r="7718" spans="2:5" x14ac:dyDescent="0.2">
      <c r="B7718" s="533">
        <v>9777</v>
      </c>
      <c r="C7718" s="533" t="s">
        <v>5822</v>
      </c>
      <c r="D7718" s="656" t="s">
        <v>363</v>
      </c>
      <c r="E7718" s="534">
        <v>975.66666699999996</v>
      </c>
    </row>
    <row r="7719" spans="2:5" x14ac:dyDescent="0.2">
      <c r="B7719" s="533">
        <v>9778</v>
      </c>
      <c r="C7719" s="533" t="s">
        <v>1424</v>
      </c>
      <c r="D7719" s="656" t="s">
        <v>363</v>
      </c>
      <c r="E7719" s="534">
        <v>960.74285899999995</v>
      </c>
    </row>
    <row r="7720" spans="2:5" x14ac:dyDescent="0.2">
      <c r="B7720" s="533">
        <v>9781</v>
      </c>
      <c r="C7720" s="533" t="s">
        <v>5883</v>
      </c>
      <c r="D7720" s="656" t="s">
        <v>363</v>
      </c>
      <c r="E7720" s="534">
        <v>995.67498799999998</v>
      </c>
    </row>
    <row r="7721" spans="2:5" x14ac:dyDescent="0.2">
      <c r="B7721" s="533">
        <v>9782</v>
      </c>
      <c r="C7721" s="533" t="s">
        <v>5903</v>
      </c>
      <c r="D7721" s="656" t="s">
        <v>363</v>
      </c>
      <c r="E7721" s="534">
        <v>1006.119995</v>
      </c>
    </row>
    <row r="7722" spans="2:5" x14ac:dyDescent="0.2">
      <c r="B7722" s="533">
        <v>9786</v>
      </c>
      <c r="C7722" s="533" t="s">
        <v>5993</v>
      </c>
      <c r="D7722" s="656" t="s">
        <v>363</v>
      </c>
      <c r="E7722" s="534">
        <v>1048.9700009999999</v>
      </c>
    </row>
    <row r="7723" spans="2:5" x14ac:dyDescent="0.2">
      <c r="B7723" s="533">
        <v>9787</v>
      </c>
      <c r="C7723" s="533" t="s">
        <v>5838</v>
      </c>
      <c r="D7723" s="656" t="s">
        <v>363</v>
      </c>
      <c r="E7723" s="534">
        <v>980.70908399999996</v>
      </c>
    </row>
    <row r="7724" spans="2:5" x14ac:dyDescent="0.2">
      <c r="B7724" s="533">
        <v>9788</v>
      </c>
      <c r="C7724" s="533" t="s">
        <v>5837</v>
      </c>
      <c r="D7724" s="656" t="s">
        <v>363</v>
      </c>
      <c r="E7724" s="534">
        <v>980.67142200000001</v>
      </c>
    </row>
    <row r="7725" spans="2:5" x14ac:dyDescent="0.2">
      <c r="B7725" s="533">
        <v>9789</v>
      </c>
      <c r="C7725" s="533" t="s">
        <v>5952</v>
      </c>
      <c r="D7725" s="656" t="s">
        <v>363</v>
      </c>
      <c r="E7725" s="534">
        <v>1033.3583369999999</v>
      </c>
    </row>
    <row r="7726" spans="2:5" x14ac:dyDescent="0.2">
      <c r="B7726" s="533">
        <v>9801</v>
      </c>
      <c r="C7726" s="533" t="s">
        <v>5866</v>
      </c>
      <c r="D7726" s="656" t="s">
        <v>385</v>
      </c>
      <c r="E7726" s="534">
        <v>990.69032100000004</v>
      </c>
    </row>
    <row r="7727" spans="2:5" x14ac:dyDescent="0.2">
      <c r="B7727" s="533">
        <v>9802</v>
      </c>
      <c r="C7727" s="533" t="s">
        <v>5545</v>
      </c>
      <c r="D7727" s="656" t="s">
        <v>385</v>
      </c>
      <c r="E7727" s="534">
        <v>905.64374899999996</v>
      </c>
    </row>
    <row r="7728" spans="2:5" x14ac:dyDescent="0.2">
      <c r="B7728" s="533">
        <v>9803</v>
      </c>
      <c r="C7728" s="533" t="s">
        <v>7059</v>
      </c>
      <c r="D7728" s="656" t="s">
        <v>385</v>
      </c>
      <c r="E7728" s="534">
        <v>987.153324</v>
      </c>
    </row>
    <row r="7729" spans="2:5" x14ac:dyDescent="0.2">
      <c r="B7729" s="533">
        <v>9804</v>
      </c>
      <c r="C7729" s="533" t="s">
        <v>5621</v>
      </c>
      <c r="D7729" s="656" t="s">
        <v>385</v>
      </c>
      <c r="E7729" s="534">
        <v>919.41818000000001</v>
      </c>
    </row>
    <row r="7730" spans="2:5" x14ac:dyDescent="0.2">
      <c r="B7730" s="533">
        <v>9805</v>
      </c>
      <c r="C7730" s="533" t="s">
        <v>5515</v>
      </c>
      <c r="D7730" s="656" t="s">
        <v>385</v>
      </c>
      <c r="E7730" s="534">
        <v>899.385716</v>
      </c>
    </row>
    <row r="7731" spans="2:5" x14ac:dyDescent="0.2">
      <c r="B7731" s="533">
        <v>9806</v>
      </c>
      <c r="C7731" s="533" t="s">
        <v>4839</v>
      </c>
      <c r="D7731" s="656" t="s">
        <v>385</v>
      </c>
      <c r="E7731" s="534">
        <v>914.22500600000001</v>
      </c>
    </row>
    <row r="7732" spans="2:5" x14ac:dyDescent="0.2">
      <c r="B7732" s="533">
        <v>9807</v>
      </c>
      <c r="C7732" s="533" t="s">
        <v>3933</v>
      </c>
      <c r="D7732" s="656" t="s">
        <v>385</v>
      </c>
      <c r="E7732" s="534">
        <v>921.64544699999999</v>
      </c>
    </row>
    <row r="7733" spans="2:5" x14ac:dyDescent="0.2">
      <c r="B7733" s="533">
        <v>9808</v>
      </c>
      <c r="C7733" s="533" t="s">
        <v>5794</v>
      </c>
      <c r="D7733" s="656" t="s">
        <v>385</v>
      </c>
      <c r="E7733" s="534">
        <v>966.34210800000005</v>
      </c>
    </row>
    <row r="7734" spans="2:5" x14ac:dyDescent="0.2">
      <c r="B7734" s="533">
        <v>9809</v>
      </c>
      <c r="C7734" s="533" t="s">
        <v>5805</v>
      </c>
      <c r="D7734" s="656" t="s">
        <v>385</v>
      </c>
      <c r="E7734" s="534">
        <v>969.07778299999995</v>
      </c>
    </row>
    <row r="7735" spans="2:5" x14ac:dyDescent="0.2">
      <c r="B7735" s="533">
        <v>9810</v>
      </c>
      <c r="C7735" s="533" t="s">
        <v>6035</v>
      </c>
      <c r="D7735" s="656" t="s">
        <v>385</v>
      </c>
      <c r="E7735" s="534">
        <v>1076.743759</v>
      </c>
    </row>
    <row r="7736" spans="2:5" x14ac:dyDescent="0.2">
      <c r="B7736" s="533">
        <v>9811</v>
      </c>
      <c r="C7736" s="533" t="s">
        <v>6074</v>
      </c>
      <c r="D7736" s="656" t="s">
        <v>385</v>
      </c>
      <c r="E7736" s="534">
        <v>1099.9037069999999</v>
      </c>
    </row>
    <row r="7737" spans="2:5" x14ac:dyDescent="0.2">
      <c r="B7737" s="533">
        <v>9812</v>
      </c>
      <c r="C7737" s="533" t="s">
        <v>5966</v>
      </c>
      <c r="D7737" s="656" t="s">
        <v>385</v>
      </c>
      <c r="E7737" s="534">
        <v>1036.8956459999999</v>
      </c>
    </row>
    <row r="7738" spans="2:5" x14ac:dyDescent="0.2">
      <c r="B7738" s="533">
        <v>9813</v>
      </c>
      <c r="C7738" s="533" t="s">
        <v>6094</v>
      </c>
      <c r="D7738" s="656" t="s">
        <v>385</v>
      </c>
      <c r="E7738" s="534">
        <v>1118.8535770000001</v>
      </c>
    </row>
    <row r="7739" spans="2:5" x14ac:dyDescent="0.2">
      <c r="B7739" s="533">
        <v>9814</v>
      </c>
      <c r="C7739" s="533" t="s">
        <v>6106</v>
      </c>
      <c r="D7739" s="656" t="s">
        <v>385</v>
      </c>
      <c r="E7739" s="534">
        <v>1128.2923069999999</v>
      </c>
    </row>
    <row r="7740" spans="2:5" x14ac:dyDescent="0.2">
      <c r="B7740" s="533">
        <v>9815</v>
      </c>
      <c r="C7740" s="533" t="s">
        <v>6053</v>
      </c>
      <c r="D7740" s="656" t="s">
        <v>385</v>
      </c>
      <c r="E7740" s="534">
        <v>1087.207707</v>
      </c>
    </row>
    <row r="7741" spans="2:5" x14ac:dyDescent="0.2">
      <c r="B7741" s="533">
        <v>9816</v>
      </c>
      <c r="C7741" s="533" t="s">
        <v>6057</v>
      </c>
      <c r="D7741" s="656" t="s">
        <v>385</v>
      </c>
      <c r="E7741" s="534">
        <v>1089.8181930000001</v>
      </c>
    </row>
    <row r="7742" spans="2:5" x14ac:dyDescent="0.2">
      <c r="B7742" s="533">
        <v>9817</v>
      </c>
      <c r="C7742" s="533" t="s">
        <v>5965</v>
      </c>
      <c r="D7742" s="656" t="s">
        <v>385</v>
      </c>
      <c r="E7742" s="534">
        <v>1036.868755</v>
      </c>
    </row>
    <row r="7743" spans="2:5" x14ac:dyDescent="0.2">
      <c r="B7743" s="533">
        <v>9818</v>
      </c>
      <c r="C7743" s="533" t="s">
        <v>5899</v>
      </c>
      <c r="D7743" s="656" t="s">
        <v>385</v>
      </c>
      <c r="E7743" s="534">
        <v>1004.7</v>
      </c>
    </row>
    <row r="7744" spans="2:5" x14ac:dyDescent="0.2">
      <c r="B7744" s="533">
        <v>9819</v>
      </c>
      <c r="C7744" s="533" t="s">
        <v>3879</v>
      </c>
      <c r="D7744" s="656" t="s">
        <v>385</v>
      </c>
      <c r="E7744" s="534">
        <v>1012.849998</v>
      </c>
    </row>
    <row r="7745" spans="2:5" x14ac:dyDescent="0.2">
      <c r="B7745" s="533">
        <v>9820</v>
      </c>
      <c r="C7745" s="533" t="s">
        <v>689</v>
      </c>
      <c r="D7745" s="656" t="s">
        <v>385</v>
      </c>
      <c r="E7745" s="534">
        <v>1066.3142869999999</v>
      </c>
    </row>
    <row r="7746" spans="2:5" x14ac:dyDescent="0.2">
      <c r="B7746" s="533">
        <v>9821</v>
      </c>
      <c r="C7746" s="533" t="s">
        <v>6153</v>
      </c>
      <c r="D7746" s="656" t="s">
        <v>385</v>
      </c>
      <c r="E7746" s="534">
        <v>1162.1000160000001</v>
      </c>
    </row>
    <row r="7747" spans="2:5" x14ac:dyDescent="0.2">
      <c r="B7747" s="533">
        <v>9822</v>
      </c>
      <c r="C7747" s="533" t="s">
        <v>6124</v>
      </c>
      <c r="D7747" s="656" t="s">
        <v>385</v>
      </c>
      <c r="E7747" s="534">
        <v>1146.0749920000001</v>
      </c>
    </row>
    <row r="7748" spans="2:5" x14ac:dyDescent="0.2">
      <c r="B7748" s="533">
        <v>9823</v>
      </c>
      <c r="C7748" s="533" t="s">
        <v>6181</v>
      </c>
      <c r="D7748" s="656" t="s">
        <v>385</v>
      </c>
      <c r="E7748" s="534">
        <v>1188.0285819999999</v>
      </c>
    </row>
    <row r="7749" spans="2:5" x14ac:dyDescent="0.2">
      <c r="B7749" s="533">
        <v>9824</v>
      </c>
      <c r="C7749" s="533" t="s">
        <v>4198</v>
      </c>
      <c r="D7749" s="656" t="s">
        <v>385</v>
      </c>
      <c r="E7749" s="534">
        <v>1204.0833230000001</v>
      </c>
    </row>
    <row r="7750" spans="2:5" x14ac:dyDescent="0.2">
      <c r="B7750" s="533">
        <v>9825</v>
      </c>
      <c r="C7750" s="533" t="s">
        <v>6234</v>
      </c>
      <c r="D7750" s="656" t="s">
        <v>385</v>
      </c>
      <c r="E7750" s="534">
        <v>1240.4625020000001</v>
      </c>
    </row>
    <row r="7751" spans="2:5" x14ac:dyDescent="0.2">
      <c r="B7751" s="533">
        <v>9826</v>
      </c>
      <c r="C7751" s="533" t="s">
        <v>6233</v>
      </c>
      <c r="D7751" s="656" t="s">
        <v>385</v>
      </c>
      <c r="E7751" s="534">
        <v>1240</v>
      </c>
    </row>
    <row r="7752" spans="2:5" x14ac:dyDescent="0.2">
      <c r="B7752" s="533">
        <v>9827</v>
      </c>
      <c r="C7752" s="533" t="s">
        <v>7251</v>
      </c>
      <c r="D7752" s="656" t="s">
        <v>385</v>
      </c>
      <c r="E7752" s="534">
        <v>1234.0124969999999</v>
      </c>
    </row>
    <row r="7753" spans="2:5" x14ac:dyDescent="0.2">
      <c r="B7753" s="533">
        <v>9828</v>
      </c>
      <c r="C7753" s="533" t="s">
        <v>6970</v>
      </c>
      <c r="D7753" s="656" t="s">
        <v>385</v>
      </c>
      <c r="E7753" s="534">
        <v>1146.412491</v>
      </c>
    </row>
    <row r="7754" spans="2:5" x14ac:dyDescent="0.2">
      <c r="B7754" s="533">
        <v>9829</v>
      </c>
      <c r="C7754" s="533" t="s">
        <v>6059</v>
      </c>
      <c r="D7754" s="656" t="s">
        <v>385</v>
      </c>
      <c r="E7754" s="534">
        <v>1091.5916649999999</v>
      </c>
    </row>
    <row r="7755" spans="2:5" x14ac:dyDescent="0.2">
      <c r="B7755" s="533">
        <v>9830</v>
      </c>
      <c r="C7755" s="533" t="s">
        <v>6105</v>
      </c>
      <c r="D7755" s="656" t="s">
        <v>385</v>
      </c>
      <c r="E7755" s="534">
        <v>1126</v>
      </c>
    </row>
    <row r="7756" spans="2:5" x14ac:dyDescent="0.2">
      <c r="B7756" s="533">
        <v>9831</v>
      </c>
      <c r="C7756" s="533" t="s">
        <v>6111</v>
      </c>
      <c r="D7756" s="656" t="s">
        <v>385</v>
      </c>
      <c r="E7756" s="534">
        <v>1135.542864</v>
      </c>
    </row>
    <row r="7757" spans="2:5" x14ac:dyDescent="0.2">
      <c r="B7757" s="533">
        <v>9832</v>
      </c>
      <c r="C7757" s="533" t="s">
        <v>6155</v>
      </c>
      <c r="D7757" s="656" t="s">
        <v>385</v>
      </c>
      <c r="E7757" s="534">
        <v>1163.3249820000001</v>
      </c>
    </row>
    <row r="7758" spans="2:5" x14ac:dyDescent="0.2">
      <c r="B7758" s="533">
        <v>9833</v>
      </c>
      <c r="C7758" s="533" t="s">
        <v>6132</v>
      </c>
      <c r="D7758" s="656" t="s">
        <v>385</v>
      </c>
      <c r="E7758" s="534">
        <v>1149.918191</v>
      </c>
    </row>
    <row r="7759" spans="2:5" x14ac:dyDescent="0.2">
      <c r="B7759" s="533">
        <v>9834</v>
      </c>
      <c r="C7759" s="533" t="s">
        <v>3692</v>
      </c>
      <c r="D7759" s="656" t="s">
        <v>385</v>
      </c>
      <c r="E7759" s="534">
        <v>1112.875</v>
      </c>
    </row>
    <row r="7760" spans="2:5" x14ac:dyDescent="0.2">
      <c r="B7760" s="533">
        <v>9835</v>
      </c>
      <c r="C7760" s="533" t="s">
        <v>5369</v>
      </c>
      <c r="D7760" s="656" t="s">
        <v>385</v>
      </c>
      <c r="E7760" s="534">
        <v>1153.600021</v>
      </c>
    </row>
    <row r="7761" spans="2:5" x14ac:dyDescent="0.2">
      <c r="B7761" s="533">
        <v>9836</v>
      </c>
      <c r="C7761" s="533" t="s">
        <v>5983</v>
      </c>
      <c r="D7761" s="656" t="s">
        <v>385</v>
      </c>
      <c r="E7761" s="534">
        <v>1044.400024</v>
      </c>
    </row>
    <row r="7762" spans="2:5" x14ac:dyDescent="0.2">
      <c r="B7762" s="533">
        <v>9837</v>
      </c>
      <c r="C7762" s="533" t="s">
        <v>6040</v>
      </c>
      <c r="D7762" s="656" t="s">
        <v>385</v>
      </c>
      <c r="E7762" s="534">
        <v>1079.0699890000001</v>
      </c>
    </row>
    <row r="7763" spans="2:5" x14ac:dyDescent="0.2">
      <c r="B7763" s="533">
        <v>9838</v>
      </c>
      <c r="C7763" s="533" t="s">
        <v>6171</v>
      </c>
      <c r="D7763" s="656" t="s">
        <v>385</v>
      </c>
      <c r="E7763" s="534">
        <v>1179.0600099999999</v>
      </c>
    </row>
    <row r="7764" spans="2:5" x14ac:dyDescent="0.2">
      <c r="B7764" s="533">
        <v>9839</v>
      </c>
      <c r="C7764" s="533" t="s">
        <v>5934</v>
      </c>
      <c r="D7764" s="656" t="s">
        <v>385</v>
      </c>
      <c r="E7764" s="534">
        <v>1023.3833519999999</v>
      </c>
    </row>
    <row r="7765" spans="2:5" x14ac:dyDescent="0.2">
      <c r="B7765" s="533">
        <v>9841</v>
      </c>
      <c r="C7765" s="533" t="s">
        <v>6231</v>
      </c>
      <c r="D7765" s="656" t="s">
        <v>385</v>
      </c>
      <c r="E7765" s="534">
        <v>1236.3421049999999</v>
      </c>
    </row>
    <row r="7766" spans="2:5" x14ac:dyDescent="0.2">
      <c r="B7766" s="533">
        <v>9842</v>
      </c>
      <c r="C7766" s="533" t="s">
        <v>6200</v>
      </c>
      <c r="D7766" s="656" t="s">
        <v>385</v>
      </c>
      <c r="E7766" s="534">
        <v>1205.994803</v>
      </c>
    </row>
    <row r="7767" spans="2:5" x14ac:dyDescent="0.2">
      <c r="B7767" s="533">
        <v>9844</v>
      </c>
      <c r="C7767" s="533" t="s">
        <v>7536</v>
      </c>
      <c r="D7767" s="656" t="s">
        <v>385</v>
      </c>
      <c r="E7767" s="534">
        <v>1274.609375</v>
      </c>
    </row>
    <row r="7768" spans="2:5" x14ac:dyDescent="0.2">
      <c r="B7768" s="533">
        <v>9845</v>
      </c>
      <c r="C7768" s="533" t="s">
        <v>6705</v>
      </c>
      <c r="D7768" s="656" t="s">
        <v>385</v>
      </c>
      <c r="E7768" s="534">
        <v>1320.3333270000001</v>
      </c>
    </row>
    <row r="7769" spans="2:5" x14ac:dyDescent="0.2">
      <c r="B7769" s="533">
        <v>9846</v>
      </c>
      <c r="C7769" s="533" t="s">
        <v>7262</v>
      </c>
      <c r="D7769" s="656" t="s">
        <v>385</v>
      </c>
      <c r="E7769" s="534">
        <v>1278.1750030000001</v>
      </c>
    </row>
    <row r="7770" spans="2:5" x14ac:dyDescent="0.2">
      <c r="B7770" s="533">
        <v>9847</v>
      </c>
      <c r="C7770" s="533" t="s">
        <v>6704</v>
      </c>
      <c r="D7770" s="656" t="s">
        <v>385</v>
      </c>
      <c r="E7770" s="534">
        <v>1341.477783</v>
      </c>
    </row>
    <row r="7771" spans="2:5" x14ac:dyDescent="0.2">
      <c r="B7771" s="533">
        <v>9848</v>
      </c>
      <c r="C7771" s="533" t="s">
        <v>1323</v>
      </c>
      <c r="D7771" s="656" t="s">
        <v>385</v>
      </c>
      <c r="E7771" s="534">
        <v>1336.3000139999999</v>
      </c>
    </row>
    <row r="7772" spans="2:5" x14ac:dyDescent="0.2">
      <c r="B7772" s="533">
        <v>9849</v>
      </c>
      <c r="C7772" s="533" t="s">
        <v>6232</v>
      </c>
      <c r="D7772" s="656" t="s">
        <v>385</v>
      </c>
      <c r="E7772" s="534">
        <v>1237.258832</v>
      </c>
    </row>
    <row r="7773" spans="2:5" x14ac:dyDescent="0.2">
      <c r="B7773" s="533">
        <v>9850</v>
      </c>
      <c r="C7773" s="533" t="s">
        <v>385</v>
      </c>
      <c r="D7773" s="656" t="s">
        <v>385</v>
      </c>
      <c r="E7773" s="534">
        <v>1402.73999</v>
      </c>
    </row>
    <row r="7774" spans="2:5" x14ac:dyDescent="0.2">
      <c r="B7774" s="533">
        <v>9851</v>
      </c>
      <c r="C7774" s="533" t="s">
        <v>2796</v>
      </c>
      <c r="D7774" s="656" t="s">
        <v>385</v>
      </c>
      <c r="E7774" s="534">
        <v>1491.3777669999999</v>
      </c>
    </row>
    <row r="7775" spans="2:5" x14ac:dyDescent="0.2">
      <c r="B7775" s="533">
        <v>9852</v>
      </c>
      <c r="C7775" s="533" t="s">
        <v>1732</v>
      </c>
      <c r="D7775" s="656" t="s">
        <v>385</v>
      </c>
      <c r="E7775" s="534">
        <v>1416.9499510000001</v>
      </c>
    </row>
    <row r="7776" spans="2:5" x14ac:dyDescent="0.2">
      <c r="B7776" s="533">
        <v>9853</v>
      </c>
      <c r="C7776" s="533" t="s">
        <v>6344</v>
      </c>
      <c r="D7776" s="656" t="s">
        <v>385</v>
      </c>
      <c r="E7776" s="534">
        <v>1527.6000019999999</v>
      </c>
    </row>
    <row r="7777" spans="2:5" x14ac:dyDescent="0.2">
      <c r="B7777" s="533">
        <v>9854</v>
      </c>
      <c r="C7777" s="533" t="s">
        <v>6304</v>
      </c>
      <c r="D7777" s="656" t="s">
        <v>385</v>
      </c>
      <c r="E7777" s="534">
        <v>1395.2437520000001</v>
      </c>
    </row>
    <row r="7778" spans="2:5" x14ac:dyDescent="0.2">
      <c r="B7778" s="533">
        <v>9855</v>
      </c>
      <c r="C7778" s="533" t="s">
        <v>1995</v>
      </c>
      <c r="D7778" s="656" t="s">
        <v>385</v>
      </c>
      <c r="E7778" s="534">
        <v>1370.012512</v>
      </c>
    </row>
    <row r="7779" spans="2:5" x14ac:dyDescent="0.2">
      <c r="B7779" s="533">
        <v>9856</v>
      </c>
      <c r="C7779" s="533" t="s">
        <v>6378</v>
      </c>
      <c r="D7779" s="656" t="s">
        <v>385</v>
      </c>
      <c r="E7779" s="534">
        <v>1626.6562650000001</v>
      </c>
    </row>
    <row r="7780" spans="2:5" x14ac:dyDescent="0.2">
      <c r="B7780" s="533">
        <v>9857</v>
      </c>
      <c r="C7780" s="533" t="s">
        <v>6333</v>
      </c>
      <c r="D7780" s="656" t="s">
        <v>385</v>
      </c>
      <c r="E7780" s="534">
        <v>1499.500014</v>
      </c>
    </row>
    <row r="7781" spans="2:5" x14ac:dyDescent="0.2">
      <c r="B7781" s="533">
        <v>9858</v>
      </c>
      <c r="C7781" s="533" t="s">
        <v>6386</v>
      </c>
      <c r="D7781" s="656" t="s">
        <v>385</v>
      </c>
      <c r="E7781" s="534">
        <v>1645.1583250000001</v>
      </c>
    </row>
    <row r="7782" spans="2:5" x14ac:dyDescent="0.2">
      <c r="B7782" s="533">
        <v>9859</v>
      </c>
      <c r="C7782" s="533" t="s">
        <v>6382</v>
      </c>
      <c r="D7782" s="656" t="s">
        <v>385</v>
      </c>
      <c r="E7782" s="534">
        <v>1637.0600039999999</v>
      </c>
    </row>
    <row r="7783" spans="2:5" x14ac:dyDescent="0.2">
      <c r="B7783" s="533">
        <v>9860</v>
      </c>
      <c r="C7783" s="533" t="s">
        <v>2289</v>
      </c>
      <c r="D7783" s="656" t="s">
        <v>385</v>
      </c>
      <c r="E7783" s="534">
        <v>1516.9533369999999</v>
      </c>
    </row>
    <row r="7784" spans="2:5" x14ac:dyDescent="0.2">
      <c r="B7784" s="533">
        <v>9861</v>
      </c>
      <c r="C7784" s="533" t="s">
        <v>6423</v>
      </c>
      <c r="D7784" s="656" t="s">
        <v>385</v>
      </c>
      <c r="E7784" s="534">
        <v>1833.1294089999999</v>
      </c>
    </row>
    <row r="7785" spans="2:5" x14ac:dyDescent="0.2">
      <c r="B7785" s="533">
        <v>9862</v>
      </c>
      <c r="C7785" s="533" t="s">
        <v>1424</v>
      </c>
      <c r="D7785" s="656" t="s">
        <v>385</v>
      </c>
      <c r="E7785" s="534">
        <v>1460.6571570000001</v>
      </c>
    </row>
    <row r="7786" spans="2:5" x14ac:dyDescent="0.2">
      <c r="B7786" s="533">
        <v>9863</v>
      </c>
      <c r="C7786" s="533" t="s">
        <v>6315</v>
      </c>
      <c r="D7786" s="656" t="s">
        <v>385</v>
      </c>
      <c r="E7786" s="534">
        <v>1434.5700200000001</v>
      </c>
    </row>
    <row r="7787" spans="2:5" x14ac:dyDescent="0.2">
      <c r="B7787" s="533">
        <v>9864</v>
      </c>
      <c r="C7787" s="533" t="s">
        <v>6352</v>
      </c>
      <c r="D7787" s="656" t="s">
        <v>385</v>
      </c>
      <c r="E7787" s="534">
        <v>1546.7857320000001</v>
      </c>
    </row>
    <row r="7788" spans="2:5" x14ac:dyDescent="0.2">
      <c r="B7788" s="533">
        <v>9865</v>
      </c>
      <c r="C7788" s="533" t="s">
        <v>6362</v>
      </c>
      <c r="D7788" s="656" t="s">
        <v>385</v>
      </c>
      <c r="E7788" s="534">
        <v>1576.6333010000001</v>
      </c>
    </row>
    <row r="7789" spans="2:5" x14ac:dyDescent="0.2">
      <c r="B7789" s="533">
        <v>9866</v>
      </c>
      <c r="C7789" s="533" t="s">
        <v>6697</v>
      </c>
      <c r="D7789" s="656" t="s">
        <v>385</v>
      </c>
      <c r="E7789" s="534">
        <v>1651.9375</v>
      </c>
    </row>
    <row r="7790" spans="2:5" x14ac:dyDescent="0.2">
      <c r="B7790" s="533">
        <v>9867</v>
      </c>
      <c r="C7790" s="533" t="s">
        <v>6334</v>
      </c>
      <c r="D7790" s="656" t="s">
        <v>385</v>
      </c>
      <c r="E7790" s="534">
        <v>1500.46875</v>
      </c>
    </row>
    <row r="7791" spans="2:5" x14ac:dyDescent="0.2">
      <c r="B7791" s="533">
        <v>9868</v>
      </c>
      <c r="C7791" s="533" t="s">
        <v>6383</v>
      </c>
      <c r="D7791" s="656" t="s">
        <v>385</v>
      </c>
      <c r="E7791" s="534">
        <v>1642.7769310000001</v>
      </c>
    </row>
    <row r="7792" spans="2:5" x14ac:dyDescent="0.2">
      <c r="B7792" s="533">
        <v>9870</v>
      </c>
      <c r="C7792" s="533" t="s">
        <v>6439</v>
      </c>
      <c r="D7792" s="656" t="s">
        <v>385</v>
      </c>
      <c r="E7792" s="534">
        <v>1938.7645219999999</v>
      </c>
    </row>
    <row r="7793" spans="2:5" x14ac:dyDescent="0.2">
      <c r="B7793" s="533">
        <v>9871</v>
      </c>
      <c r="C7793" s="533" t="s">
        <v>6369</v>
      </c>
      <c r="D7793" s="656" t="s">
        <v>385</v>
      </c>
      <c r="E7793" s="534">
        <v>1589.95</v>
      </c>
    </row>
    <row r="7794" spans="2:5" x14ac:dyDescent="0.2">
      <c r="B7794" s="533">
        <v>9872</v>
      </c>
      <c r="C7794" s="533" t="s">
        <v>7291</v>
      </c>
      <c r="D7794" s="656" t="s">
        <v>385</v>
      </c>
      <c r="E7794" s="534">
        <v>1830.2370330000001</v>
      </c>
    </row>
    <row r="7795" spans="2:5" x14ac:dyDescent="0.2">
      <c r="B7795" s="533">
        <v>9873</v>
      </c>
      <c r="C7795" s="533" t="s">
        <v>7292</v>
      </c>
      <c r="D7795" s="656" t="s">
        <v>385</v>
      </c>
      <c r="E7795" s="534">
        <v>1758.8999920000001</v>
      </c>
    </row>
    <row r="7796" spans="2:5" x14ac:dyDescent="0.2">
      <c r="B7796" s="533">
        <v>9874</v>
      </c>
      <c r="C7796" s="533" t="s">
        <v>6455</v>
      </c>
      <c r="D7796" s="656" t="s">
        <v>385</v>
      </c>
      <c r="E7796" s="534">
        <v>2124.0037069999998</v>
      </c>
    </row>
    <row r="7797" spans="2:5" x14ac:dyDescent="0.2">
      <c r="B7797" s="533">
        <v>9875</v>
      </c>
      <c r="C7797" s="533" t="s">
        <v>6445</v>
      </c>
      <c r="D7797" s="656" t="s">
        <v>385</v>
      </c>
      <c r="E7797" s="534">
        <v>1975.5357059999999</v>
      </c>
    </row>
    <row r="7798" spans="2:5" x14ac:dyDescent="0.2">
      <c r="B7798" s="533">
        <v>9876</v>
      </c>
      <c r="C7798" s="533" t="s">
        <v>6442</v>
      </c>
      <c r="D7798" s="656" t="s">
        <v>385</v>
      </c>
      <c r="E7798" s="534">
        <v>1945.964303</v>
      </c>
    </row>
    <row r="7799" spans="2:5" x14ac:dyDescent="0.2">
      <c r="B7799" s="533">
        <v>9877</v>
      </c>
      <c r="C7799" s="533" t="s">
        <v>1195</v>
      </c>
      <c r="D7799" s="656" t="s">
        <v>385</v>
      </c>
      <c r="E7799" s="534">
        <v>1736.9368380000001</v>
      </c>
    </row>
    <row r="7800" spans="2:5" x14ac:dyDescent="0.2">
      <c r="B7800" s="533">
        <v>9878</v>
      </c>
      <c r="C7800" s="533" t="s">
        <v>6451</v>
      </c>
      <c r="D7800" s="656" t="s">
        <v>385</v>
      </c>
      <c r="E7800" s="534">
        <v>2099.8566850000002</v>
      </c>
    </row>
    <row r="7801" spans="2:5" x14ac:dyDescent="0.2">
      <c r="B7801" s="533">
        <v>9879</v>
      </c>
      <c r="C7801" s="533" t="s">
        <v>6424</v>
      </c>
      <c r="D7801" s="656" t="s">
        <v>385</v>
      </c>
      <c r="E7801" s="534">
        <v>1837.751618</v>
      </c>
    </row>
    <row r="7802" spans="2:5" x14ac:dyDescent="0.2">
      <c r="B7802" s="533">
        <v>9880</v>
      </c>
      <c r="C7802" s="533" t="s">
        <v>6414</v>
      </c>
      <c r="D7802" s="656" t="s">
        <v>385</v>
      </c>
      <c r="E7802" s="534">
        <v>1766.1408140000001</v>
      </c>
    </row>
    <row r="7803" spans="2:5" x14ac:dyDescent="0.2">
      <c r="B7803" s="533">
        <v>9881</v>
      </c>
      <c r="C7803" s="533" t="s">
        <v>6411</v>
      </c>
      <c r="D7803" s="656" t="s">
        <v>385</v>
      </c>
      <c r="E7803" s="534">
        <v>1754.9124979999999</v>
      </c>
    </row>
    <row r="7804" spans="2:5" x14ac:dyDescent="0.2">
      <c r="B7804" s="533">
        <v>9882</v>
      </c>
      <c r="C7804" s="533" t="s">
        <v>6443</v>
      </c>
      <c r="D7804" s="656" t="s">
        <v>385</v>
      </c>
      <c r="E7804" s="534">
        <v>1948.433338</v>
      </c>
    </row>
    <row r="7805" spans="2:5" x14ac:dyDescent="0.2">
      <c r="B7805" s="533">
        <v>9901</v>
      </c>
      <c r="C7805" s="533" t="s">
        <v>2537</v>
      </c>
      <c r="D7805" s="656" t="s">
        <v>385</v>
      </c>
      <c r="E7805" s="534">
        <v>1117.5</v>
      </c>
    </row>
    <row r="7806" spans="2:5" x14ac:dyDescent="0.2">
      <c r="B7806" s="533">
        <v>9902</v>
      </c>
      <c r="C7806" s="533" t="s">
        <v>6039</v>
      </c>
      <c r="D7806" s="656" t="s">
        <v>385</v>
      </c>
      <c r="E7806" s="534">
        <v>1078.9137929999999</v>
      </c>
    </row>
    <row r="7807" spans="2:5" x14ac:dyDescent="0.2">
      <c r="B7807" s="533">
        <v>9903</v>
      </c>
      <c r="C7807" s="533" t="s">
        <v>5960</v>
      </c>
      <c r="D7807" s="656" t="s">
        <v>385</v>
      </c>
      <c r="E7807" s="534">
        <v>1035.6799960000001</v>
      </c>
    </row>
    <row r="7808" spans="2:5" x14ac:dyDescent="0.2">
      <c r="B7808" s="533">
        <v>9904</v>
      </c>
      <c r="C7808" s="533" t="s">
        <v>5498</v>
      </c>
      <c r="D7808" s="656" t="s">
        <v>385</v>
      </c>
      <c r="E7808" s="534">
        <v>896.57333600000004</v>
      </c>
    </row>
    <row r="7809" spans="2:5" x14ac:dyDescent="0.2">
      <c r="B7809" s="533">
        <v>9905</v>
      </c>
      <c r="C7809" s="533" t="s">
        <v>5693</v>
      </c>
      <c r="D7809" s="656" t="s">
        <v>385</v>
      </c>
      <c r="E7809" s="534">
        <v>939.31999499999995</v>
      </c>
    </row>
    <row r="7810" spans="2:5" x14ac:dyDescent="0.2">
      <c r="B7810" s="533">
        <v>9906</v>
      </c>
      <c r="C7810" s="533" t="s">
        <v>5793</v>
      </c>
      <c r="D7810" s="656" t="s">
        <v>385</v>
      </c>
      <c r="E7810" s="534">
        <v>966.171425</v>
      </c>
    </row>
    <row r="7811" spans="2:5" x14ac:dyDescent="0.2">
      <c r="B7811" s="533">
        <v>9907</v>
      </c>
      <c r="C7811" s="533" t="s">
        <v>1104</v>
      </c>
      <c r="D7811" s="656" t="s">
        <v>385</v>
      </c>
      <c r="E7811" s="534">
        <v>927.78461600000003</v>
      </c>
    </row>
    <row r="7812" spans="2:5" x14ac:dyDescent="0.2">
      <c r="B7812" s="533">
        <v>9908</v>
      </c>
      <c r="C7812" s="533" t="s">
        <v>7517</v>
      </c>
      <c r="D7812" s="656" t="s">
        <v>385</v>
      </c>
      <c r="E7812" s="534">
        <v>987.383331</v>
      </c>
    </row>
    <row r="7813" spans="2:5" x14ac:dyDescent="0.2">
      <c r="B7813" s="533">
        <v>9909</v>
      </c>
      <c r="C7813" s="533" t="s">
        <v>5914</v>
      </c>
      <c r="D7813" s="656" t="s">
        <v>385</v>
      </c>
      <c r="E7813" s="534">
        <v>1011.7916719999999</v>
      </c>
    </row>
    <row r="7814" spans="2:5" x14ac:dyDescent="0.2">
      <c r="B7814" s="533">
        <v>9910</v>
      </c>
      <c r="C7814" s="533" t="s">
        <v>5996</v>
      </c>
      <c r="D7814" s="656" t="s">
        <v>385</v>
      </c>
      <c r="E7814" s="534">
        <v>1052.322218</v>
      </c>
    </row>
    <row r="7815" spans="2:5" x14ac:dyDescent="0.2">
      <c r="B7815" s="533">
        <v>9911</v>
      </c>
      <c r="C7815" s="533" t="s">
        <v>5716</v>
      </c>
      <c r="D7815" s="656" t="s">
        <v>385</v>
      </c>
      <c r="E7815" s="534">
        <v>946.06667100000004</v>
      </c>
    </row>
    <row r="7816" spans="2:5" x14ac:dyDescent="0.2">
      <c r="B7816" s="533">
        <v>9912</v>
      </c>
      <c r="C7816" s="533" t="s">
        <v>5850</v>
      </c>
      <c r="D7816" s="656" t="s">
        <v>385</v>
      </c>
      <c r="E7816" s="534">
        <v>985.73000300000001</v>
      </c>
    </row>
    <row r="7817" spans="2:5" x14ac:dyDescent="0.2">
      <c r="B7817" s="533">
        <v>9913</v>
      </c>
      <c r="C7817" s="533" t="s">
        <v>5964</v>
      </c>
      <c r="D7817" s="656" t="s">
        <v>385</v>
      </c>
      <c r="E7817" s="534">
        <v>1036.616689</v>
      </c>
    </row>
    <row r="7818" spans="2:5" x14ac:dyDescent="0.2">
      <c r="B7818" s="533">
        <v>9914</v>
      </c>
      <c r="C7818" s="533" t="s">
        <v>7056</v>
      </c>
      <c r="D7818" s="656" t="s">
        <v>385</v>
      </c>
      <c r="E7818" s="534">
        <v>1047.925</v>
      </c>
    </row>
    <row r="7819" spans="2:5" x14ac:dyDescent="0.2">
      <c r="B7819" s="533">
        <v>9915</v>
      </c>
      <c r="C7819" s="533" t="s">
        <v>5931</v>
      </c>
      <c r="D7819" s="656" t="s">
        <v>385</v>
      </c>
      <c r="E7819" s="534">
        <v>1021.537506</v>
      </c>
    </row>
    <row r="7820" spans="2:5" x14ac:dyDescent="0.2">
      <c r="B7820" s="533">
        <v>9916</v>
      </c>
      <c r="C7820" s="533" t="s">
        <v>6110</v>
      </c>
      <c r="D7820" s="656" t="s">
        <v>385</v>
      </c>
      <c r="E7820" s="534">
        <v>1132.7705940000001</v>
      </c>
    </row>
    <row r="7821" spans="2:5" x14ac:dyDescent="0.2">
      <c r="B7821" s="533">
        <v>9917</v>
      </c>
      <c r="C7821" s="533" t="s">
        <v>6167</v>
      </c>
      <c r="D7821" s="656" t="s">
        <v>385</v>
      </c>
      <c r="E7821" s="534">
        <v>1177.542864</v>
      </c>
    </row>
    <row r="7822" spans="2:5" x14ac:dyDescent="0.2">
      <c r="B7822" s="533">
        <v>9918</v>
      </c>
      <c r="C7822" s="533" t="s">
        <v>7446</v>
      </c>
      <c r="D7822" s="656" t="s">
        <v>385</v>
      </c>
      <c r="E7822" s="534">
        <v>1138.0166630000001</v>
      </c>
    </row>
    <row r="7823" spans="2:5" x14ac:dyDescent="0.2">
      <c r="B7823" s="533">
        <v>9919</v>
      </c>
      <c r="C7823" s="533" t="s">
        <v>5951</v>
      </c>
      <c r="D7823" s="656" t="s">
        <v>366</v>
      </c>
      <c r="E7823" s="534">
        <v>1032.8000489999999</v>
      </c>
    </row>
    <row r="7824" spans="2:5" x14ac:dyDescent="0.2">
      <c r="B7824" s="533">
        <v>9920</v>
      </c>
      <c r="C7824" s="533" t="s">
        <v>6015</v>
      </c>
      <c r="D7824" s="656" t="s">
        <v>366</v>
      </c>
      <c r="E7824" s="534">
        <v>1061.1999510000001</v>
      </c>
    </row>
    <row r="7825" spans="2:5" x14ac:dyDescent="0.2">
      <c r="B7825" s="533">
        <v>9921</v>
      </c>
      <c r="C7825" s="533" t="s">
        <v>6046</v>
      </c>
      <c r="D7825" s="656" t="s">
        <v>366</v>
      </c>
      <c r="E7825" s="534">
        <v>1081.054549</v>
      </c>
    </row>
    <row r="7826" spans="2:5" x14ac:dyDescent="0.2">
      <c r="B7826" s="533">
        <v>9922</v>
      </c>
      <c r="C7826" s="533" t="s">
        <v>4591</v>
      </c>
      <c r="D7826" s="656" t="s">
        <v>366</v>
      </c>
      <c r="E7826" s="534">
        <v>1090.9000040000001</v>
      </c>
    </row>
    <row r="7827" spans="2:5" x14ac:dyDescent="0.2">
      <c r="B7827" s="533">
        <v>9923</v>
      </c>
      <c r="C7827" s="533" t="s">
        <v>6006</v>
      </c>
      <c r="D7827" s="656" t="s">
        <v>366</v>
      </c>
      <c r="E7827" s="534">
        <v>1055.325012</v>
      </c>
    </row>
    <row r="7828" spans="2:5" x14ac:dyDescent="0.2">
      <c r="B7828" s="533">
        <v>9924</v>
      </c>
      <c r="C7828" s="533" t="s">
        <v>7394</v>
      </c>
      <c r="D7828" s="656" t="s">
        <v>366</v>
      </c>
      <c r="E7828" s="534">
        <v>1306.2222220000001</v>
      </c>
    </row>
    <row r="7829" spans="2:5" x14ac:dyDescent="0.2">
      <c r="B7829" s="533">
        <v>9925</v>
      </c>
      <c r="C7829" s="533" t="s">
        <v>6220</v>
      </c>
      <c r="D7829" s="656" t="s">
        <v>366</v>
      </c>
      <c r="E7829" s="534">
        <v>1230.2090840000001</v>
      </c>
    </row>
    <row r="7830" spans="2:5" x14ac:dyDescent="0.2">
      <c r="B7830" s="533">
        <v>9926</v>
      </c>
      <c r="C7830" s="533" t="s">
        <v>6170</v>
      </c>
      <c r="D7830" s="656" t="s">
        <v>366</v>
      </c>
      <c r="E7830" s="534">
        <v>1178.499986</v>
      </c>
    </row>
    <row r="7831" spans="2:5" x14ac:dyDescent="0.2">
      <c r="B7831" s="533">
        <v>9927</v>
      </c>
      <c r="C7831" s="533" t="s">
        <v>6263</v>
      </c>
      <c r="D7831" s="656" t="s">
        <v>366</v>
      </c>
      <c r="E7831" s="534">
        <v>1295.7571499999999</v>
      </c>
    </row>
    <row r="7832" spans="2:5" x14ac:dyDescent="0.2">
      <c r="B7832" s="533">
        <v>9928</v>
      </c>
      <c r="C7832" s="533" t="s">
        <v>6210</v>
      </c>
      <c r="D7832" s="656" t="s">
        <v>366</v>
      </c>
      <c r="E7832" s="534">
        <v>1218.880005</v>
      </c>
    </row>
    <row r="7833" spans="2:5" x14ac:dyDescent="0.2">
      <c r="B7833" s="533">
        <v>9929</v>
      </c>
      <c r="C7833" s="533" t="s">
        <v>6341</v>
      </c>
      <c r="D7833" s="656" t="s">
        <v>366</v>
      </c>
      <c r="E7833" s="534">
        <v>1518.080005</v>
      </c>
    </row>
    <row r="7834" spans="2:5" x14ac:dyDescent="0.2">
      <c r="B7834" s="533">
        <v>9930</v>
      </c>
      <c r="C7834" s="533" t="s">
        <v>6337</v>
      </c>
      <c r="D7834" s="656" t="s">
        <v>366</v>
      </c>
      <c r="E7834" s="534">
        <v>1506.619995</v>
      </c>
    </row>
    <row r="7835" spans="2:5" x14ac:dyDescent="0.2">
      <c r="B7835" s="533">
        <v>9931</v>
      </c>
      <c r="C7835" s="533" t="s">
        <v>7369</v>
      </c>
      <c r="D7835" s="656" t="s">
        <v>366</v>
      </c>
      <c r="E7835" s="534">
        <v>1243.7444390000001</v>
      </c>
    </row>
    <row r="7836" spans="2:5" x14ac:dyDescent="0.2">
      <c r="B7836" s="533">
        <v>9932</v>
      </c>
      <c r="C7836" s="533" t="s">
        <v>6119</v>
      </c>
      <c r="D7836" s="656" t="s">
        <v>366</v>
      </c>
      <c r="E7836" s="534">
        <v>1142.9576790000001</v>
      </c>
    </row>
    <row r="7837" spans="2:5" x14ac:dyDescent="0.2">
      <c r="B7837" s="533">
        <v>9933</v>
      </c>
      <c r="C7837" s="533" t="s">
        <v>6115</v>
      </c>
      <c r="D7837" s="656" t="s">
        <v>366</v>
      </c>
      <c r="E7837" s="534">
        <v>1141.5</v>
      </c>
    </row>
    <row r="7838" spans="2:5" x14ac:dyDescent="0.2">
      <c r="B7838" s="533">
        <v>9934</v>
      </c>
      <c r="C7838" s="533" t="s">
        <v>6168</v>
      </c>
      <c r="D7838" s="656" t="s">
        <v>366</v>
      </c>
      <c r="E7838" s="534">
        <v>1178.092304</v>
      </c>
    </row>
    <row r="7839" spans="2:5" x14ac:dyDescent="0.2">
      <c r="B7839" s="533">
        <v>9935</v>
      </c>
      <c r="C7839" s="533" t="s">
        <v>7482</v>
      </c>
      <c r="D7839" s="656" t="s">
        <v>366</v>
      </c>
      <c r="E7839" s="534">
        <v>1157.3500059999999</v>
      </c>
    </row>
    <row r="7840" spans="2:5" x14ac:dyDescent="0.2">
      <c r="B7840" s="533">
        <v>9936</v>
      </c>
      <c r="C7840" s="533" t="s">
        <v>6158</v>
      </c>
      <c r="D7840" s="656" t="s">
        <v>366</v>
      </c>
      <c r="E7840" s="534">
        <v>1168.4727230000001</v>
      </c>
    </row>
    <row r="7841" spans="2:5" x14ac:dyDescent="0.2">
      <c r="B7841" s="533">
        <v>9937</v>
      </c>
      <c r="C7841" s="533" t="s">
        <v>6412</v>
      </c>
      <c r="D7841" s="656" t="s">
        <v>366</v>
      </c>
      <c r="E7841" s="534">
        <v>1758.9357130000001</v>
      </c>
    </row>
    <row r="7842" spans="2:5" x14ac:dyDescent="0.2">
      <c r="B7842" s="533">
        <v>9938</v>
      </c>
      <c r="C7842" s="533" t="s">
        <v>6324</v>
      </c>
      <c r="D7842" s="656" t="s">
        <v>366</v>
      </c>
      <c r="E7842" s="534">
        <v>1452.51001</v>
      </c>
    </row>
    <row r="7843" spans="2:5" x14ac:dyDescent="0.2">
      <c r="B7843" s="533">
        <v>9939</v>
      </c>
      <c r="C7843" s="533" t="s">
        <v>4952</v>
      </c>
      <c r="D7843" s="656" t="s">
        <v>366</v>
      </c>
      <c r="E7843" s="534">
        <v>1300.25</v>
      </c>
    </row>
    <row r="7844" spans="2:5" x14ac:dyDescent="0.2">
      <c r="B7844" s="533">
        <v>9940</v>
      </c>
      <c r="C7844" s="533" t="s">
        <v>6998</v>
      </c>
      <c r="D7844" s="656" t="s">
        <v>366</v>
      </c>
      <c r="E7844" s="534">
        <v>1212.963634</v>
      </c>
    </row>
    <row r="7845" spans="2:5" x14ac:dyDescent="0.2">
      <c r="B7845" s="533">
        <v>9941</v>
      </c>
      <c r="C7845" s="533" t="s">
        <v>6298</v>
      </c>
      <c r="D7845" s="656" t="s">
        <v>366</v>
      </c>
      <c r="E7845" s="534">
        <v>1372.0889010000001</v>
      </c>
    </row>
    <row r="7846" spans="2:5" x14ac:dyDescent="0.2">
      <c r="B7846" s="533">
        <v>9942</v>
      </c>
      <c r="C7846" s="533" t="s">
        <v>6419</v>
      </c>
      <c r="D7846" s="656" t="s">
        <v>366</v>
      </c>
      <c r="E7846" s="534">
        <v>1809.68335</v>
      </c>
    </row>
    <row r="7847" spans="2:5" x14ac:dyDescent="0.2">
      <c r="B7847" s="533">
        <v>9943</v>
      </c>
      <c r="C7847" s="533" t="s">
        <v>7572</v>
      </c>
      <c r="D7847" s="656" t="s">
        <v>366</v>
      </c>
      <c r="E7847" s="534">
        <v>1667.8000079999999</v>
      </c>
    </row>
    <row r="7848" spans="2:5" x14ac:dyDescent="0.2">
      <c r="B7848" s="533">
        <v>9944</v>
      </c>
      <c r="C7848" s="533" t="s">
        <v>7573</v>
      </c>
      <c r="D7848" s="656" t="s">
        <v>366</v>
      </c>
      <c r="E7848" s="534">
        <v>1864.4206879999999</v>
      </c>
    </row>
    <row r="7849" spans="2:5" x14ac:dyDescent="0.2">
      <c r="B7849" s="533">
        <v>9945</v>
      </c>
      <c r="C7849" s="533" t="s">
        <v>6350</v>
      </c>
      <c r="D7849" s="656" t="s">
        <v>366</v>
      </c>
      <c r="E7849" s="534">
        <v>1542.149981</v>
      </c>
    </row>
    <row r="7850" spans="2:5" x14ac:dyDescent="0.2">
      <c r="B7850" s="533">
        <v>9946</v>
      </c>
      <c r="C7850" s="533" t="s">
        <v>6360</v>
      </c>
      <c r="D7850" s="656" t="s">
        <v>366</v>
      </c>
      <c r="E7850" s="534">
        <v>1566.246672</v>
      </c>
    </row>
    <row r="7851" spans="2:5" x14ac:dyDescent="0.2">
      <c r="B7851" s="533">
        <v>9947</v>
      </c>
      <c r="C7851" s="533" t="s">
        <v>2451</v>
      </c>
      <c r="D7851" s="656" t="s">
        <v>366</v>
      </c>
      <c r="E7851" s="534">
        <v>1554.921748</v>
      </c>
    </row>
    <row r="7852" spans="2:5" x14ac:dyDescent="0.2">
      <c r="B7852" s="533">
        <v>9948</v>
      </c>
      <c r="C7852" s="533" t="s">
        <v>6295</v>
      </c>
      <c r="D7852" s="656" t="s">
        <v>366</v>
      </c>
      <c r="E7852" s="534">
        <v>1366.700012</v>
      </c>
    </row>
    <row r="7853" spans="2:5" x14ac:dyDescent="0.2">
      <c r="B7853" s="533">
        <v>9949</v>
      </c>
      <c r="C7853" s="533" t="s">
        <v>6266</v>
      </c>
      <c r="D7853" s="656" t="s">
        <v>366</v>
      </c>
      <c r="E7853" s="534">
        <v>1301.2499800000001</v>
      </c>
    </row>
    <row r="7854" spans="2:5" x14ac:dyDescent="0.2">
      <c r="B7854" s="533">
        <v>9950</v>
      </c>
      <c r="C7854" s="533" t="s">
        <v>6340</v>
      </c>
      <c r="D7854" s="656" t="s">
        <v>366</v>
      </c>
      <c r="E7854" s="534">
        <v>1516.840015</v>
      </c>
    </row>
    <row r="7855" spans="2:5" x14ac:dyDescent="0.2">
      <c r="B7855" s="533">
        <v>9952</v>
      </c>
      <c r="C7855" s="533" t="s">
        <v>6363</v>
      </c>
      <c r="D7855" s="656" t="s">
        <v>366</v>
      </c>
      <c r="E7855" s="534">
        <v>1577.5749920000001</v>
      </c>
    </row>
    <row r="7856" spans="2:5" x14ac:dyDescent="0.2">
      <c r="B7856" s="533">
        <v>9953</v>
      </c>
      <c r="C7856" s="533" t="s">
        <v>6426</v>
      </c>
      <c r="D7856" s="656" t="s">
        <v>366</v>
      </c>
      <c r="E7856" s="534">
        <v>1867.0384710000001</v>
      </c>
    </row>
    <row r="7857" spans="2:5" x14ac:dyDescent="0.2">
      <c r="B7857" s="533">
        <v>9954</v>
      </c>
      <c r="C7857" s="533" t="s">
        <v>6430</v>
      </c>
      <c r="D7857" s="656" t="s">
        <v>366</v>
      </c>
      <c r="E7857" s="534">
        <v>1892.0928610000001</v>
      </c>
    </row>
    <row r="7858" spans="2:5" x14ac:dyDescent="0.2">
      <c r="B7858" s="533">
        <v>9956</v>
      </c>
      <c r="C7858" s="533" t="s">
        <v>6375</v>
      </c>
      <c r="D7858" s="656" t="s">
        <v>366</v>
      </c>
      <c r="E7858" s="534">
        <v>1603.2294199999999</v>
      </c>
    </row>
    <row r="7859" spans="2:5" x14ac:dyDescent="0.2">
      <c r="B7859" s="533">
        <v>9957</v>
      </c>
      <c r="C7859" s="533" t="s">
        <v>6456</v>
      </c>
      <c r="D7859" s="656" t="s">
        <v>366</v>
      </c>
      <c r="E7859" s="534">
        <v>2143.2062529999998</v>
      </c>
    </row>
    <row r="7860" spans="2:5" x14ac:dyDescent="0.2">
      <c r="B7860" s="533">
        <v>9958</v>
      </c>
      <c r="C7860" s="533" t="s">
        <v>6444</v>
      </c>
      <c r="D7860" s="656" t="s">
        <v>366</v>
      </c>
      <c r="E7860" s="534">
        <v>1972</v>
      </c>
    </row>
    <row r="7861" spans="2:5" x14ac:dyDescent="0.2">
      <c r="B7861" s="533">
        <v>9959</v>
      </c>
      <c r="C7861" s="533" t="s">
        <v>6440</v>
      </c>
      <c r="D7861" s="656" t="s">
        <v>366</v>
      </c>
      <c r="E7861" s="534">
        <v>1943.1666459999999</v>
      </c>
    </row>
    <row r="7862" spans="2:5" x14ac:dyDescent="0.2">
      <c r="B7862" s="533">
        <v>9960</v>
      </c>
      <c r="C7862" s="533" t="s">
        <v>6448</v>
      </c>
      <c r="D7862" s="656" t="s">
        <v>366</v>
      </c>
      <c r="E7862" s="534">
        <v>2062.9800289999998</v>
      </c>
    </row>
    <row r="7863" spans="2:5" x14ac:dyDescent="0.2">
      <c r="B7863" s="533">
        <v>9961</v>
      </c>
      <c r="C7863" s="533" t="s">
        <v>6373</v>
      </c>
      <c r="D7863" s="656" t="s">
        <v>366</v>
      </c>
      <c r="E7863" s="534">
        <v>1840.366679</v>
      </c>
    </row>
    <row r="7864" spans="2:5" x14ac:dyDescent="0.2">
      <c r="B7864" s="533">
        <v>9962</v>
      </c>
      <c r="C7864" s="533" t="s">
        <v>6425</v>
      </c>
      <c r="D7864" s="656" t="s">
        <v>366</v>
      </c>
      <c r="E7864" s="534">
        <v>1860.400024</v>
      </c>
    </row>
    <row r="7865" spans="2:5" x14ac:dyDescent="0.2">
      <c r="B7865" s="533">
        <v>9963</v>
      </c>
      <c r="C7865" s="533" t="s">
        <v>1732</v>
      </c>
      <c r="D7865" s="656" t="s">
        <v>366</v>
      </c>
      <c r="E7865" s="534">
        <v>1808.107694</v>
      </c>
    </row>
    <row r="7866" spans="2:5" x14ac:dyDescent="0.2">
      <c r="B7866" s="533">
        <v>9964</v>
      </c>
      <c r="C7866" s="533" t="s">
        <v>6385</v>
      </c>
      <c r="D7866" s="656" t="s">
        <v>366</v>
      </c>
      <c r="E7866" s="534">
        <v>1643.541166</v>
      </c>
    </row>
    <row r="7867" spans="2:5" x14ac:dyDescent="0.2">
      <c r="B7867" s="533">
        <v>9965</v>
      </c>
      <c r="C7867" s="533" t="s">
        <v>6312</v>
      </c>
      <c r="D7867" s="656" t="s">
        <v>366</v>
      </c>
      <c r="E7867" s="534">
        <v>1426.950012</v>
      </c>
    </row>
    <row r="7868" spans="2:5" x14ac:dyDescent="0.2">
      <c r="B7868" s="533">
        <v>9966</v>
      </c>
      <c r="C7868" s="533" t="s">
        <v>6428</v>
      </c>
      <c r="D7868" s="656" t="s">
        <v>366</v>
      </c>
      <c r="E7868" s="534">
        <v>1876.9699949999999</v>
      </c>
    </row>
    <row r="7869" spans="2:5" x14ac:dyDescent="0.2">
      <c r="B7869" s="533">
        <v>9967</v>
      </c>
      <c r="C7869" s="533" t="s">
        <v>6417</v>
      </c>
      <c r="D7869" s="656" t="s">
        <v>366</v>
      </c>
      <c r="E7869" s="534">
        <v>1786.6095379999999</v>
      </c>
    </row>
    <row r="7870" spans="2:5" x14ac:dyDescent="0.2">
      <c r="B7870" s="533">
        <v>9968</v>
      </c>
      <c r="C7870" s="533" t="s">
        <v>6371</v>
      </c>
      <c r="D7870" s="656" t="s">
        <v>366</v>
      </c>
      <c r="E7870" s="534">
        <v>1595.825012</v>
      </c>
    </row>
    <row r="7871" spans="2:5" x14ac:dyDescent="0.2">
      <c r="B7871" s="533">
        <v>9969</v>
      </c>
      <c r="C7871" s="533" t="s">
        <v>6380</v>
      </c>
      <c r="D7871" s="656" t="s">
        <v>366</v>
      </c>
      <c r="E7871" s="534">
        <v>1636.473332</v>
      </c>
    </row>
    <row r="7872" spans="2:5" x14ac:dyDescent="0.2">
      <c r="B7872" s="533">
        <v>9970</v>
      </c>
      <c r="C7872" s="533" t="s">
        <v>7428</v>
      </c>
      <c r="D7872" s="656" t="s">
        <v>366</v>
      </c>
      <c r="E7872" s="534">
        <v>1557.8909249999999</v>
      </c>
    </row>
    <row r="7873" spans="2:5" x14ac:dyDescent="0.2">
      <c r="B7873" s="533">
        <v>9971</v>
      </c>
      <c r="C7873" s="533" t="s">
        <v>7080</v>
      </c>
      <c r="D7873" s="656" t="s">
        <v>366</v>
      </c>
      <c r="E7873" s="534">
        <v>1474.485735</v>
      </c>
    </row>
    <row r="7874" spans="2:5" x14ac:dyDescent="0.2">
      <c r="B7874" s="533">
        <v>9972</v>
      </c>
      <c r="C7874" s="533" t="s">
        <v>6731</v>
      </c>
      <c r="D7874" s="656" t="s">
        <v>366</v>
      </c>
      <c r="E7874" s="534">
        <v>1899.904438</v>
      </c>
    </row>
    <row r="7875" spans="2:5" x14ac:dyDescent="0.2">
      <c r="B7875" s="533">
        <v>9973</v>
      </c>
      <c r="C7875" s="533" t="s">
        <v>6446</v>
      </c>
      <c r="D7875" s="656" t="s">
        <v>366</v>
      </c>
      <c r="E7875" s="534">
        <v>1989.8756760000001</v>
      </c>
    </row>
    <row r="7876" spans="2:5" x14ac:dyDescent="0.2">
      <c r="B7876" s="533">
        <v>9974</v>
      </c>
      <c r="C7876" s="533" t="s">
        <v>6450</v>
      </c>
      <c r="D7876" s="656" t="s">
        <v>366</v>
      </c>
      <c r="E7876" s="534">
        <v>2085.631034</v>
      </c>
    </row>
    <row r="7877" spans="2:5" x14ac:dyDescent="0.2">
      <c r="B7877" s="533">
        <v>9975</v>
      </c>
      <c r="C7877" s="533" t="s">
        <v>6736</v>
      </c>
      <c r="D7877" s="656" t="s">
        <v>366</v>
      </c>
      <c r="E7877" s="534">
        <v>2143.6451609999999</v>
      </c>
    </row>
    <row r="7878" spans="2:5" x14ac:dyDescent="0.2">
      <c r="C7878" s="533"/>
      <c r="D7878" s="533"/>
    </row>
    <row r="7879" spans="2:5" x14ac:dyDescent="0.2">
      <c r="C7879" s="533"/>
      <c r="D7879" s="533"/>
    </row>
    <row r="7880" spans="2:5" x14ac:dyDescent="0.2">
      <c r="C7880" s="533"/>
      <c r="D7880" s="533"/>
    </row>
    <row r="7881" spans="2:5" x14ac:dyDescent="0.2">
      <c r="C7881" s="533"/>
      <c r="D7881" s="533"/>
    </row>
    <row r="7882" spans="2:5" x14ac:dyDescent="0.2">
      <c r="C7882" s="533"/>
      <c r="D7882" s="533"/>
    </row>
    <row r="7883" spans="2:5" x14ac:dyDescent="0.2">
      <c r="C7883" s="533"/>
      <c r="D7883" s="533"/>
    </row>
    <row r="7884" spans="2:5" x14ac:dyDescent="0.2">
      <c r="C7884" s="533"/>
      <c r="D7884" s="533"/>
    </row>
    <row r="7885" spans="2:5" x14ac:dyDescent="0.2">
      <c r="C7885" s="533"/>
      <c r="D7885" s="533"/>
    </row>
    <row r="7886" spans="2:5" x14ac:dyDescent="0.2">
      <c r="C7886" s="533"/>
      <c r="D7886" s="533"/>
    </row>
    <row r="7887" spans="2:5" x14ac:dyDescent="0.2">
      <c r="C7887" s="533"/>
      <c r="D7887" s="533"/>
    </row>
    <row r="7888" spans="2:5" x14ac:dyDescent="0.2">
      <c r="C7888" s="533"/>
      <c r="D7888" s="533"/>
    </row>
    <row r="7889" spans="3:4" x14ac:dyDescent="0.2">
      <c r="C7889" s="533"/>
      <c r="D7889" s="533"/>
    </row>
  </sheetData>
  <sheetProtection algorithmName="SHA-512" hashValue="b5c/I8SsgoS+EilKSe7otudpIFfflh6RmbKfEbNAbI/zLUvXSw1C0AQgVBHYnzpQMCVP6tUtdPAcQmofitNn2g==" saltValue="CJqnUc9eDio4oDWDpi/QOw==" spinCount="100000" sheet="1" autoFilter="0"/>
  <autoFilter ref="B5:D7877" xr:uid="{0CC2C296-8E1C-47BB-9E8A-C3E09D5F5223}"/>
  <mergeCells count="2">
    <mergeCell ref="B3:E3"/>
    <mergeCell ref="B1:E1"/>
  </mergeCells>
  <conditionalFormatting sqref="C2397">
    <cfRule type="duplicateValues" dxfId="0" priority="9"/>
  </conditionalFormatting>
  <pageMargins left="0.7" right="0.7" top="0.78740157499999996" bottom="0.78740157499999996" header="0.3" footer="0.3"/>
  <pageSetup paperSize="9" scale="90" orientation="portrait" horizont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B1DBC-2193-47B9-9F8A-29BE4D89CAAA}">
  <sheetPr codeName="Tabelle13"/>
  <dimension ref="A1:J93"/>
  <sheetViews>
    <sheetView showGridLines="0" zoomScaleNormal="100" zoomScaleSheetLayoutView="100" workbookViewId="0">
      <selection activeCell="B7" sqref="B7"/>
    </sheetView>
  </sheetViews>
  <sheetFormatPr baseColWidth="10" defaultColWidth="11.42578125" defaultRowHeight="14.25" x14ac:dyDescent="0.2"/>
  <cols>
    <col min="1" max="1" width="3.5703125" style="1086" customWidth="1"/>
    <col min="2" max="2" width="29.7109375" style="1086" customWidth="1"/>
    <col min="3" max="3" width="33.42578125" style="1086" customWidth="1"/>
    <col min="4" max="4" width="12.7109375" style="1086" customWidth="1"/>
    <col min="5" max="5" width="8.7109375" style="1086" customWidth="1"/>
    <col min="6" max="6" width="7.28515625" style="1086" customWidth="1"/>
    <col min="7" max="7" width="9.28515625" style="1086" customWidth="1"/>
    <col min="8" max="8" width="7.7109375" style="1086" customWidth="1"/>
    <col min="9" max="9" width="8.28515625" style="1086" customWidth="1"/>
    <col min="10" max="10" width="6.7109375" style="1086" customWidth="1"/>
    <col min="11" max="11" width="1.42578125" style="1086" customWidth="1"/>
    <col min="12" max="16384" width="11.42578125" style="1086"/>
  </cols>
  <sheetData>
    <row r="1" spans="1:10" ht="21.75" customHeight="1" x14ac:dyDescent="0.3">
      <c r="B1" s="1682" t="str">
        <f>CONCATENATE("Abgabeliste ",'Nährstoffe und Lagerraum'!D5)</f>
        <v>Abgabeliste 2024</v>
      </c>
      <c r="C1" s="1682"/>
      <c r="D1" s="1682"/>
      <c r="E1" s="1682"/>
      <c r="F1" s="1682"/>
      <c r="G1" s="1682"/>
      <c r="H1" s="1682"/>
      <c r="I1" s="1682"/>
      <c r="J1" s="1682"/>
    </row>
    <row r="2" spans="1:10" ht="9.6" customHeight="1" x14ac:dyDescent="0.2"/>
    <row r="3" spans="1:10" ht="30" customHeight="1" x14ac:dyDescent="0.3">
      <c r="A3" s="1681" t="s">
        <v>7917</v>
      </c>
      <c r="B3" s="1681"/>
      <c r="C3" s="1681"/>
      <c r="D3" s="1681"/>
      <c r="E3" s="1681"/>
      <c r="F3" s="1681"/>
      <c r="G3" s="1681"/>
      <c r="H3" s="1108"/>
      <c r="I3" s="1108"/>
      <c r="J3" s="1108"/>
    </row>
    <row r="4" spans="1:10" ht="36" customHeight="1" x14ac:dyDescent="0.35">
      <c r="A4" s="1688"/>
      <c r="B4" s="1683" t="s">
        <v>7916</v>
      </c>
      <c r="C4" s="1683" t="s">
        <v>7915</v>
      </c>
      <c r="D4" s="1683" t="s">
        <v>7914</v>
      </c>
      <c r="E4" s="1683" t="s">
        <v>7913</v>
      </c>
      <c r="F4" s="1683" t="s">
        <v>329</v>
      </c>
      <c r="G4" s="1685" t="s">
        <v>7912</v>
      </c>
      <c r="H4" s="1095" t="s">
        <v>4</v>
      </c>
      <c r="I4" s="1095" t="s">
        <v>7919</v>
      </c>
      <c r="J4" s="1095" t="s">
        <v>7920</v>
      </c>
    </row>
    <row r="5" spans="1:10" ht="15" x14ac:dyDescent="0.2">
      <c r="A5" s="1689"/>
      <c r="B5" s="1684"/>
      <c r="C5" s="1684"/>
      <c r="D5" s="1684"/>
      <c r="E5" s="1684"/>
      <c r="F5" s="1684"/>
      <c r="G5" s="1686"/>
      <c r="H5" s="1687" t="s">
        <v>7911</v>
      </c>
      <c r="I5" s="1687"/>
      <c r="J5" s="1687"/>
    </row>
    <row r="6" spans="1:10" ht="15.75" thickBot="1" x14ac:dyDescent="0.25">
      <c r="A6" s="1094"/>
      <c r="B6" s="1087" t="s">
        <v>7918</v>
      </c>
      <c r="C6" s="1088"/>
      <c r="D6" s="1089"/>
      <c r="E6" s="1090">
        <f>SUM(E7:E60)</f>
        <v>0</v>
      </c>
      <c r="F6" s="1090" t="str">
        <f>IF($E6=0,"",SUMPRODUCT(F7:F60,$E7:$E60)/$E6)</f>
        <v/>
      </c>
      <c r="G6" s="1091"/>
      <c r="H6" s="1090" t="str">
        <f>IF($E6=0,"",SUMPRODUCT(H7:H60,$E7:$E60)/$E6)</f>
        <v/>
      </c>
      <c r="I6" s="1090" t="str">
        <f>IF($E6=0,"",SUMPRODUCT(I7:I60,$E7:$E60)/$E6)</f>
        <v/>
      </c>
      <c r="J6" s="1090" t="str">
        <f>IF($E6=0,"",SUMPRODUCT(J7:J60,$E7:$E60)/$E6)</f>
        <v/>
      </c>
    </row>
    <row r="7" spans="1:10" ht="15" thickTop="1" x14ac:dyDescent="0.2">
      <c r="A7" s="1092">
        <v>1</v>
      </c>
      <c r="B7" s="1096"/>
      <c r="C7" s="1096"/>
      <c r="D7" s="1097"/>
      <c r="E7" s="1097"/>
      <c r="F7" s="1097"/>
      <c r="G7" s="1098"/>
      <c r="H7" s="1097"/>
      <c r="I7" s="1097"/>
      <c r="J7" s="1097"/>
    </row>
    <row r="8" spans="1:10" x14ac:dyDescent="0.2">
      <c r="A8" s="1093">
        <v>2</v>
      </c>
      <c r="B8" s="1099"/>
      <c r="C8" s="1099"/>
      <c r="D8" s="1100"/>
      <c r="E8" s="1100"/>
      <c r="F8" s="1100"/>
      <c r="G8" s="1100"/>
      <c r="H8" s="1100"/>
      <c r="I8" s="1100"/>
      <c r="J8" s="1100"/>
    </row>
    <row r="9" spans="1:10" x14ac:dyDescent="0.2">
      <c r="A9" s="1093">
        <v>3</v>
      </c>
      <c r="B9" s="1099"/>
      <c r="C9" s="1099"/>
      <c r="D9" s="1100"/>
      <c r="E9" s="1100"/>
      <c r="F9" s="1100"/>
      <c r="G9" s="1100"/>
      <c r="H9" s="1100"/>
      <c r="I9" s="1100"/>
      <c r="J9" s="1100"/>
    </row>
    <row r="10" spans="1:10" x14ac:dyDescent="0.2">
      <c r="A10" s="1093">
        <v>4</v>
      </c>
      <c r="B10" s="1099"/>
      <c r="C10" s="1099"/>
      <c r="D10" s="1100"/>
      <c r="E10" s="1100"/>
      <c r="F10" s="1100"/>
      <c r="G10" s="1100"/>
      <c r="H10" s="1100"/>
      <c r="I10" s="1100"/>
      <c r="J10" s="1100"/>
    </row>
    <row r="11" spans="1:10" x14ac:dyDescent="0.2">
      <c r="A11" s="1093">
        <v>5</v>
      </c>
      <c r="B11" s="1099"/>
      <c r="C11" s="1099"/>
      <c r="D11" s="1100"/>
      <c r="E11" s="1100"/>
      <c r="F11" s="1100"/>
      <c r="G11" s="1100"/>
      <c r="H11" s="1100"/>
      <c r="I11" s="1100"/>
      <c r="J11" s="1100"/>
    </row>
    <row r="12" spans="1:10" x14ac:dyDescent="0.2">
      <c r="A12" s="1093">
        <v>6</v>
      </c>
      <c r="B12" s="1099"/>
      <c r="C12" s="1099"/>
      <c r="D12" s="1100"/>
      <c r="E12" s="1100"/>
      <c r="F12" s="1100"/>
      <c r="G12" s="1100"/>
      <c r="H12" s="1100"/>
      <c r="I12" s="1100"/>
      <c r="J12" s="1100"/>
    </row>
    <row r="13" spans="1:10" x14ac:dyDescent="0.2">
      <c r="A13" s="1093">
        <v>7</v>
      </c>
      <c r="B13" s="1099"/>
      <c r="C13" s="1099"/>
      <c r="D13" s="1100"/>
      <c r="E13" s="1100"/>
      <c r="F13" s="1100"/>
      <c r="G13" s="1100"/>
      <c r="H13" s="1100"/>
      <c r="I13" s="1100"/>
      <c r="J13" s="1100"/>
    </row>
    <row r="14" spans="1:10" x14ac:dyDescent="0.2">
      <c r="A14" s="1093">
        <v>8</v>
      </c>
      <c r="B14" s="1099"/>
      <c r="C14" s="1099"/>
      <c r="D14" s="1100"/>
      <c r="E14" s="1100"/>
      <c r="F14" s="1100"/>
      <c r="G14" s="1100"/>
      <c r="H14" s="1100"/>
      <c r="I14" s="1100"/>
      <c r="J14" s="1100"/>
    </row>
    <row r="15" spans="1:10" x14ac:dyDescent="0.2">
      <c r="A15" s="1093">
        <v>9</v>
      </c>
      <c r="B15" s="1099"/>
      <c r="C15" s="1099"/>
      <c r="D15" s="1100"/>
      <c r="E15" s="1100"/>
      <c r="F15" s="1100"/>
      <c r="G15" s="1100"/>
      <c r="H15" s="1100"/>
      <c r="I15" s="1100"/>
      <c r="J15" s="1100"/>
    </row>
    <row r="16" spans="1:10" x14ac:dyDescent="0.2">
      <c r="A16" s="1093">
        <v>10</v>
      </c>
      <c r="B16" s="1099"/>
      <c r="C16" s="1099"/>
      <c r="D16" s="1100"/>
      <c r="E16" s="1100"/>
      <c r="F16" s="1100"/>
      <c r="G16" s="1100"/>
      <c r="H16" s="1100"/>
      <c r="I16" s="1100"/>
      <c r="J16" s="1100"/>
    </row>
    <row r="17" spans="1:10" x14ac:dyDescent="0.2">
      <c r="A17" s="1093">
        <v>11</v>
      </c>
      <c r="B17" s="1099"/>
      <c r="C17" s="1099"/>
      <c r="D17" s="1100"/>
      <c r="E17" s="1100"/>
      <c r="F17" s="1100"/>
      <c r="G17" s="1100"/>
      <c r="H17" s="1100"/>
      <c r="I17" s="1100"/>
      <c r="J17" s="1100"/>
    </row>
    <row r="18" spans="1:10" x14ac:dyDescent="0.2">
      <c r="A18" s="1093">
        <v>12</v>
      </c>
      <c r="B18" s="1099"/>
      <c r="C18" s="1099"/>
      <c r="D18" s="1100"/>
      <c r="E18" s="1100"/>
      <c r="F18" s="1100"/>
      <c r="G18" s="1100"/>
      <c r="H18" s="1100"/>
      <c r="I18" s="1100"/>
      <c r="J18" s="1100"/>
    </row>
    <row r="19" spans="1:10" x14ac:dyDescent="0.2">
      <c r="A19" s="1093">
        <v>13</v>
      </c>
      <c r="B19" s="1099"/>
      <c r="C19" s="1099"/>
      <c r="D19" s="1100"/>
      <c r="E19" s="1100"/>
      <c r="F19" s="1100"/>
      <c r="G19" s="1100"/>
      <c r="H19" s="1100"/>
      <c r="I19" s="1100"/>
      <c r="J19" s="1100"/>
    </row>
    <row r="20" spans="1:10" x14ac:dyDescent="0.2">
      <c r="A20" s="1093">
        <v>14</v>
      </c>
      <c r="B20" s="1099"/>
      <c r="C20" s="1099"/>
      <c r="D20" s="1100"/>
      <c r="E20" s="1100"/>
      <c r="F20" s="1100"/>
      <c r="G20" s="1100"/>
      <c r="H20" s="1100"/>
      <c r="I20" s="1100"/>
      <c r="J20" s="1100"/>
    </row>
    <row r="21" spans="1:10" x14ac:dyDescent="0.2">
      <c r="A21" s="1093">
        <v>15</v>
      </c>
      <c r="B21" s="1099"/>
      <c r="C21" s="1099"/>
      <c r="D21" s="1100"/>
      <c r="E21" s="1100"/>
      <c r="F21" s="1100"/>
      <c r="G21" s="1100"/>
      <c r="H21" s="1100"/>
      <c r="I21" s="1100"/>
      <c r="J21" s="1100"/>
    </row>
    <row r="22" spans="1:10" x14ac:dyDescent="0.2">
      <c r="A22" s="1093">
        <v>16</v>
      </c>
      <c r="B22" s="1099"/>
      <c r="C22" s="1099"/>
      <c r="D22" s="1100"/>
      <c r="E22" s="1100"/>
      <c r="F22" s="1100"/>
      <c r="G22" s="1100"/>
      <c r="H22" s="1100"/>
      <c r="I22" s="1100"/>
      <c r="J22" s="1100"/>
    </row>
    <row r="23" spans="1:10" x14ac:dyDescent="0.2">
      <c r="A23" s="1093">
        <v>17</v>
      </c>
      <c r="B23" s="1099"/>
      <c r="C23" s="1099"/>
      <c r="D23" s="1100"/>
      <c r="E23" s="1100"/>
      <c r="F23" s="1100"/>
      <c r="G23" s="1100"/>
      <c r="H23" s="1100"/>
      <c r="I23" s="1100"/>
      <c r="J23" s="1100"/>
    </row>
    <row r="24" spans="1:10" x14ac:dyDescent="0.2">
      <c r="A24" s="1093">
        <v>18</v>
      </c>
      <c r="B24" s="1099"/>
      <c r="C24" s="1099"/>
      <c r="D24" s="1100"/>
      <c r="E24" s="1100"/>
      <c r="F24" s="1100"/>
      <c r="G24" s="1100"/>
      <c r="H24" s="1100"/>
      <c r="I24" s="1100"/>
      <c r="J24" s="1100"/>
    </row>
    <row r="25" spans="1:10" x14ac:dyDescent="0.2">
      <c r="A25" s="1093">
        <v>19</v>
      </c>
      <c r="B25" s="1099"/>
      <c r="C25" s="1099"/>
      <c r="D25" s="1100"/>
      <c r="E25" s="1100"/>
      <c r="F25" s="1100"/>
      <c r="G25" s="1100"/>
      <c r="H25" s="1100"/>
      <c r="I25" s="1100"/>
      <c r="J25" s="1100"/>
    </row>
    <row r="26" spans="1:10" x14ac:dyDescent="0.2">
      <c r="A26" s="1093">
        <v>20</v>
      </c>
      <c r="B26" s="1099"/>
      <c r="C26" s="1099"/>
      <c r="D26" s="1100"/>
      <c r="E26" s="1100"/>
      <c r="F26" s="1100"/>
      <c r="G26" s="1100"/>
      <c r="H26" s="1100"/>
      <c r="I26" s="1100"/>
      <c r="J26" s="1100"/>
    </row>
    <row r="27" spans="1:10" x14ac:dyDescent="0.2">
      <c r="A27" s="1093">
        <v>21</v>
      </c>
      <c r="B27" s="1099"/>
      <c r="C27" s="1099"/>
      <c r="D27" s="1100"/>
      <c r="E27" s="1100"/>
      <c r="F27" s="1100"/>
      <c r="G27" s="1100"/>
      <c r="H27" s="1100"/>
      <c r="I27" s="1100"/>
      <c r="J27" s="1100"/>
    </row>
    <row r="28" spans="1:10" x14ac:dyDescent="0.2">
      <c r="A28" s="1093">
        <v>22</v>
      </c>
      <c r="B28" s="1099"/>
      <c r="C28" s="1099"/>
      <c r="D28" s="1100"/>
      <c r="E28" s="1100"/>
      <c r="F28" s="1100"/>
      <c r="G28" s="1100"/>
      <c r="H28" s="1100"/>
      <c r="I28" s="1100"/>
      <c r="J28" s="1100"/>
    </row>
    <row r="29" spans="1:10" x14ac:dyDescent="0.2">
      <c r="A29" s="1093">
        <v>23</v>
      </c>
      <c r="B29" s="1099"/>
      <c r="C29" s="1099"/>
      <c r="D29" s="1100"/>
      <c r="E29" s="1100"/>
      <c r="F29" s="1100"/>
      <c r="G29" s="1100"/>
      <c r="H29" s="1100"/>
      <c r="I29" s="1100"/>
      <c r="J29" s="1100"/>
    </row>
    <row r="30" spans="1:10" x14ac:dyDescent="0.2">
      <c r="A30" s="1093">
        <v>24</v>
      </c>
      <c r="B30" s="1099"/>
      <c r="C30" s="1099"/>
      <c r="D30" s="1100"/>
      <c r="E30" s="1100"/>
      <c r="F30" s="1100"/>
      <c r="G30" s="1100"/>
      <c r="H30" s="1100"/>
      <c r="I30" s="1100"/>
      <c r="J30" s="1100"/>
    </row>
    <row r="31" spans="1:10" x14ac:dyDescent="0.2">
      <c r="A31" s="1093">
        <v>25</v>
      </c>
      <c r="B31" s="1099"/>
      <c r="C31" s="1099"/>
      <c r="D31" s="1100"/>
      <c r="E31" s="1100"/>
      <c r="F31" s="1100"/>
      <c r="G31" s="1100"/>
      <c r="H31" s="1100"/>
      <c r="I31" s="1100"/>
      <c r="J31" s="1100"/>
    </row>
    <row r="32" spans="1:10" x14ac:dyDescent="0.2">
      <c r="A32" s="1093">
        <v>26</v>
      </c>
      <c r="B32" s="1099"/>
      <c r="C32" s="1099"/>
      <c r="D32" s="1100"/>
      <c r="E32" s="1100"/>
      <c r="F32" s="1100"/>
      <c r="G32" s="1100"/>
      <c r="H32" s="1100"/>
      <c r="I32" s="1100"/>
      <c r="J32" s="1100"/>
    </row>
    <row r="33" spans="1:10" x14ac:dyDescent="0.2">
      <c r="A33" s="1093">
        <v>27</v>
      </c>
      <c r="B33" s="1099"/>
      <c r="C33" s="1099"/>
      <c r="D33" s="1100"/>
      <c r="E33" s="1100"/>
      <c r="F33" s="1100"/>
      <c r="G33" s="1100"/>
      <c r="H33" s="1100"/>
      <c r="I33" s="1100"/>
      <c r="J33" s="1100"/>
    </row>
    <row r="34" spans="1:10" x14ac:dyDescent="0.2">
      <c r="A34" s="1093">
        <v>28</v>
      </c>
      <c r="B34" s="1099"/>
      <c r="C34" s="1099"/>
      <c r="D34" s="1100"/>
      <c r="E34" s="1100"/>
      <c r="F34" s="1100"/>
      <c r="G34" s="1100"/>
      <c r="H34" s="1100"/>
      <c r="I34" s="1100"/>
      <c r="J34" s="1100"/>
    </row>
    <row r="35" spans="1:10" x14ac:dyDescent="0.2">
      <c r="A35" s="1093">
        <v>29</v>
      </c>
      <c r="B35" s="1099"/>
      <c r="C35" s="1099"/>
      <c r="D35" s="1100"/>
      <c r="E35" s="1100"/>
      <c r="F35" s="1100"/>
      <c r="G35" s="1100"/>
      <c r="H35" s="1100"/>
      <c r="I35" s="1100"/>
      <c r="J35" s="1100"/>
    </row>
    <row r="36" spans="1:10" x14ac:dyDescent="0.2">
      <c r="A36" s="1093">
        <v>30</v>
      </c>
      <c r="B36" s="1099"/>
      <c r="C36" s="1099"/>
      <c r="D36" s="1100"/>
      <c r="E36" s="1100"/>
      <c r="F36" s="1100"/>
      <c r="G36" s="1100"/>
      <c r="H36" s="1100"/>
      <c r="I36" s="1100"/>
      <c r="J36" s="1100"/>
    </row>
    <row r="37" spans="1:10" x14ac:dyDescent="0.2">
      <c r="A37" s="1093">
        <v>31</v>
      </c>
      <c r="B37" s="1099"/>
      <c r="C37" s="1099"/>
      <c r="D37" s="1100"/>
      <c r="E37" s="1100"/>
      <c r="F37" s="1100"/>
      <c r="G37" s="1100"/>
      <c r="H37" s="1100"/>
      <c r="I37" s="1100"/>
      <c r="J37" s="1100"/>
    </row>
    <row r="38" spans="1:10" x14ac:dyDescent="0.2">
      <c r="A38" s="1093">
        <v>32</v>
      </c>
      <c r="B38" s="1099"/>
      <c r="C38" s="1099"/>
      <c r="D38" s="1100"/>
      <c r="E38" s="1100"/>
      <c r="F38" s="1100"/>
      <c r="G38" s="1100"/>
      <c r="H38" s="1100"/>
      <c r="I38" s="1100"/>
      <c r="J38" s="1100"/>
    </row>
    <row r="39" spans="1:10" x14ac:dyDescent="0.2">
      <c r="A39" s="1093">
        <v>33</v>
      </c>
      <c r="B39" s="1099"/>
      <c r="C39" s="1099"/>
      <c r="D39" s="1100"/>
      <c r="E39" s="1100"/>
      <c r="F39" s="1100"/>
      <c r="G39" s="1100"/>
      <c r="H39" s="1100"/>
      <c r="I39" s="1100"/>
      <c r="J39" s="1100"/>
    </row>
    <row r="40" spans="1:10" x14ac:dyDescent="0.2">
      <c r="A40" s="1093">
        <v>34</v>
      </c>
      <c r="B40" s="1099"/>
      <c r="C40" s="1099"/>
      <c r="D40" s="1100"/>
      <c r="E40" s="1100"/>
      <c r="F40" s="1100"/>
      <c r="G40" s="1100"/>
      <c r="H40" s="1100"/>
      <c r="I40" s="1100"/>
      <c r="J40" s="1100"/>
    </row>
    <row r="41" spans="1:10" x14ac:dyDescent="0.2">
      <c r="A41" s="1093">
        <v>35</v>
      </c>
      <c r="B41" s="1099"/>
      <c r="C41" s="1099"/>
      <c r="D41" s="1100"/>
      <c r="E41" s="1100"/>
      <c r="F41" s="1100"/>
      <c r="G41" s="1100"/>
      <c r="H41" s="1100"/>
      <c r="I41" s="1100"/>
      <c r="J41" s="1100"/>
    </row>
    <row r="42" spans="1:10" x14ac:dyDescent="0.2">
      <c r="A42" s="1093">
        <v>36</v>
      </c>
      <c r="B42" s="1099"/>
      <c r="C42" s="1099"/>
      <c r="D42" s="1100"/>
      <c r="E42" s="1100"/>
      <c r="F42" s="1100"/>
      <c r="G42" s="1100"/>
      <c r="H42" s="1100"/>
      <c r="I42" s="1100"/>
      <c r="J42" s="1100"/>
    </row>
    <row r="43" spans="1:10" x14ac:dyDescent="0.2">
      <c r="A43" s="1093">
        <v>37</v>
      </c>
      <c r="B43" s="1099"/>
      <c r="C43" s="1099"/>
      <c r="D43" s="1100"/>
      <c r="E43" s="1100"/>
      <c r="F43" s="1100"/>
      <c r="G43" s="1100"/>
      <c r="H43" s="1100"/>
      <c r="I43" s="1100"/>
      <c r="J43" s="1100"/>
    </row>
    <row r="44" spans="1:10" x14ac:dyDescent="0.2">
      <c r="A44" s="1093">
        <v>38</v>
      </c>
      <c r="B44" s="1099"/>
      <c r="C44" s="1099"/>
      <c r="D44" s="1100"/>
      <c r="E44" s="1100"/>
      <c r="F44" s="1100"/>
      <c r="G44" s="1100"/>
      <c r="H44" s="1100"/>
      <c r="I44" s="1100"/>
      <c r="J44" s="1100"/>
    </row>
    <row r="45" spans="1:10" x14ac:dyDescent="0.2">
      <c r="A45" s="1093">
        <v>39</v>
      </c>
      <c r="B45" s="1099"/>
      <c r="C45" s="1099"/>
      <c r="D45" s="1100"/>
      <c r="E45" s="1100"/>
      <c r="F45" s="1100"/>
      <c r="G45" s="1100"/>
      <c r="H45" s="1100"/>
      <c r="I45" s="1100"/>
      <c r="J45" s="1100"/>
    </row>
    <row r="46" spans="1:10" x14ac:dyDescent="0.2">
      <c r="A46" s="1093">
        <v>40</v>
      </c>
      <c r="B46" s="1099"/>
      <c r="C46" s="1099"/>
      <c r="D46" s="1100"/>
      <c r="E46" s="1100"/>
      <c r="F46" s="1100"/>
      <c r="G46" s="1100"/>
      <c r="H46" s="1100"/>
      <c r="I46" s="1100"/>
      <c r="J46" s="1100"/>
    </row>
    <row r="47" spans="1:10" x14ac:dyDescent="0.2">
      <c r="A47" s="1093">
        <v>41</v>
      </c>
      <c r="B47" s="1099"/>
      <c r="C47" s="1099"/>
      <c r="D47" s="1100"/>
      <c r="E47" s="1100"/>
      <c r="F47" s="1100"/>
      <c r="G47" s="1100"/>
      <c r="H47" s="1100"/>
      <c r="I47" s="1100"/>
      <c r="J47" s="1100"/>
    </row>
    <row r="48" spans="1:10" x14ac:dyDescent="0.2">
      <c r="A48" s="1093">
        <v>42</v>
      </c>
      <c r="B48" s="1099"/>
      <c r="C48" s="1099"/>
      <c r="D48" s="1100"/>
      <c r="E48" s="1100"/>
      <c r="F48" s="1100"/>
      <c r="G48" s="1100"/>
      <c r="H48" s="1100"/>
      <c r="I48" s="1100"/>
      <c r="J48" s="1100"/>
    </row>
    <row r="49" spans="1:10" x14ac:dyDescent="0.2">
      <c r="A49" s="1093">
        <v>43</v>
      </c>
      <c r="B49" s="1099"/>
      <c r="C49" s="1099"/>
      <c r="D49" s="1100"/>
      <c r="E49" s="1100"/>
      <c r="F49" s="1100"/>
      <c r="G49" s="1100"/>
      <c r="H49" s="1100"/>
      <c r="I49" s="1100"/>
      <c r="J49" s="1100"/>
    </row>
    <row r="50" spans="1:10" x14ac:dyDescent="0.2">
      <c r="A50" s="1093">
        <v>44</v>
      </c>
      <c r="B50" s="1099"/>
      <c r="C50" s="1099"/>
      <c r="D50" s="1100"/>
      <c r="E50" s="1100"/>
      <c r="F50" s="1100"/>
      <c r="G50" s="1100"/>
      <c r="H50" s="1100"/>
      <c r="I50" s="1100"/>
      <c r="J50" s="1100"/>
    </row>
    <row r="51" spans="1:10" x14ac:dyDescent="0.2">
      <c r="A51" s="1093">
        <v>45</v>
      </c>
      <c r="B51" s="1099"/>
      <c r="C51" s="1099"/>
      <c r="D51" s="1100"/>
      <c r="E51" s="1100"/>
      <c r="F51" s="1100"/>
      <c r="G51" s="1100"/>
      <c r="H51" s="1100"/>
      <c r="I51" s="1100"/>
      <c r="J51" s="1100"/>
    </row>
    <row r="52" spans="1:10" x14ac:dyDescent="0.2">
      <c r="A52" s="1093">
        <v>46</v>
      </c>
      <c r="B52" s="1099"/>
      <c r="C52" s="1099"/>
      <c r="D52" s="1100"/>
      <c r="E52" s="1100"/>
      <c r="F52" s="1100"/>
      <c r="G52" s="1100"/>
      <c r="H52" s="1100"/>
      <c r="I52" s="1100"/>
      <c r="J52" s="1100"/>
    </row>
    <row r="53" spans="1:10" x14ac:dyDescent="0.2">
      <c r="A53" s="1093">
        <v>47</v>
      </c>
      <c r="B53" s="1099"/>
      <c r="C53" s="1099"/>
      <c r="D53" s="1100"/>
      <c r="E53" s="1100"/>
      <c r="F53" s="1100"/>
      <c r="G53" s="1100"/>
      <c r="H53" s="1100"/>
      <c r="I53" s="1100"/>
      <c r="J53" s="1100"/>
    </row>
    <row r="54" spans="1:10" x14ac:dyDescent="0.2">
      <c r="A54" s="1093">
        <v>48</v>
      </c>
      <c r="B54" s="1099"/>
      <c r="C54" s="1099"/>
      <c r="D54" s="1100"/>
      <c r="E54" s="1100"/>
      <c r="F54" s="1100"/>
      <c r="G54" s="1100"/>
      <c r="H54" s="1100"/>
      <c r="I54" s="1100"/>
      <c r="J54" s="1100"/>
    </row>
    <row r="55" spans="1:10" x14ac:dyDescent="0.2">
      <c r="A55" s="1093">
        <v>49</v>
      </c>
      <c r="B55" s="1099"/>
      <c r="C55" s="1099"/>
      <c r="D55" s="1100"/>
      <c r="E55" s="1100"/>
      <c r="F55" s="1100"/>
      <c r="G55" s="1100"/>
      <c r="H55" s="1100"/>
      <c r="I55" s="1100"/>
      <c r="J55" s="1100"/>
    </row>
    <row r="56" spans="1:10" x14ac:dyDescent="0.2">
      <c r="A56" s="1093">
        <v>50</v>
      </c>
      <c r="B56" s="1099"/>
      <c r="C56" s="1099"/>
      <c r="D56" s="1100"/>
      <c r="E56" s="1100"/>
      <c r="F56" s="1100"/>
      <c r="G56" s="1100"/>
      <c r="H56" s="1100"/>
      <c r="I56" s="1100"/>
      <c r="J56" s="1100"/>
    </row>
    <row r="57" spans="1:10" x14ac:dyDescent="0.2">
      <c r="A57" s="1093">
        <v>51</v>
      </c>
      <c r="B57" s="1099"/>
      <c r="C57" s="1099"/>
      <c r="D57" s="1100"/>
      <c r="E57" s="1100"/>
      <c r="F57" s="1100"/>
      <c r="G57" s="1100"/>
      <c r="H57" s="1100"/>
      <c r="I57" s="1100"/>
      <c r="J57" s="1100"/>
    </row>
    <row r="58" spans="1:10" x14ac:dyDescent="0.2">
      <c r="A58" s="1093">
        <v>52</v>
      </c>
      <c r="B58" s="1099"/>
      <c r="C58" s="1099"/>
      <c r="D58" s="1100"/>
      <c r="E58" s="1100"/>
      <c r="F58" s="1100"/>
      <c r="G58" s="1100"/>
      <c r="H58" s="1100"/>
      <c r="I58" s="1100"/>
      <c r="J58" s="1100"/>
    </row>
    <row r="59" spans="1:10" x14ac:dyDescent="0.2">
      <c r="A59" s="1093">
        <v>53</v>
      </c>
      <c r="B59" s="1099"/>
      <c r="C59" s="1099"/>
      <c r="D59" s="1100"/>
      <c r="E59" s="1100"/>
      <c r="F59" s="1100"/>
      <c r="G59" s="1100"/>
      <c r="H59" s="1100"/>
      <c r="I59" s="1100"/>
      <c r="J59" s="1100"/>
    </row>
    <row r="60" spans="1:10" x14ac:dyDescent="0.2">
      <c r="A60" s="1093">
        <v>54</v>
      </c>
      <c r="B60" s="1099"/>
      <c r="C60" s="1099"/>
      <c r="D60" s="1100"/>
      <c r="E60" s="1100"/>
      <c r="F60" s="1100"/>
      <c r="G60" s="1100"/>
      <c r="H60" s="1100"/>
      <c r="I60" s="1100"/>
      <c r="J60" s="1100"/>
    </row>
    <row r="61" spans="1:10" customFormat="1" ht="12.75" x14ac:dyDescent="0.2"/>
    <row r="62" spans="1:10" ht="20.25" x14ac:dyDescent="0.3">
      <c r="A62" s="1690" t="str">
        <f>CONCATENATE("Aufnahmeliste ",'Nährstoffe und Lagerraum'!D5)</f>
        <v>Aufnahmeliste 2024</v>
      </c>
      <c r="B62" s="1690"/>
      <c r="C62" s="1690"/>
      <c r="D62" s="1690"/>
      <c r="E62" s="1690"/>
      <c r="F62" s="1690"/>
      <c r="G62" s="1690"/>
      <c r="H62" s="1690"/>
      <c r="I62" s="1690"/>
      <c r="J62" s="1690"/>
    </row>
    <row r="63" spans="1:10" ht="25.5" customHeight="1" x14ac:dyDescent="0.35">
      <c r="A63" s="1688"/>
      <c r="B63" s="1683" t="s">
        <v>7916</v>
      </c>
      <c r="C63" s="1683" t="s">
        <v>7915</v>
      </c>
      <c r="D63" s="1683" t="s">
        <v>7914</v>
      </c>
      <c r="E63" s="1683" t="s">
        <v>7913</v>
      </c>
      <c r="F63" s="1683" t="s">
        <v>329</v>
      </c>
      <c r="G63" s="1685" t="s">
        <v>7912</v>
      </c>
      <c r="H63" s="1095" t="s">
        <v>4</v>
      </c>
      <c r="I63" s="1095" t="s">
        <v>7919</v>
      </c>
      <c r="J63" s="1095" t="s">
        <v>7920</v>
      </c>
    </row>
    <row r="64" spans="1:10" ht="21" customHeight="1" x14ac:dyDescent="0.2">
      <c r="A64" s="1689"/>
      <c r="B64" s="1684"/>
      <c r="C64" s="1684"/>
      <c r="D64" s="1684"/>
      <c r="E64" s="1684"/>
      <c r="F64" s="1684"/>
      <c r="G64" s="1686"/>
      <c r="H64" s="1687" t="s">
        <v>7911</v>
      </c>
      <c r="I64" s="1687"/>
      <c r="J64" s="1687"/>
    </row>
    <row r="65" spans="1:10" ht="17.25" customHeight="1" thickBot="1" x14ac:dyDescent="0.25">
      <c r="A65" s="1094"/>
      <c r="B65" s="1087" t="s">
        <v>7918</v>
      </c>
      <c r="C65" s="1088"/>
      <c r="D65" s="1089"/>
      <c r="E65" s="1090">
        <f>SUM(E66:E93)</f>
        <v>0</v>
      </c>
      <c r="F65" s="1090" t="str">
        <f>IF($E65=0,"",SUMPRODUCT(F66:F93,$E66:$E93)/$E65)</f>
        <v/>
      </c>
      <c r="G65" s="1091"/>
      <c r="H65" s="1090" t="str">
        <f>IF($E65=0,"",SUMPRODUCT(H66:H93,$E66:$E93)/$E65)</f>
        <v/>
      </c>
      <c r="I65" s="1090" t="str">
        <f>IF($E65=0,"",SUMPRODUCT(I66:I93,$E66:$E93)/$E65)</f>
        <v/>
      </c>
      <c r="J65" s="1090" t="str">
        <f>IF($E65=0,"",SUMPRODUCT(J66:J93,$E66:$E93)/$E65)</f>
        <v/>
      </c>
    </row>
    <row r="66" spans="1:10" ht="15" thickTop="1" x14ac:dyDescent="0.2">
      <c r="A66" s="1093">
        <v>1</v>
      </c>
      <c r="B66" s="1103"/>
      <c r="C66" s="1103"/>
      <c r="D66" s="1100"/>
      <c r="E66" s="1100"/>
      <c r="F66" s="1100"/>
      <c r="G66" s="1100"/>
      <c r="H66" s="1100"/>
      <c r="I66" s="1100"/>
      <c r="J66" s="1100"/>
    </row>
    <row r="67" spans="1:10" x14ac:dyDescent="0.2">
      <c r="A67" s="1093">
        <v>2</v>
      </c>
      <c r="B67" s="1103"/>
      <c r="C67" s="1103"/>
      <c r="D67" s="1100"/>
      <c r="E67" s="1100"/>
      <c r="F67" s="1100"/>
      <c r="G67" s="1100"/>
      <c r="H67" s="1100"/>
      <c r="I67" s="1100"/>
      <c r="J67" s="1100"/>
    </row>
    <row r="68" spans="1:10" x14ac:dyDescent="0.2">
      <c r="A68" s="1093">
        <v>3</v>
      </c>
      <c r="B68" s="1103"/>
      <c r="C68" s="1103"/>
      <c r="D68" s="1100"/>
      <c r="E68" s="1100"/>
      <c r="F68" s="1100"/>
      <c r="G68" s="1100"/>
      <c r="H68" s="1100"/>
      <c r="I68" s="1100"/>
      <c r="J68" s="1100"/>
    </row>
    <row r="69" spans="1:10" x14ac:dyDescent="0.2">
      <c r="A69" s="1093">
        <v>4</v>
      </c>
      <c r="B69" s="1103"/>
      <c r="C69" s="1103"/>
      <c r="D69" s="1100"/>
      <c r="E69" s="1100"/>
      <c r="F69" s="1100"/>
      <c r="G69" s="1100"/>
      <c r="H69" s="1100"/>
      <c r="I69" s="1100"/>
      <c r="J69" s="1100"/>
    </row>
    <row r="70" spans="1:10" x14ac:dyDescent="0.2">
      <c r="A70" s="1093">
        <v>5</v>
      </c>
      <c r="B70" s="1103"/>
      <c r="C70" s="1103"/>
      <c r="D70" s="1100"/>
      <c r="E70" s="1100"/>
      <c r="F70" s="1100"/>
      <c r="G70" s="1100"/>
      <c r="H70" s="1100"/>
      <c r="I70" s="1100"/>
      <c r="J70" s="1100"/>
    </row>
    <row r="71" spans="1:10" x14ac:dyDescent="0.2">
      <c r="A71" s="1093">
        <v>6</v>
      </c>
      <c r="B71" s="1103"/>
      <c r="C71" s="1103"/>
      <c r="D71" s="1100"/>
      <c r="E71" s="1100"/>
      <c r="F71" s="1100"/>
      <c r="G71" s="1100"/>
      <c r="H71" s="1100"/>
      <c r="I71" s="1100"/>
      <c r="J71" s="1100"/>
    </row>
    <row r="72" spans="1:10" x14ac:dyDescent="0.2">
      <c r="A72" s="1093">
        <v>7</v>
      </c>
      <c r="B72" s="1103"/>
      <c r="C72" s="1103"/>
      <c r="D72" s="1100"/>
      <c r="E72" s="1100"/>
      <c r="F72" s="1100"/>
      <c r="G72" s="1100"/>
      <c r="H72" s="1100"/>
      <c r="I72" s="1100"/>
      <c r="J72" s="1100"/>
    </row>
    <row r="73" spans="1:10" x14ac:dyDescent="0.2">
      <c r="A73" s="1093">
        <v>8</v>
      </c>
      <c r="B73" s="1103"/>
      <c r="C73" s="1103"/>
      <c r="D73" s="1100"/>
      <c r="E73" s="1100"/>
      <c r="F73" s="1100"/>
      <c r="G73" s="1100"/>
      <c r="H73" s="1100"/>
      <c r="I73" s="1100"/>
      <c r="J73" s="1100"/>
    </row>
    <row r="74" spans="1:10" x14ac:dyDescent="0.2">
      <c r="A74" s="1093">
        <v>9</v>
      </c>
      <c r="B74" s="1103"/>
      <c r="C74" s="1103"/>
      <c r="D74" s="1100"/>
      <c r="E74" s="1100"/>
      <c r="F74" s="1100"/>
      <c r="G74" s="1100"/>
      <c r="H74" s="1100"/>
      <c r="I74" s="1100"/>
      <c r="J74" s="1100"/>
    </row>
    <row r="75" spans="1:10" x14ac:dyDescent="0.2">
      <c r="A75" s="1093">
        <v>10</v>
      </c>
      <c r="B75" s="1103"/>
      <c r="C75" s="1103"/>
      <c r="D75" s="1100"/>
      <c r="E75" s="1100"/>
      <c r="F75" s="1100"/>
      <c r="G75" s="1100"/>
      <c r="H75" s="1100"/>
      <c r="I75" s="1100"/>
      <c r="J75" s="1100"/>
    </row>
    <row r="76" spans="1:10" x14ac:dyDescent="0.2">
      <c r="A76" s="1093">
        <v>11</v>
      </c>
      <c r="B76" s="1103"/>
      <c r="C76" s="1103"/>
      <c r="D76" s="1100"/>
      <c r="E76" s="1100"/>
      <c r="F76" s="1100"/>
      <c r="G76" s="1100"/>
      <c r="H76" s="1100"/>
      <c r="I76" s="1100"/>
      <c r="J76" s="1100"/>
    </row>
    <row r="77" spans="1:10" x14ac:dyDescent="0.2">
      <c r="A77" s="1093">
        <v>12</v>
      </c>
      <c r="B77" s="1103"/>
      <c r="C77" s="1103"/>
      <c r="D77" s="1100"/>
      <c r="E77" s="1100"/>
      <c r="F77" s="1100"/>
      <c r="G77" s="1100"/>
      <c r="H77" s="1100"/>
      <c r="I77" s="1100"/>
      <c r="J77" s="1100"/>
    </row>
    <row r="78" spans="1:10" x14ac:dyDescent="0.2">
      <c r="A78" s="1093">
        <v>13</v>
      </c>
      <c r="B78" s="1103"/>
      <c r="C78" s="1103"/>
      <c r="D78" s="1100"/>
      <c r="E78" s="1100"/>
      <c r="F78" s="1100"/>
      <c r="G78" s="1100"/>
      <c r="H78" s="1100"/>
      <c r="I78" s="1100"/>
      <c r="J78" s="1100"/>
    </row>
    <row r="79" spans="1:10" x14ac:dyDescent="0.2">
      <c r="A79" s="1093">
        <v>14</v>
      </c>
      <c r="B79" s="1103"/>
      <c r="C79" s="1103"/>
      <c r="D79" s="1100"/>
      <c r="E79" s="1100"/>
      <c r="F79" s="1100"/>
      <c r="G79" s="1100"/>
      <c r="H79" s="1100"/>
      <c r="I79" s="1100"/>
      <c r="J79" s="1100"/>
    </row>
    <row r="80" spans="1:10" x14ac:dyDescent="0.2">
      <c r="A80" s="1093">
        <v>15</v>
      </c>
      <c r="B80" s="1103"/>
      <c r="C80" s="1103"/>
      <c r="D80" s="1100"/>
      <c r="E80" s="1100"/>
      <c r="F80" s="1100"/>
      <c r="G80" s="1100"/>
      <c r="H80" s="1100"/>
      <c r="I80" s="1100"/>
      <c r="J80" s="1100"/>
    </row>
    <row r="81" spans="1:10" x14ac:dyDescent="0.2">
      <c r="A81" s="1093">
        <v>16</v>
      </c>
      <c r="B81" s="1103"/>
      <c r="C81" s="1103"/>
      <c r="D81" s="1100"/>
      <c r="E81" s="1100"/>
      <c r="F81" s="1100"/>
      <c r="G81" s="1100"/>
      <c r="H81" s="1100"/>
      <c r="I81" s="1100"/>
      <c r="J81" s="1100"/>
    </row>
    <row r="82" spans="1:10" x14ac:dyDescent="0.2">
      <c r="A82" s="1093">
        <v>17</v>
      </c>
      <c r="B82" s="1103"/>
      <c r="C82" s="1103"/>
      <c r="D82" s="1100"/>
      <c r="E82" s="1100"/>
      <c r="F82" s="1100"/>
      <c r="G82" s="1100"/>
      <c r="H82" s="1100"/>
      <c r="I82" s="1100"/>
      <c r="J82" s="1100"/>
    </row>
    <row r="83" spans="1:10" x14ac:dyDescent="0.2">
      <c r="A83" s="1093">
        <v>18</v>
      </c>
      <c r="B83" s="1103"/>
      <c r="C83" s="1103"/>
      <c r="D83" s="1100"/>
      <c r="E83" s="1100"/>
      <c r="F83" s="1100"/>
      <c r="G83" s="1100"/>
      <c r="H83" s="1100"/>
      <c r="I83" s="1100"/>
      <c r="J83" s="1100"/>
    </row>
    <row r="84" spans="1:10" x14ac:dyDescent="0.2">
      <c r="A84" s="1093">
        <v>19</v>
      </c>
      <c r="B84" s="1103"/>
      <c r="C84" s="1103"/>
      <c r="D84" s="1100"/>
      <c r="E84" s="1100"/>
      <c r="F84" s="1100"/>
      <c r="G84" s="1100"/>
      <c r="H84" s="1100"/>
      <c r="I84" s="1100"/>
      <c r="J84" s="1100"/>
    </row>
    <row r="85" spans="1:10" x14ac:dyDescent="0.2">
      <c r="A85" s="1093">
        <v>20</v>
      </c>
      <c r="B85" s="1103"/>
      <c r="C85" s="1103"/>
      <c r="D85" s="1100"/>
      <c r="E85" s="1100"/>
      <c r="F85" s="1100"/>
      <c r="G85" s="1100"/>
      <c r="H85" s="1100"/>
      <c r="I85" s="1100"/>
      <c r="J85" s="1100"/>
    </row>
    <row r="86" spans="1:10" x14ac:dyDescent="0.2">
      <c r="A86" s="1093">
        <v>21</v>
      </c>
      <c r="B86" s="1103"/>
      <c r="C86" s="1103"/>
      <c r="D86" s="1100"/>
      <c r="E86" s="1100"/>
      <c r="F86" s="1100"/>
      <c r="G86" s="1100"/>
      <c r="H86" s="1100"/>
      <c r="I86" s="1100"/>
      <c r="J86" s="1100"/>
    </row>
    <row r="87" spans="1:10" x14ac:dyDescent="0.2">
      <c r="A87" s="1093">
        <v>22</v>
      </c>
      <c r="B87" s="1103"/>
      <c r="C87" s="1103"/>
      <c r="D87" s="1100"/>
      <c r="E87" s="1100"/>
      <c r="F87" s="1100"/>
      <c r="G87" s="1100"/>
      <c r="H87" s="1100"/>
      <c r="I87" s="1100"/>
      <c r="J87" s="1100"/>
    </row>
    <row r="88" spans="1:10" x14ac:dyDescent="0.2">
      <c r="A88" s="1093">
        <v>23</v>
      </c>
      <c r="B88" s="1103"/>
      <c r="C88" s="1103"/>
      <c r="D88" s="1100"/>
      <c r="E88" s="1100"/>
      <c r="F88" s="1100"/>
      <c r="G88" s="1100"/>
      <c r="H88" s="1100"/>
      <c r="I88" s="1100"/>
      <c r="J88" s="1100"/>
    </row>
    <row r="89" spans="1:10" x14ac:dyDescent="0.2">
      <c r="A89" s="1093">
        <v>24</v>
      </c>
      <c r="B89" s="1103"/>
      <c r="C89" s="1103"/>
      <c r="D89" s="1100"/>
      <c r="E89" s="1100"/>
      <c r="F89" s="1100"/>
      <c r="G89" s="1100"/>
      <c r="H89" s="1100"/>
      <c r="I89" s="1100"/>
      <c r="J89" s="1100"/>
    </row>
    <row r="90" spans="1:10" x14ac:dyDescent="0.2">
      <c r="A90" s="1093">
        <v>25</v>
      </c>
      <c r="B90" s="1103"/>
      <c r="C90" s="1103"/>
      <c r="D90" s="1100"/>
      <c r="E90" s="1100"/>
      <c r="F90" s="1100"/>
      <c r="G90" s="1100"/>
      <c r="H90" s="1100"/>
      <c r="I90" s="1100"/>
      <c r="J90" s="1100"/>
    </row>
    <row r="91" spans="1:10" x14ac:dyDescent="0.2">
      <c r="A91" s="1093">
        <v>26</v>
      </c>
      <c r="B91" s="1103"/>
      <c r="C91" s="1103"/>
      <c r="D91" s="1100"/>
      <c r="E91" s="1100"/>
      <c r="F91" s="1100"/>
      <c r="G91" s="1100"/>
      <c r="H91" s="1100"/>
      <c r="I91" s="1100"/>
      <c r="J91" s="1100"/>
    </row>
    <row r="92" spans="1:10" x14ac:dyDescent="0.2">
      <c r="A92" s="1093">
        <v>27</v>
      </c>
      <c r="B92" s="1103"/>
      <c r="C92" s="1103"/>
      <c r="D92" s="1100"/>
      <c r="E92" s="1100"/>
      <c r="F92" s="1100"/>
      <c r="G92" s="1100"/>
      <c r="H92" s="1100"/>
      <c r="I92" s="1100"/>
      <c r="J92" s="1100"/>
    </row>
    <row r="93" spans="1:10" x14ac:dyDescent="0.2">
      <c r="A93" s="1093">
        <v>28</v>
      </c>
      <c r="B93" s="1103"/>
      <c r="C93" s="1103"/>
      <c r="D93" s="1100"/>
      <c r="E93" s="1100"/>
      <c r="F93" s="1100"/>
      <c r="G93" s="1100"/>
      <c r="H93" s="1100"/>
      <c r="I93" s="1100"/>
      <c r="J93" s="1100"/>
    </row>
  </sheetData>
  <sheetProtection algorithmName="SHA-512" hashValue="ydZ7YDvJNweyiCT28wgiqoMcOhlWbViTIKIapDxFTP8Qlmx0yez0OgTak5R2fIzmJmuzkvuSLCjbCmUGcdnjOg==" saltValue="3wIYJSi8Am/vVTDGq+OVRA==" spinCount="100000" sheet="1" objects="1" scenarios="1"/>
  <mergeCells count="19">
    <mergeCell ref="G63:G64"/>
    <mergeCell ref="H64:J64"/>
    <mergeCell ref="A4:A5"/>
    <mergeCell ref="A63:A64"/>
    <mergeCell ref="A62:J62"/>
    <mergeCell ref="B63:B64"/>
    <mergeCell ref="C63:C64"/>
    <mergeCell ref="D63:D64"/>
    <mergeCell ref="E63:E64"/>
    <mergeCell ref="F63:F64"/>
    <mergeCell ref="A3:G3"/>
    <mergeCell ref="B1:J1"/>
    <mergeCell ref="B4:B5"/>
    <mergeCell ref="C4:C5"/>
    <mergeCell ref="D4:D5"/>
    <mergeCell ref="E4:E5"/>
    <mergeCell ref="F4:F5"/>
    <mergeCell ref="G4:G5"/>
    <mergeCell ref="H5:J5"/>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De, Sp, Ks); Stand: 09.08.2023&amp;RSeite &amp;P von &amp;N, &amp;D, &amp;T Uhr</oddFooter>
  </headerFooter>
  <rowBreaks count="1" manualBreakCount="1">
    <brk id="61"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304A7-D443-494E-B727-027B7923F2AF}">
  <sheetPr codeName="Tabelle2"/>
  <dimension ref="A2:N32"/>
  <sheetViews>
    <sheetView workbookViewId="0">
      <selection activeCell="D43" sqref="D43"/>
    </sheetView>
  </sheetViews>
  <sheetFormatPr baseColWidth="10" defaultRowHeight="12.75" x14ac:dyDescent="0.2"/>
  <cols>
    <col min="1" max="1" width="30.7109375" customWidth="1"/>
    <col min="2" max="2" width="21.7109375" customWidth="1"/>
  </cols>
  <sheetData>
    <row r="2" spans="1:4" x14ac:dyDescent="0.2">
      <c r="A2" s="979" t="s">
        <v>7965</v>
      </c>
    </row>
    <row r="4" spans="1:4" x14ac:dyDescent="0.2">
      <c r="A4" t="s">
        <v>7967</v>
      </c>
      <c r="B4" s="386" t="s">
        <v>7992</v>
      </c>
    </row>
    <row r="5" spans="1:4" x14ac:dyDescent="0.2">
      <c r="A5" t="s">
        <v>7966</v>
      </c>
      <c r="B5" s="386" t="s">
        <v>7993</v>
      </c>
    </row>
    <row r="7" spans="1:4" x14ac:dyDescent="0.2">
      <c r="B7" t="s">
        <v>7968</v>
      </c>
      <c r="C7" t="s">
        <v>86</v>
      </c>
    </row>
    <row r="8" spans="1:4" x14ac:dyDescent="0.2">
      <c r="B8" t="s">
        <v>7969</v>
      </c>
      <c r="C8" s="386" t="s">
        <v>7978</v>
      </c>
    </row>
    <row r="9" spans="1:4" x14ac:dyDescent="0.2">
      <c r="B9" t="s">
        <v>7970</v>
      </c>
      <c r="C9" t="s">
        <v>253</v>
      </c>
    </row>
    <row r="10" spans="1:4" x14ac:dyDescent="0.2">
      <c r="B10" s="979" t="s">
        <v>7971</v>
      </c>
    </row>
    <row r="11" spans="1:4" x14ac:dyDescent="0.2">
      <c r="C11" s="386" t="s">
        <v>7972</v>
      </c>
      <c r="D11" s="386" t="s">
        <v>7973</v>
      </c>
    </row>
    <row r="12" spans="1:4" x14ac:dyDescent="0.2">
      <c r="C12" s="386" t="s">
        <v>7974</v>
      </c>
      <c r="D12" s="386" t="s">
        <v>7975</v>
      </c>
    </row>
    <row r="13" spans="1:4" x14ac:dyDescent="0.2">
      <c r="C13" s="386" t="s">
        <v>7976</v>
      </c>
      <c r="D13" s="386" t="s">
        <v>7977</v>
      </c>
    </row>
    <row r="14" spans="1:4" x14ac:dyDescent="0.2">
      <c r="C14" s="386" t="s">
        <v>7990</v>
      </c>
      <c r="D14" s="386" t="s">
        <v>7991</v>
      </c>
    </row>
    <row r="15" spans="1:4" x14ac:dyDescent="0.2">
      <c r="B15" s="386"/>
      <c r="C15" s="386">
        <v>50</v>
      </c>
      <c r="D15" s="386" t="s">
        <v>7994</v>
      </c>
    </row>
    <row r="16" spans="1:4" x14ac:dyDescent="0.2">
      <c r="C16" s="386">
        <v>86</v>
      </c>
      <c r="D16" s="386" t="s">
        <v>7995</v>
      </c>
    </row>
    <row r="19" spans="1:14" x14ac:dyDescent="0.2">
      <c r="A19" s="386" t="s">
        <v>7979</v>
      </c>
    </row>
    <row r="20" spans="1:14" x14ac:dyDescent="0.2">
      <c r="B20" s="386" t="s">
        <v>7980</v>
      </c>
    </row>
    <row r="21" spans="1:14" x14ac:dyDescent="0.2">
      <c r="B21" s="386" t="s">
        <v>7983</v>
      </c>
      <c r="C21" t="s">
        <v>7982</v>
      </c>
      <c r="F21">
        <v>1220</v>
      </c>
      <c r="G21" s="386" t="s">
        <v>7981</v>
      </c>
    </row>
    <row r="22" spans="1:14" x14ac:dyDescent="0.2">
      <c r="C22" s="386" t="s">
        <v>7984</v>
      </c>
      <c r="F22">
        <v>11</v>
      </c>
      <c r="G22" s="386" t="s">
        <v>245</v>
      </c>
    </row>
    <row r="23" spans="1:14" x14ac:dyDescent="0.2">
      <c r="C23" s="386" t="s">
        <v>7985</v>
      </c>
      <c r="F23">
        <v>343</v>
      </c>
      <c r="G23" s="386" t="s">
        <v>7680</v>
      </c>
    </row>
    <row r="24" spans="1:14" x14ac:dyDescent="0.2">
      <c r="C24" s="386" t="s">
        <v>196</v>
      </c>
      <c r="F24">
        <v>4.0000000000000001E-3</v>
      </c>
      <c r="G24" s="386" t="s">
        <v>7986</v>
      </c>
    </row>
    <row r="25" spans="1:14" x14ac:dyDescent="0.2">
      <c r="B25" s="1134" t="s">
        <v>7996</v>
      </c>
      <c r="C25" s="1135"/>
      <c r="D25" s="1135"/>
      <c r="E25" s="1135"/>
      <c r="F25" s="1135"/>
      <c r="G25" s="1136"/>
      <c r="H25" s="1135"/>
      <c r="I25" s="1135"/>
      <c r="J25" s="1135"/>
      <c r="K25" s="1135"/>
      <c r="L25" s="1135"/>
      <c r="M25" s="1135"/>
      <c r="N25" s="1135"/>
    </row>
    <row r="26" spans="1:14" x14ac:dyDescent="0.2">
      <c r="C26" s="386"/>
      <c r="F26" s="1135">
        <f>+F21/F23*365/1000/365</f>
        <v>3.5568513119533531E-3</v>
      </c>
      <c r="G26" s="1136" t="s">
        <v>7997</v>
      </c>
      <c r="H26" s="1135"/>
      <c r="I26" s="1135"/>
      <c r="J26" s="1135"/>
      <c r="K26" s="1135"/>
      <c r="L26" s="1135"/>
      <c r="M26" s="1135"/>
    </row>
    <row r="27" spans="1:14" x14ac:dyDescent="0.2">
      <c r="C27" s="386"/>
      <c r="F27" s="1135">
        <f>+ROUND(F26,4)</f>
        <v>3.5999999999999999E-3</v>
      </c>
      <c r="G27" s="1136" t="s">
        <v>7998</v>
      </c>
      <c r="H27" s="1135"/>
      <c r="I27" s="1135"/>
      <c r="J27" s="1135"/>
      <c r="K27" s="1135"/>
      <c r="L27" s="1135"/>
      <c r="M27" s="1135"/>
    </row>
    <row r="29" spans="1:14" x14ac:dyDescent="0.2">
      <c r="B29" s="979" t="s">
        <v>7987</v>
      </c>
      <c r="C29" s="979"/>
      <c r="D29" s="979"/>
      <c r="E29" s="979"/>
      <c r="F29" s="1137">
        <f>+F27/F24</f>
        <v>0.89999999999999991</v>
      </c>
      <c r="G29" s="1134" t="s">
        <v>7999</v>
      </c>
      <c r="H29" s="1134"/>
      <c r="I29" s="1134"/>
      <c r="J29" s="1135"/>
      <c r="K29" s="1135"/>
      <c r="L29" s="1135"/>
      <c r="M29" s="1135"/>
      <c r="N29" s="1135"/>
    </row>
    <row r="32" spans="1:14" x14ac:dyDescent="0.2">
      <c r="B32" s="979" t="s">
        <v>7988</v>
      </c>
      <c r="C32" s="979"/>
      <c r="D32" s="979"/>
      <c r="E32" s="979"/>
      <c r="F32" s="979">
        <f>+F22*2/F23*365/1000</f>
        <v>2.3411078717201168E-2</v>
      </c>
      <c r="G32" s="979" t="s">
        <v>7989</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BE64"/>
  <sheetViews>
    <sheetView showGridLines="0" zoomScaleNormal="100" zoomScaleSheetLayoutView="100" workbookViewId="0">
      <selection activeCell="B5" sqref="B5"/>
    </sheetView>
  </sheetViews>
  <sheetFormatPr baseColWidth="10" defaultRowHeight="15.75" customHeight="1" x14ac:dyDescent="0.2"/>
  <cols>
    <col min="1" max="1" width="14.7109375" customWidth="1"/>
    <col min="2" max="2" width="20.7109375" customWidth="1"/>
    <col min="3" max="3" width="5" customWidth="1"/>
    <col min="4" max="6" width="5.42578125" style="109" customWidth="1"/>
    <col min="7" max="11" width="6.85546875" customWidth="1"/>
    <col min="12" max="14" width="6.85546875" style="109" customWidth="1"/>
    <col min="15" max="16" width="6.85546875" style="655" customWidth="1"/>
    <col min="17" max="19" width="7" customWidth="1"/>
    <col min="20" max="20" width="0.28515625" customWidth="1"/>
    <col min="21" max="26" width="11.42578125" style="351" hidden="1" customWidth="1"/>
    <col min="27" max="35" width="11.42578125" style="352" hidden="1" customWidth="1"/>
    <col min="36" max="53" width="11.42578125" hidden="1" customWidth="1"/>
    <col min="54" max="64" width="11.42578125" customWidth="1"/>
  </cols>
  <sheetData>
    <row r="1" spans="1:57" ht="15.75" customHeight="1" x14ac:dyDescent="0.25">
      <c r="A1" s="1582" t="s">
        <v>345</v>
      </c>
      <c r="B1" s="1582"/>
      <c r="C1" s="1582"/>
      <c r="D1" s="1582"/>
      <c r="E1" s="1582"/>
      <c r="F1" s="1582"/>
      <c r="J1" s="196"/>
      <c r="K1" s="196"/>
      <c r="L1" s="197"/>
      <c r="M1" s="197"/>
    </row>
    <row r="2" spans="1:57" ht="51.75" customHeight="1" x14ac:dyDescent="0.25">
      <c r="A2" s="1586" t="s">
        <v>7946</v>
      </c>
      <c r="B2" s="1586"/>
      <c r="C2" s="1586"/>
      <c r="D2" s="1586"/>
      <c r="E2" s="1586"/>
      <c r="F2" s="1586"/>
      <c r="G2" s="1586"/>
      <c r="H2" s="1586"/>
      <c r="I2" s="1586"/>
      <c r="J2" s="1586"/>
      <c r="K2" s="1586"/>
      <c r="L2" s="1586"/>
      <c r="M2" s="1586"/>
      <c r="N2" s="1586"/>
      <c r="O2" s="1586"/>
      <c r="P2" s="1586"/>
    </row>
    <row r="3" spans="1:57" s="113" customFormat="1" ht="19.5" customHeight="1" thickBot="1" x14ac:dyDescent="0.3">
      <c r="A3" s="979" t="s">
        <v>7900</v>
      </c>
      <c r="B3"/>
      <c r="C3"/>
      <c r="D3" s="109"/>
      <c r="E3" s="109"/>
      <c r="F3" s="109"/>
      <c r="G3"/>
      <c r="H3"/>
      <c r="I3"/>
      <c r="J3"/>
      <c r="K3" s="352"/>
      <c r="L3" s="646"/>
      <c r="M3" s="646"/>
      <c r="N3" s="646"/>
      <c r="O3" s="646"/>
      <c r="P3" s="646"/>
      <c r="Q3" s="352"/>
      <c r="R3" s="352"/>
      <c r="U3" s="353"/>
      <c r="V3" s="353"/>
      <c r="W3" s="353"/>
      <c r="X3" s="353"/>
      <c r="Y3" s="353"/>
      <c r="Z3" s="353"/>
      <c r="AA3" s="354"/>
      <c r="AB3" s="354"/>
      <c r="AC3" s="354"/>
      <c r="AD3" s="354"/>
      <c r="AE3" s="354"/>
      <c r="AF3" s="354"/>
      <c r="AG3" s="354"/>
      <c r="AH3" s="354"/>
      <c r="AI3" s="354"/>
    </row>
    <row r="4" spans="1:57" ht="24.75" customHeight="1" x14ac:dyDescent="0.2">
      <c r="A4" s="825" t="s">
        <v>7798</v>
      </c>
      <c r="B4" s="821" t="s">
        <v>252</v>
      </c>
      <c r="C4" s="1501" t="s">
        <v>249</v>
      </c>
      <c r="D4" s="1502"/>
      <c r="E4" s="1503"/>
      <c r="F4" s="1501" t="s">
        <v>7632</v>
      </c>
      <c r="G4" s="1502"/>
      <c r="H4" s="1502"/>
      <c r="I4" s="1503"/>
      <c r="J4" s="1500" t="s">
        <v>7645</v>
      </c>
      <c r="K4" s="1500"/>
      <c r="L4" s="1500"/>
      <c r="M4" s="1558" t="s">
        <v>7646</v>
      </c>
      <c r="N4" s="1558"/>
      <c r="O4" s="1558"/>
      <c r="P4" s="1558" t="s">
        <v>7647</v>
      </c>
      <c r="Q4" s="1558"/>
      <c r="R4" s="1559"/>
      <c r="S4" s="1507" t="s">
        <v>7896</v>
      </c>
      <c r="U4" s="425" t="s">
        <v>7752</v>
      </c>
      <c r="V4" s="425" t="s">
        <v>7753</v>
      </c>
      <c r="W4" s="425" t="s">
        <v>7754</v>
      </c>
      <c r="X4" s="425" t="s">
        <v>7755</v>
      </c>
    </row>
    <row r="5" spans="1:57" ht="15.75" customHeight="1" x14ac:dyDescent="0.2">
      <c r="A5" s="826">
        <v>1</v>
      </c>
      <c r="B5" s="827"/>
      <c r="C5" s="1504"/>
      <c r="D5" s="1505"/>
      <c r="E5" s="1506"/>
      <c r="F5" s="1504"/>
      <c r="G5" s="1505"/>
      <c r="H5" s="1505"/>
      <c r="I5" s="1506"/>
      <c r="J5" s="1496"/>
      <c r="K5" s="1496"/>
      <c r="L5" s="1496"/>
      <c r="M5" s="1496"/>
      <c r="N5" s="1496"/>
      <c r="O5" s="1496"/>
      <c r="P5" s="1496"/>
      <c r="Q5" s="1496"/>
      <c r="R5" s="1567"/>
      <c r="S5" s="1508"/>
      <c r="U5" s="351">
        <f>IF(C5=$Y$13,20,8)</f>
        <v>8</v>
      </c>
      <c r="V5" s="351">
        <f>IF(C5=$Y$14,35,150)</f>
        <v>150</v>
      </c>
      <c r="W5" s="352">
        <f>IF(AND('Abweichende Werte'!C5='Abweichende Werte'!$Y$13,COUNTBLANK('Abweichende Werte'!C5:R5)=11,'Abweichende Werte'!J5&gt;19,'Abweichende Werte'!M5&lt;151,'Abweichende Werte'!J5&lt;'Abweichende Werte'!M5,F5&lt;&gt;"--"),1,0)</f>
        <v>0</v>
      </c>
      <c r="X5" s="717">
        <f>IF(AND('Abweichende Werte'!C5='Abweichende Werte'!$Y$14,COUNTBLANK('Abweichende Werte'!C5:R5)=11,'Abweichende Werte'!J5&gt;7,'Abweichende Werte'!M5&lt;36,'Abweichende Werte'!J5&lt;'Abweichende Werte'!M5,F5&lt;&gt;"--"),1,0)</f>
        <v>0</v>
      </c>
      <c r="Y5" s="513"/>
      <c r="Z5" s="514"/>
      <c r="AB5" s="352" t="str">
        <f>IF(W5+X5=1,IF(C5=$Y$13,CONCATENATE(B20,", ",$Z$13,", ",VLOOKUP(F5,$Y$7:$Z$11,2,FALSE),IF(OR(F5=$Y$10,F5=$Y$11),"*","")),CONCATENATE(B20,", ",$Z$14,", ",VLOOKUP(F5,$Y$7:$Z$11,2,FALSE),IF(OR(F5=$Y$10,F5=$Y$11),"*",""))),"--")</f>
        <v>--</v>
      </c>
    </row>
    <row r="6" spans="1:57" ht="15.75" customHeight="1" x14ac:dyDescent="0.2">
      <c r="A6" s="828">
        <v>2</v>
      </c>
      <c r="B6" s="829"/>
      <c r="C6" s="1561"/>
      <c r="D6" s="1562"/>
      <c r="E6" s="1563"/>
      <c r="F6" s="1583"/>
      <c r="G6" s="1584"/>
      <c r="H6" s="1584"/>
      <c r="I6" s="1585"/>
      <c r="J6" s="1568"/>
      <c r="K6" s="1568"/>
      <c r="L6" s="1568"/>
      <c r="M6" s="1561"/>
      <c r="N6" s="1562"/>
      <c r="O6" s="1563"/>
      <c r="P6" s="1568"/>
      <c r="Q6" s="1568"/>
      <c r="R6" s="1569"/>
      <c r="S6" s="1508"/>
      <c r="U6" s="351">
        <f>IF(C6=$Y$13,20,8)</f>
        <v>8</v>
      </c>
      <c r="V6" s="351">
        <f>IF(C6=$Y$14,35,150)</f>
        <v>150</v>
      </c>
      <c r="W6" s="352">
        <f>IF(AND('Abweichende Werte'!C6='Abweichende Werte'!$Y$13,COUNTBLANK('Abweichende Werte'!C6:R6)=11,'Abweichende Werte'!J6&gt;19,'Abweichende Werte'!M6&lt;151,'Abweichende Werte'!J6&lt;'Abweichende Werte'!M6,F6&lt;&gt;"--"),1,0)</f>
        <v>0</v>
      </c>
      <c r="X6" s="717">
        <f>IF(AND('Abweichende Werte'!C6='Abweichende Werte'!$Y$14,COUNTBLANK('Abweichende Werte'!C6:R6)=11,'Abweichende Werte'!J6&gt;7,'Abweichende Werte'!M6&lt;36,'Abweichende Werte'!J6&lt;'Abweichende Werte'!M6,F6&lt;&gt;"--"),1,0)</f>
        <v>0</v>
      </c>
      <c r="Y6" s="425" t="s">
        <v>7716</v>
      </c>
      <c r="Z6" s="654"/>
      <c r="AB6" s="352" t="str">
        <f>IF(W6+X6=1,IF(C6=$Y$13,CONCATENATE(B21,", ",$Z$13,", ",VLOOKUP(F6,$Y$7:$Z$11,2,FALSE),IF(OR(F6=$Y$10,F6=$Y$11),"*","")),CONCATENATE(B21,", ",$Z$14,", ",VLOOKUP(F6,$Y$7:$Z$11,2,FALSE),IF(OR(F6=$Y$10,F6=$Y$11),"*",""))),"--")</f>
        <v>--</v>
      </c>
    </row>
    <row r="7" spans="1:57" ht="15.75" customHeight="1" x14ac:dyDescent="0.25">
      <c r="A7" s="830">
        <v>3</v>
      </c>
      <c r="B7" s="1020"/>
      <c r="C7" s="1561"/>
      <c r="D7" s="1562"/>
      <c r="E7" s="1563"/>
      <c r="F7" s="1583"/>
      <c r="G7" s="1584"/>
      <c r="H7" s="1584"/>
      <c r="I7" s="1585"/>
      <c r="J7" s="1560"/>
      <c r="K7" s="1560"/>
      <c r="L7" s="1560"/>
      <c r="M7" s="1561"/>
      <c r="N7" s="1562"/>
      <c r="O7" s="1563"/>
      <c r="P7" s="1560"/>
      <c r="Q7" s="1560"/>
      <c r="R7" s="1564"/>
      <c r="S7" s="1508"/>
      <c r="U7" s="351">
        <f>IF(C7=$Y$13,20,8)</f>
        <v>8</v>
      </c>
      <c r="V7" s="351">
        <f>IF(C7=$Y$14,35,150)</f>
        <v>150</v>
      </c>
      <c r="W7" s="352">
        <f>IF(AND('Abweichende Werte'!C7='Abweichende Werte'!$Y$13,COUNTBLANK('Abweichende Werte'!C7:R7)=11,'Abweichende Werte'!J7&gt;19,'Abweichende Werte'!M7&lt;151,'Abweichende Werte'!J7&lt;'Abweichende Werte'!M7,F7&lt;&gt;"--"),1,0)</f>
        <v>0</v>
      </c>
      <c r="X7" s="717">
        <f>IF(AND('Abweichende Werte'!C7='Abweichende Werte'!$Y$14,COUNTBLANK('Abweichende Werte'!C7:R7)=11,'Abweichende Werte'!J7&gt;7,'Abweichende Werte'!M7&lt;36,'Abweichende Werte'!J7&lt;'Abweichende Werte'!M7,F7&lt;&gt;"--"),1,0)</f>
        <v>0</v>
      </c>
      <c r="Y7" s="690" t="str">
        <f>+'abweichende Schweine'!A4</f>
        <v>--</v>
      </c>
      <c r="AB7" s="352" t="str">
        <f>IF(W7+X7=1,IF(C7=$Y$13,CONCATENATE(B22,", ",$Z$13,", ",VLOOKUP(F7,$Y$7:$Z$11,2,FALSE),IF(OR(F7=$Y$10,F7=$Y$11),"*","")),CONCATENATE(B22,", ",$Z$14,", ",VLOOKUP(F7,$Y$7:$Z$11,2,FALSE),IF(OR(F7=$Y$10,F7=$Y$11),"*",""))),"--")</f>
        <v>--</v>
      </c>
    </row>
    <row r="8" spans="1:57" ht="15.75" customHeight="1" x14ac:dyDescent="0.25">
      <c r="A8" s="831">
        <v>4</v>
      </c>
      <c r="B8" s="832"/>
      <c r="C8" s="1561"/>
      <c r="D8" s="1562"/>
      <c r="E8" s="1563"/>
      <c r="F8" s="1583"/>
      <c r="G8" s="1584"/>
      <c r="H8" s="1584"/>
      <c r="I8" s="1585"/>
      <c r="J8" s="1565"/>
      <c r="K8" s="1565"/>
      <c r="L8" s="1565"/>
      <c r="M8" s="1561"/>
      <c r="N8" s="1562"/>
      <c r="O8" s="1563"/>
      <c r="P8" s="1565"/>
      <c r="Q8" s="1565"/>
      <c r="R8" s="1566"/>
      <c r="S8" s="1508"/>
      <c r="T8" s="198"/>
      <c r="U8" s="351">
        <f>IF(C8=$Y$13,20,8)</f>
        <v>8</v>
      </c>
      <c r="V8" s="351">
        <f>IF(C8=$Y$14,35,150)</f>
        <v>150</v>
      </c>
      <c r="W8" s="352">
        <f>IF(AND('Abweichende Werte'!C8='Abweichende Werte'!$Y$13,COUNTBLANK('Abweichende Werte'!C8:R8)=11,'Abweichende Werte'!J8&gt;19,'Abweichende Werte'!M8&lt;151,'Abweichende Werte'!J8&lt;'Abweichende Werte'!M8,F8&lt;&gt;"--"),1,0)</f>
        <v>0</v>
      </c>
      <c r="X8" s="717">
        <f>IF(AND('Abweichende Werte'!C8='Abweichende Werte'!$Y$14,COUNTBLANK('Abweichende Werte'!C8:R8)=11,'Abweichende Werte'!J8&gt;7,'Abweichende Werte'!M8&lt;36,'Abweichende Werte'!J8&lt;'Abweichende Werte'!M8,F8&lt;&gt;"--"),1,0)</f>
        <v>0</v>
      </c>
      <c r="Y8" s="690" t="str">
        <f>+'abweichende Schweine'!A5</f>
        <v>Universalfutter</v>
      </c>
      <c r="Z8" s="351" t="s">
        <v>7859</v>
      </c>
      <c r="AB8" s="352" t="str">
        <f>IF(W8+X8=1,IF(C8=$Y$13,CONCATENATE(B23,", ",$Z$13,", ",VLOOKUP(F8,$Y$7:$Z$11,2,FALSE),IF(OR(F8=$Y$10,F8=$Y$11),"*","")),CONCATENATE(B23,", ",$Z$14,", ",VLOOKUP(F8,$Y$7:$Z$11,2,FALSE),IF(OR(F8=$Y$10,F8=$Y$11),"*",""))),"--")</f>
        <v>--</v>
      </c>
    </row>
    <row r="9" spans="1:57" ht="15.75" customHeight="1" thickBot="1" x14ac:dyDescent="0.3">
      <c r="A9" s="833">
        <v>5</v>
      </c>
      <c r="B9" s="822"/>
      <c r="C9" s="1467"/>
      <c r="D9" s="1468"/>
      <c r="E9" s="1469"/>
      <c r="F9" s="1467"/>
      <c r="G9" s="1468"/>
      <c r="H9" s="1468"/>
      <c r="I9" s="1469"/>
      <c r="J9" s="1515"/>
      <c r="K9" s="1515"/>
      <c r="L9" s="1515"/>
      <c r="M9" s="1467"/>
      <c r="N9" s="1468"/>
      <c r="O9" s="1469"/>
      <c r="P9" s="1515"/>
      <c r="Q9" s="1515"/>
      <c r="R9" s="1570"/>
      <c r="S9" s="1508"/>
      <c r="T9" s="16"/>
      <c r="U9" s="351">
        <f>IF(C9=$Y$13,20,8)</f>
        <v>8</v>
      </c>
      <c r="V9" s="351">
        <f>IF(C9=$Y$14,35,150)</f>
        <v>150</v>
      </c>
      <c r="W9" s="352">
        <f>IF(AND('Abweichende Werte'!C9='Abweichende Werte'!$Y$13,COUNTBLANK('Abweichende Werte'!C9:R9)=11,'Abweichende Werte'!J9&gt;19,'Abweichende Werte'!M9&lt;151,'Abweichende Werte'!J9&lt;'Abweichende Werte'!M9,F9&lt;&gt;"--"),1,0)</f>
        <v>0</v>
      </c>
      <c r="X9" s="717">
        <f>IF(AND('Abweichende Werte'!C9='Abweichende Werte'!$Y$14,COUNTBLANK('Abweichende Werte'!C9:R9)=11,'Abweichende Werte'!J9&gt;7,'Abweichende Werte'!M9&lt;36,'Abweichende Werte'!J9&lt;'Abweichende Werte'!M9,F9&lt;&gt;"--"),1,0)</f>
        <v>0</v>
      </c>
      <c r="Y9" s="690" t="str">
        <f>+'abweichende Schweine'!A6</f>
        <v>N- und P- reduziert</v>
      </c>
      <c r="Z9" s="351" t="s">
        <v>7860</v>
      </c>
      <c r="AB9" s="352" t="str">
        <f>IF(W9+X9=1,IF(C9=$Y$13,CONCATENATE(B24,", ",$Z$13,", ",VLOOKUP(F9,$Y$7:$Z$11,2,FALSE),IF(OR(F9=$Y$10,F9=$Y$11),"*","")),CONCATENATE(B24,", ",$Z$14,", ",VLOOKUP(F9,$Y$7:$Z$11,2,FALSE),IF(OR(F9=$Y$10,F9=$Y$11),"*",""))),"--")</f>
        <v>--</v>
      </c>
      <c r="BE9" s="125"/>
    </row>
    <row r="10" spans="1:57" ht="29.45" customHeight="1" x14ac:dyDescent="0.25">
      <c r="A10" s="661" t="s">
        <v>7644</v>
      </c>
      <c r="B10" s="1104" t="s">
        <v>252</v>
      </c>
      <c r="C10" s="1571"/>
      <c r="D10" s="1572"/>
      <c r="E10" s="1573"/>
      <c r="F10" s="1501" t="s">
        <v>7632</v>
      </c>
      <c r="G10" s="1502"/>
      <c r="H10" s="1502"/>
      <c r="I10" s="1503"/>
      <c r="J10" s="1500" t="s">
        <v>7926</v>
      </c>
      <c r="K10" s="1500"/>
      <c r="L10" s="1500"/>
      <c r="M10" s="1498" t="s">
        <v>7928</v>
      </c>
      <c r="N10" s="1498"/>
      <c r="O10" s="1499"/>
      <c r="P10" s="658"/>
      <c r="Q10" s="114"/>
      <c r="R10" s="713"/>
      <c r="S10" s="1508"/>
      <c r="T10" s="198"/>
      <c r="W10" s="645" t="s">
        <v>7756</v>
      </c>
      <c r="Y10" s="690" t="str">
        <f>+'abweichende Schweine'!A7</f>
        <v>stark N- und P-reduziert</v>
      </c>
      <c r="Z10" s="351" t="s">
        <v>7861</v>
      </c>
    </row>
    <row r="11" spans="1:57" ht="15.75" customHeight="1" x14ac:dyDescent="0.25">
      <c r="A11" s="823">
        <v>6</v>
      </c>
      <c r="B11" s="1019"/>
      <c r="C11" s="1574" t="s">
        <v>7644</v>
      </c>
      <c r="D11" s="1575"/>
      <c r="E11" s="1576"/>
      <c r="F11" s="1504"/>
      <c r="G11" s="1505"/>
      <c r="H11" s="1505"/>
      <c r="I11" s="1506"/>
      <c r="J11" s="1496"/>
      <c r="K11" s="1496"/>
      <c r="L11" s="1496"/>
      <c r="M11" s="1496"/>
      <c r="N11" s="1496"/>
      <c r="O11" s="1497"/>
      <c r="P11" s="659"/>
      <c r="Q11" s="114"/>
      <c r="R11" s="713"/>
      <c r="S11" s="1508"/>
      <c r="W11" s="352">
        <f>IF(AND(COUNTBLANK('Abweichende Werte'!F11:O11)=7,F11&lt;&gt;"--"),1,0)</f>
        <v>0</v>
      </c>
      <c r="Y11" s="690" t="str">
        <f>+'abweichende Schweine'!A8</f>
        <v>sehr stark N- und P-reduziert</v>
      </c>
      <c r="Z11" s="351" t="s">
        <v>7862</v>
      </c>
      <c r="AB11" s="352" t="str">
        <f>IF(W11+X11=1,CONCATENATE(B25,", ",$Z$15,", ",VLOOKUP(F11,$Y$7:$Z$11,2,FALSE),IF(OR(F11=$Y$10,F11=$Y$11),"*","")),"--")</f>
        <v>--</v>
      </c>
    </row>
    <row r="12" spans="1:57" ht="15.75" customHeight="1" thickBot="1" x14ac:dyDescent="0.25">
      <c r="A12" s="824">
        <v>7</v>
      </c>
      <c r="B12" s="1018"/>
      <c r="C12" s="1458" t="s">
        <v>7644</v>
      </c>
      <c r="D12" s="1459"/>
      <c r="E12" s="1460"/>
      <c r="F12" s="1467"/>
      <c r="G12" s="1468"/>
      <c r="H12" s="1468"/>
      <c r="I12" s="1469"/>
      <c r="J12" s="1515"/>
      <c r="K12" s="1515"/>
      <c r="L12" s="1515"/>
      <c r="M12" s="1515"/>
      <c r="N12" s="1515"/>
      <c r="O12" s="1516"/>
      <c r="P12" s="660"/>
      <c r="Q12" s="714"/>
      <c r="R12" s="715"/>
      <c r="S12" s="1508"/>
      <c r="W12" s="352">
        <f>IF(AND(COUNTBLANK('Abweichende Werte'!F12:O12)=7,F12&lt;&gt;"--"),1,0)</f>
        <v>0</v>
      </c>
      <c r="Z12" s="425"/>
      <c r="AB12" s="352" t="str">
        <f>IF(W12+X12=1,CONCATENATE(B26,", ",$Z$15,", ",VLOOKUP(F12,$Y$7:$Z$11,2,FALSE),IF(OR(F12=$Y$10,F12=$Y$11),"*","")),"--")</f>
        <v>--</v>
      </c>
    </row>
    <row r="13" spans="1:57" ht="15.75" customHeight="1" x14ac:dyDescent="0.2">
      <c r="W13" s="352"/>
      <c r="Y13" s="351" t="s">
        <v>7674</v>
      </c>
      <c r="Z13" s="351" t="s">
        <v>7863</v>
      </c>
    </row>
    <row r="14" spans="1:57" ht="15.75" customHeight="1" thickBot="1" x14ac:dyDescent="0.25">
      <c r="A14" s="979" t="s">
        <v>7902</v>
      </c>
      <c r="D14" s="1021"/>
      <c r="E14" s="1021"/>
      <c r="F14" s="1021"/>
      <c r="L14" s="1021"/>
      <c r="M14" s="1021"/>
      <c r="N14" s="1021"/>
      <c r="O14" s="1021"/>
      <c r="P14" s="1021"/>
      <c r="W14" s="352"/>
      <c r="Y14" s="351" t="s">
        <v>7643</v>
      </c>
      <c r="Z14" s="351" t="s">
        <v>7643</v>
      </c>
    </row>
    <row r="15" spans="1:57" ht="15.75" customHeight="1" thickBot="1" x14ac:dyDescent="0.3">
      <c r="A15" s="113"/>
      <c r="B15" s="112"/>
      <c r="C15" s="1509" t="s">
        <v>7895</v>
      </c>
      <c r="D15" s="1510"/>
      <c r="E15" s="1510"/>
      <c r="F15" s="1510"/>
      <c r="G15" s="1510"/>
      <c r="H15" s="1510"/>
      <c r="I15" s="1510"/>
      <c r="J15" s="1510"/>
      <c r="K15" s="1511"/>
      <c r="L15" s="127"/>
      <c r="M15" s="127"/>
      <c r="N15" s="127"/>
      <c r="O15" s="127"/>
      <c r="P15" s="127"/>
      <c r="Q15" s="114"/>
      <c r="R15" s="114"/>
      <c r="S15" s="114"/>
      <c r="Z15" s="351" t="s">
        <v>7864</v>
      </c>
    </row>
    <row r="16" spans="1:57" ht="15.75" customHeight="1" thickBot="1" x14ac:dyDescent="0.25">
      <c r="A16" s="122"/>
      <c r="B16" s="122"/>
      <c r="C16" s="1454" t="s">
        <v>196</v>
      </c>
      <c r="D16" s="1512" t="s">
        <v>7627</v>
      </c>
      <c r="E16" s="1513"/>
      <c r="F16" s="1514"/>
      <c r="G16" s="1461" t="s">
        <v>239</v>
      </c>
      <c r="H16" s="1462"/>
      <c r="I16" s="1462"/>
      <c r="J16" s="1462"/>
      <c r="K16" s="1463"/>
      <c r="L16" s="1461" t="s">
        <v>346</v>
      </c>
      <c r="M16" s="1462"/>
      <c r="N16" s="1462"/>
      <c r="O16" s="1462"/>
      <c r="P16" s="1463"/>
      <c r="Q16" s="1577" t="s">
        <v>223</v>
      </c>
      <c r="R16" s="1578"/>
      <c r="S16" s="1579"/>
    </row>
    <row r="17" spans="1:24" ht="15.75" customHeight="1" x14ac:dyDescent="0.2">
      <c r="A17" s="1451" t="s">
        <v>249</v>
      </c>
      <c r="B17" s="1454" t="s">
        <v>252</v>
      </c>
      <c r="C17" s="1455"/>
      <c r="D17" s="1473" t="s">
        <v>4</v>
      </c>
      <c r="E17" s="1475" t="s">
        <v>229</v>
      </c>
      <c r="F17" s="1477" t="s">
        <v>230</v>
      </c>
      <c r="G17" s="1473" t="s">
        <v>0</v>
      </c>
      <c r="H17" s="1479" t="s">
        <v>8</v>
      </c>
      <c r="I17" s="1464" t="s">
        <v>10</v>
      </c>
      <c r="J17" s="1465"/>
      <c r="K17" s="1466"/>
      <c r="L17" s="1473" t="s">
        <v>0</v>
      </c>
      <c r="M17" s="1494" t="s">
        <v>8</v>
      </c>
      <c r="N17" s="1464" t="s">
        <v>10</v>
      </c>
      <c r="O17" s="1465"/>
      <c r="P17" s="1466"/>
      <c r="Q17" s="1580"/>
      <c r="R17" s="1413"/>
      <c r="S17" s="1581"/>
    </row>
    <row r="18" spans="1:24" ht="15.75" customHeight="1" thickBot="1" x14ac:dyDescent="0.25">
      <c r="A18" s="1452"/>
      <c r="B18" s="1455"/>
      <c r="C18" s="1455"/>
      <c r="D18" s="1474"/>
      <c r="E18" s="1476"/>
      <c r="F18" s="1478"/>
      <c r="G18" s="1474"/>
      <c r="H18" s="1480"/>
      <c r="I18" s="735" t="s">
        <v>39</v>
      </c>
      <c r="J18" s="192" t="s">
        <v>40</v>
      </c>
      <c r="K18" s="719" t="s">
        <v>41</v>
      </c>
      <c r="L18" s="1474"/>
      <c r="M18" s="1495"/>
      <c r="N18" s="739" t="s">
        <v>39</v>
      </c>
      <c r="O18" s="192" t="s">
        <v>40</v>
      </c>
      <c r="P18" s="191" t="s">
        <v>41</v>
      </c>
      <c r="Q18" s="740" t="s">
        <v>39</v>
      </c>
      <c r="R18" s="741" t="s">
        <v>40</v>
      </c>
      <c r="S18" s="742" t="s">
        <v>41</v>
      </c>
    </row>
    <row r="19" spans="1:24" ht="15.75" customHeight="1" thickBot="1" x14ac:dyDescent="0.25">
      <c r="A19" s="1453"/>
      <c r="B19" s="1456"/>
      <c r="C19" s="1456"/>
      <c r="D19" s="1470" t="s">
        <v>264</v>
      </c>
      <c r="E19" s="1471"/>
      <c r="F19" s="1555"/>
      <c r="G19" s="1470" t="s">
        <v>1</v>
      </c>
      <c r="H19" s="1471"/>
      <c r="I19" s="1472" t="s">
        <v>42</v>
      </c>
      <c r="J19" s="1471"/>
      <c r="K19" s="1471"/>
      <c r="L19" s="1556" t="s">
        <v>2</v>
      </c>
      <c r="M19" s="1557"/>
      <c r="N19" s="1557"/>
      <c r="O19" s="1557"/>
      <c r="P19" s="1557"/>
      <c r="Q19" s="1554" t="s">
        <v>7757</v>
      </c>
      <c r="R19" s="1471"/>
      <c r="S19" s="1555"/>
    </row>
    <row r="20" spans="1:24" ht="15.75" customHeight="1" x14ac:dyDescent="0.2">
      <c r="A20" s="697" t="str">
        <f>IF(W5+X5=1,C5,"")</f>
        <v/>
      </c>
      <c r="B20" s="694" t="str">
        <f>IF(W5+X5=1,CONCATENATE(A5,"-",B5),"--")</f>
        <v>--</v>
      </c>
      <c r="C20" s="970" t="str">
        <f>IF($W5=1,'abweichende Schweine'!F12,IF($X5=1,'abweichende Schweine'!F74,""))</f>
        <v/>
      </c>
      <c r="D20" s="744" t="str">
        <f>IF($W5=1,'abweichende Schweine'!G12,IF($X5=1,'abweichende Schweine'!G74,""))</f>
        <v/>
      </c>
      <c r="E20" s="745" t="str">
        <f>IF($W5=1,'abweichende Schweine'!H12,IF($X5=1,'abweichende Schweine'!H74,""))</f>
        <v/>
      </c>
      <c r="F20" s="746" t="str">
        <f>IF($W5=1,'abweichende Schweine'!I12,IF($X5=1,'abweichende Schweine'!I74,""))</f>
        <v/>
      </c>
      <c r="G20" s="971" t="str">
        <f>IF($W5=1,'abweichende Schweine'!J12,IF($X5=1,'abweichende Schweine'!J74,""))</f>
        <v/>
      </c>
      <c r="H20" s="972" t="str">
        <f>IF($W5=1,'abweichende Schweine'!K12,IF($X5=1,'abweichende Schweine'!K74,""))</f>
        <v/>
      </c>
      <c r="I20" s="745" t="str">
        <f>IF($W5=1,'abweichende Schweine'!L12,IF($X5=1,'abweichende Schweine'!L74,""))</f>
        <v/>
      </c>
      <c r="J20" s="745" t="str">
        <f>IF($W5=1,'abweichende Schweine'!M12,IF($X5=1,'abweichende Schweine'!M74,""))</f>
        <v/>
      </c>
      <c r="K20" s="746" t="str">
        <f>IF($W5=1,'abweichende Schweine'!N12,IF($X5=1,'abweichende Schweine'!N74,""))</f>
        <v/>
      </c>
      <c r="L20" s="971" t="str">
        <f>IF($W5=1,'abweichende Schweine'!O12,IF($X5=1,'abweichende Schweine'!O74,""))</f>
        <v/>
      </c>
      <c r="M20" s="745" t="str">
        <f>IF($W5=1,'abweichende Schweine'!P12,IF($X5=1,'abweichende Schweine'!P74,""))</f>
        <v/>
      </c>
      <c r="N20" s="745" t="str">
        <f>IF($W5=1,'abweichende Schweine'!W12,IF($X5=1,'abweichende Schweine'!W74,""))</f>
        <v/>
      </c>
      <c r="O20" s="745" t="str">
        <f>IF($W5=1,'abweichende Schweine'!X12,IF($X5=1,'abweichende Schweine'!X74,""))</f>
        <v/>
      </c>
      <c r="P20" s="972" t="str">
        <f>IF($W5=1,'abweichende Schweine'!Y12,IF($X5=1,'abweichende Schweine'!Y74,""))</f>
        <v/>
      </c>
      <c r="Q20" s="744" t="str">
        <f>IF($W5=1,'abweichende Schweine'!Q12,IF($X5=1,'abweichende Schweine'!Q74,""))</f>
        <v/>
      </c>
      <c r="R20" s="745" t="str">
        <f>IF($W5=1,'abweichende Schweine'!R12,IF($X5=1,'abweichende Schweine'!R74,""))</f>
        <v/>
      </c>
      <c r="S20" s="746" t="str">
        <f>IF($W5=1,'abweichende Schweine'!S12,IF($X5=1,'abweichende Schweine'!S74,""))</f>
        <v/>
      </c>
    </row>
    <row r="21" spans="1:24" ht="15.75" customHeight="1" x14ac:dyDescent="0.2">
      <c r="A21" s="698" t="str">
        <f t="shared" ref="A21:A24" si="0">IF(W6+X6=1,C6,"")</f>
        <v/>
      </c>
      <c r="B21" s="695" t="str">
        <f t="shared" ref="B21:B24" si="1">IF(W6+X6=1,CONCATENATE(A6,"-",B6),"--")</f>
        <v>--</v>
      </c>
      <c r="C21" s="750" t="str">
        <f>IF($W6=1,'abweichende Schweine'!F24,IF($X6=1,'abweichende Schweine'!F83,""))</f>
        <v/>
      </c>
      <c r="D21" s="751" t="str">
        <f>IF($W6=1,'abweichende Schweine'!G24,IF($X6=1,'abweichende Schweine'!G83,""))</f>
        <v/>
      </c>
      <c r="E21" s="752" t="str">
        <f>IF($W6=1,'abweichende Schweine'!H24,IF($X6=1,'abweichende Schweine'!H83,""))</f>
        <v/>
      </c>
      <c r="F21" s="753" t="str">
        <f>IF($W6=1,'abweichende Schweine'!I24,IF($X6=1,'abweichende Schweine'!I83,""))</f>
        <v/>
      </c>
      <c r="G21" s="754" t="str">
        <f>IF($W6=1,'abweichende Schweine'!J24,IF($X6=1,'abweichende Schweine'!J83,""))</f>
        <v/>
      </c>
      <c r="H21" s="755" t="str">
        <f>IF($W6=1,'abweichende Schweine'!K24,IF($X6=1,'abweichende Schweine'!K83,""))</f>
        <v/>
      </c>
      <c r="I21" s="752" t="str">
        <f>IF($W6=1,'abweichende Schweine'!L24,IF($X6=1,'abweichende Schweine'!L83,""))</f>
        <v/>
      </c>
      <c r="J21" s="752" t="str">
        <f>IF($W6=1,'abweichende Schweine'!M24,IF($X6=1,'abweichende Schweine'!M83,""))</f>
        <v/>
      </c>
      <c r="K21" s="753" t="str">
        <f>IF($W6=1,'abweichende Schweine'!N24,IF($X6=1,'abweichende Schweine'!N83,""))</f>
        <v/>
      </c>
      <c r="L21" s="754" t="str">
        <f>IF($W6=1,'abweichende Schweine'!O24,IF($X6=1,'abweichende Schweine'!O83,""))</f>
        <v/>
      </c>
      <c r="M21" s="752" t="str">
        <f>IF($W6=1,'abweichende Schweine'!P24,IF($X6=1,'abweichende Schweine'!P83,""))</f>
        <v/>
      </c>
      <c r="N21" s="752" t="str">
        <f>IF($W6=1,'abweichende Schweine'!W24,IF($X6=1,'abweichende Schweine'!W83,""))</f>
        <v/>
      </c>
      <c r="O21" s="752" t="str">
        <f>IF($W6=1,'abweichende Schweine'!X24,IF($X6=1,'abweichende Schweine'!X83,""))</f>
        <v/>
      </c>
      <c r="P21" s="755" t="str">
        <f>IF($W6=1,'abweichende Schweine'!Y24,IF($X6=1,'abweichende Schweine'!Y83,""))</f>
        <v/>
      </c>
      <c r="Q21" s="751" t="str">
        <f>IF($W6=1,'abweichende Schweine'!Q24,IF($X6=1,'abweichende Schweine'!Q83,""))</f>
        <v/>
      </c>
      <c r="R21" s="752" t="str">
        <f>IF($W6=1,'abweichende Schweine'!R24,IF($X6=1,'abweichende Schweine'!R83,""))</f>
        <v/>
      </c>
      <c r="S21" s="753" t="str">
        <f>IF($W6=1,'abweichende Schweine'!S24,IF($X6=1,'abweichende Schweine'!S83,""))</f>
        <v/>
      </c>
    </row>
    <row r="22" spans="1:24" ht="15.75" customHeight="1" x14ac:dyDescent="0.2">
      <c r="A22" s="698" t="str">
        <f t="shared" si="0"/>
        <v/>
      </c>
      <c r="B22" s="695" t="str">
        <f t="shared" si="1"/>
        <v>--</v>
      </c>
      <c r="C22" s="750" t="str">
        <f>IF($W7=1,'abweichende Schweine'!F36,IF($X7=1,'abweichende Schweine'!F92,""))</f>
        <v/>
      </c>
      <c r="D22" s="751" t="str">
        <f>IF($W7=1,'abweichende Schweine'!G36,IF($X7=1,'abweichende Schweine'!G92,""))</f>
        <v/>
      </c>
      <c r="E22" s="752" t="str">
        <f>IF($W7=1,'abweichende Schweine'!H36,IF($X7=1,'abweichende Schweine'!H92,""))</f>
        <v/>
      </c>
      <c r="F22" s="753" t="str">
        <f>IF($W7=1,'abweichende Schweine'!I36,IF($X7=1,'abweichende Schweine'!I92,""))</f>
        <v/>
      </c>
      <c r="G22" s="754" t="str">
        <f>IF($W7=1,'abweichende Schweine'!J36,IF($X7=1,'abweichende Schweine'!J92,""))</f>
        <v/>
      </c>
      <c r="H22" s="755" t="str">
        <f>IF($W7=1,'abweichende Schweine'!K36,IF($X7=1,'abweichende Schweine'!K92,""))</f>
        <v/>
      </c>
      <c r="I22" s="752" t="str">
        <f>IF($W7=1,'abweichende Schweine'!L36,IF($X7=1,'abweichende Schweine'!L92,""))</f>
        <v/>
      </c>
      <c r="J22" s="752" t="str">
        <f>IF($W7=1,'abweichende Schweine'!M36,IF($X7=1,'abweichende Schweine'!M92,""))</f>
        <v/>
      </c>
      <c r="K22" s="753" t="str">
        <f>IF($W7=1,'abweichende Schweine'!N36,IF($X7=1,'abweichende Schweine'!N92,""))</f>
        <v/>
      </c>
      <c r="L22" s="754" t="str">
        <f>IF($W7=1,'abweichende Schweine'!O36,IF($X7=1,'abweichende Schweine'!O92,""))</f>
        <v/>
      </c>
      <c r="M22" s="752" t="str">
        <f>IF($W7=1,'abweichende Schweine'!P36,IF($X7=1,'abweichende Schweine'!P92,""))</f>
        <v/>
      </c>
      <c r="N22" s="752" t="str">
        <f>IF($W7=1,'abweichende Schweine'!W36,IF($X7=1,'abweichende Schweine'!W92,""))</f>
        <v/>
      </c>
      <c r="O22" s="752" t="str">
        <f>IF($W7=1,'abweichende Schweine'!X36,IF($X7=1,'abweichende Schweine'!X92,""))</f>
        <v/>
      </c>
      <c r="P22" s="755" t="str">
        <f>IF($W7=1,'abweichende Schweine'!Y36,IF($X7=1,'abweichende Schweine'!Y92,""))</f>
        <v/>
      </c>
      <c r="Q22" s="751" t="str">
        <f>IF($W7=1,'abweichende Schweine'!Q36,IF($X7=1,'abweichende Schweine'!Q92,""))</f>
        <v/>
      </c>
      <c r="R22" s="752" t="str">
        <f>IF($W7=1,'abweichende Schweine'!R36,IF($X7=1,'abweichende Schweine'!R92,""))</f>
        <v/>
      </c>
      <c r="S22" s="753" t="str">
        <f>IF($W7=1,'abweichende Schweine'!S36,IF($X7=1,'abweichende Schweine'!S92,""))</f>
        <v/>
      </c>
    </row>
    <row r="23" spans="1:24" ht="15.75" customHeight="1" x14ac:dyDescent="0.2">
      <c r="A23" s="698" t="str">
        <f t="shared" si="0"/>
        <v/>
      </c>
      <c r="B23" s="695" t="str">
        <f t="shared" si="1"/>
        <v>--</v>
      </c>
      <c r="C23" s="750" t="str">
        <f>IF($W8=1,'abweichende Schweine'!F48,IF($X8=1,'abweichende Schweine'!F101,""))</f>
        <v/>
      </c>
      <c r="D23" s="751" t="str">
        <f>IF($W8=1,'abweichende Schweine'!G48,IF($X8=1,'abweichende Schweine'!G101,""))</f>
        <v/>
      </c>
      <c r="E23" s="752" t="str">
        <f>IF($W8=1,'abweichende Schweine'!H48,IF($X8=1,'abweichende Schweine'!H101,""))</f>
        <v/>
      </c>
      <c r="F23" s="753" t="str">
        <f>IF($W8=1,'abweichende Schweine'!I48,IF($X8=1,'abweichende Schweine'!I101,""))</f>
        <v/>
      </c>
      <c r="G23" s="754" t="str">
        <f>IF($W8=1,'abweichende Schweine'!J48,IF($X8=1,'abweichende Schweine'!J101,""))</f>
        <v/>
      </c>
      <c r="H23" s="755" t="str">
        <f>IF($W8=1,'abweichende Schweine'!K48,IF($X8=1,'abweichende Schweine'!K101,""))</f>
        <v/>
      </c>
      <c r="I23" s="752" t="str">
        <f>IF($W8=1,'abweichende Schweine'!L48,IF($X8=1,'abweichende Schweine'!L101,""))</f>
        <v/>
      </c>
      <c r="J23" s="752" t="str">
        <f>IF($W8=1,'abweichende Schweine'!M48,IF($X8=1,'abweichende Schweine'!M101,""))</f>
        <v/>
      </c>
      <c r="K23" s="753" t="str">
        <f>IF($W8=1,'abweichende Schweine'!N48,IF($X8=1,'abweichende Schweine'!N101,""))</f>
        <v/>
      </c>
      <c r="L23" s="754" t="str">
        <f>IF($W8=1,'abweichende Schweine'!O48,IF($X8=1,'abweichende Schweine'!O101,""))</f>
        <v/>
      </c>
      <c r="M23" s="752" t="str">
        <f>IF($W8=1,'abweichende Schweine'!P48,IF($X8=1,'abweichende Schweine'!P101,""))</f>
        <v/>
      </c>
      <c r="N23" s="752" t="str">
        <f>IF($W8=1,'abweichende Schweine'!W48,IF($X8=1,'abweichende Schweine'!W101,""))</f>
        <v/>
      </c>
      <c r="O23" s="752" t="str">
        <f>IF($W8=1,'abweichende Schweine'!X48,IF($X8=1,'abweichende Schweine'!X101,""))</f>
        <v/>
      </c>
      <c r="P23" s="755" t="str">
        <f>IF($W8=1,'abweichende Schweine'!Y48,IF($X8=1,'abweichende Schweine'!Y101,""))</f>
        <v/>
      </c>
      <c r="Q23" s="751" t="str">
        <f>IF($W8=1,'abweichende Schweine'!Q48,IF($X8=1,'abweichende Schweine'!Q101,""))</f>
        <v/>
      </c>
      <c r="R23" s="752" t="str">
        <f>IF($W8=1,'abweichende Schweine'!R48,IF($X8=1,'abweichende Schweine'!R101,""))</f>
        <v/>
      </c>
      <c r="S23" s="753" t="str">
        <f>IF($W8=1,'abweichende Schweine'!S48,IF($X8=1,'abweichende Schweine'!S101,""))</f>
        <v/>
      </c>
    </row>
    <row r="24" spans="1:24" ht="15.75" customHeight="1" x14ac:dyDescent="0.2">
      <c r="A24" s="1007" t="str">
        <f t="shared" si="0"/>
        <v/>
      </c>
      <c r="B24" s="963" t="str">
        <f t="shared" si="1"/>
        <v>--</v>
      </c>
      <c r="C24" s="964" t="str">
        <f>IF($W9=1,'abweichende Schweine'!F60,IF($X9=1,'abweichende Schweine'!F110,""))</f>
        <v/>
      </c>
      <c r="D24" s="965" t="str">
        <f>IF($W9=1,'abweichende Schweine'!G60,IF($X9=1,'abweichende Schweine'!G110,""))</f>
        <v/>
      </c>
      <c r="E24" s="966" t="str">
        <f>IF($W9=1,'abweichende Schweine'!H60,IF($X9=1,'abweichende Schweine'!H110,""))</f>
        <v/>
      </c>
      <c r="F24" s="967" t="str">
        <f>IF($W9=1,'abweichende Schweine'!I60,IF($X9=1,'abweichende Schweine'!I110,""))</f>
        <v/>
      </c>
      <c r="G24" s="968" t="str">
        <f>IF($W9=1,'abweichende Schweine'!J60,IF($X9=1,'abweichende Schweine'!J110,""))</f>
        <v/>
      </c>
      <c r="H24" s="969" t="str">
        <f>IF($W9=1,'abweichende Schweine'!K60,IF($X9=1,'abweichende Schweine'!K110,""))</f>
        <v/>
      </c>
      <c r="I24" s="966" t="str">
        <f>IF($W9=1,'abweichende Schweine'!L60,IF($X9=1,'abweichende Schweine'!L110,""))</f>
        <v/>
      </c>
      <c r="J24" s="966" t="str">
        <f>IF($W9=1,'abweichende Schweine'!M60,IF($X9=1,'abweichende Schweine'!M110,""))</f>
        <v/>
      </c>
      <c r="K24" s="967" t="str">
        <f>IF($W9=1,'abweichende Schweine'!N60,IF($X9=1,'abweichende Schweine'!N110,""))</f>
        <v/>
      </c>
      <c r="L24" s="968" t="str">
        <f>IF($W9=1,'abweichende Schweine'!O60,IF($X9=1,'abweichende Schweine'!O110,""))</f>
        <v/>
      </c>
      <c r="M24" s="966" t="str">
        <f>IF($W9=1,'abweichende Schweine'!P60,IF($X9=1,'abweichende Schweine'!P110,""))</f>
        <v/>
      </c>
      <c r="N24" s="966" t="str">
        <f>IF($W9=1,'abweichende Schweine'!W60,IF($X9=1,'abweichende Schweine'!W110,""))</f>
        <v/>
      </c>
      <c r="O24" s="966" t="str">
        <f>IF($W9=1,'abweichende Schweine'!X60,IF($X9=1,'abweichende Schweine'!X110,""))</f>
        <v/>
      </c>
      <c r="P24" s="969" t="str">
        <f>IF($W9=1,'abweichende Schweine'!Y60,IF($X9=1,'abweichende Schweine'!Y110,""))</f>
        <v/>
      </c>
      <c r="Q24" s="965" t="str">
        <f>IF($W9=1,'abweichende Schweine'!Q60,IF($X9=1,'abweichende Schweine'!Q110,""))</f>
        <v/>
      </c>
      <c r="R24" s="966" t="str">
        <f>IF($W9=1,'abweichende Schweine'!R60,IF($X9=1,'abweichende Schweine'!R110,""))</f>
        <v/>
      </c>
      <c r="S24" s="967" t="str">
        <f>IF($W9=1,'abweichende Schweine'!S60,IF($X9=1,'abweichende Schweine'!S110,""))</f>
        <v/>
      </c>
    </row>
    <row r="25" spans="1:24" ht="15.75" customHeight="1" x14ac:dyDescent="0.2">
      <c r="A25" s="698" t="s">
        <v>7644</v>
      </c>
      <c r="B25" s="695" t="str">
        <f>IF(W11=1,CONCATENATE(A11,"-",B11),"--")</f>
        <v>--</v>
      </c>
      <c r="C25" s="743" t="str">
        <f>IF($W11=1,'abweichende Schweine'!F127,"")</f>
        <v/>
      </c>
      <c r="D25" s="961" t="str">
        <f>IF($W11=1,'abweichende Schweine'!G127,"")</f>
        <v/>
      </c>
      <c r="E25" s="749" t="str">
        <f>IF($W11=1,'abweichende Schweine'!H127,"")</f>
        <v/>
      </c>
      <c r="F25" s="962" t="str">
        <f>IF($W11=1,'abweichende Schweine'!I127,"")</f>
        <v/>
      </c>
      <c r="G25" s="747" t="str">
        <f>IF($W11=1,'abweichende Schweine'!J127,"")</f>
        <v/>
      </c>
      <c r="H25" s="748" t="str">
        <f>IF($W11=1,'abweichende Schweine'!K127,"")</f>
        <v/>
      </c>
      <c r="I25" s="749" t="str">
        <f>IF($W11=1,'abweichende Schweine'!L127,"")</f>
        <v/>
      </c>
      <c r="J25" s="749" t="str">
        <f>IF($W11=1,'abweichende Schweine'!M127,"")</f>
        <v/>
      </c>
      <c r="K25" s="962" t="str">
        <f>IF($W11=1,'abweichende Schweine'!N127,"")</f>
        <v/>
      </c>
      <c r="L25" s="747" t="str">
        <f>IF($W11=1,'abweichende Schweine'!O127,"")</f>
        <v/>
      </c>
      <c r="M25" s="749" t="str">
        <f>IF($W11=1,'abweichende Schweine'!P127,"")</f>
        <v/>
      </c>
      <c r="N25" s="749" t="str">
        <f>IF($W11=1,'abweichende Schweine'!W127,"")</f>
        <v/>
      </c>
      <c r="O25" s="749" t="str">
        <f>IF($W11=1,'abweichende Schweine'!X127,"")</f>
        <v/>
      </c>
      <c r="P25" s="748" t="str">
        <f>IF($W11=1,'abweichende Schweine'!Y127,"")</f>
        <v/>
      </c>
      <c r="Q25" s="961" t="str">
        <f>IF($W11=1,'abweichende Schweine'!Q127,"")</f>
        <v/>
      </c>
      <c r="R25" s="749" t="str">
        <f>IF($W11=1,'abweichende Schweine'!R127,"")</f>
        <v/>
      </c>
      <c r="S25" s="962" t="str">
        <f>IF($W11=1,'abweichende Schweine'!S127,"")</f>
        <v/>
      </c>
    </row>
    <row r="26" spans="1:24" ht="15.75" customHeight="1" thickBot="1" x14ac:dyDescent="0.25">
      <c r="A26" s="699" t="s">
        <v>7644</v>
      </c>
      <c r="B26" s="696" t="str">
        <f>IF(W12=1,CONCATENATE(A12,"-",B12),"--")</f>
        <v>--</v>
      </c>
      <c r="C26" s="750" t="str">
        <f>IF($W12=1,'abweichende Schweine'!F145,"")</f>
        <v/>
      </c>
      <c r="D26" s="751" t="str">
        <f>IF($W12=1,'abweichende Schweine'!G145,"")</f>
        <v/>
      </c>
      <c r="E26" s="752" t="str">
        <f>IF($W12=1,'abweichende Schweine'!H145,"")</f>
        <v/>
      </c>
      <c r="F26" s="753" t="str">
        <f>IF($W12=1,'abweichende Schweine'!I145,"")</f>
        <v/>
      </c>
      <c r="G26" s="754" t="str">
        <f>IF($W12=1,'abweichende Schweine'!J145,"")</f>
        <v/>
      </c>
      <c r="H26" s="755" t="str">
        <f>IF($W12=1,'abweichende Schweine'!K145,"")</f>
        <v/>
      </c>
      <c r="I26" s="752" t="str">
        <f>IF($W12=1,'abweichende Schweine'!L145,"")</f>
        <v/>
      </c>
      <c r="J26" s="752" t="str">
        <f>IF($W12=1,'abweichende Schweine'!M145,"")</f>
        <v/>
      </c>
      <c r="K26" s="753" t="str">
        <f>IF($W12=1,'abweichende Schweine'!N145,"")</f>
        <v/>
      </c>
      <c r="L26" s="754" t="str">
        <f>IF($W12=1,'abweichende Schweine'!O145,"")</f>
        <v/>
      </c>
      <c r="M26" s="752" t="str">
        <f>IF($W12=1,'abweichende Schweine'!P145,"")</f>
        <v/>
      </c>
      <c r="N26" s="752" t="str">
        <f>IF($W12=1,'abweichende Schweine'!W145,"")</f>
        <v/>
      </c>
      <c r="O26" s="752" t="str">
        <f>IF($W12=1,'abweichende Schweine'!X145,"")</f>
        <v/>
      </c>
      <c r="P26" s="755" t="str">
        <f>IF($W12=1,'abweichende Schweine'!Y145,"")</f>
        <v/>
      </c>
      <c r="Q26" s="751" t="str">
        <f>IF($W12=1,'abweichende Schweine'!Q145,"")</f>
        <v/>
      </c>
      <c r="R26" s="752" t="str">
        <f>IF($W12=1,'abweichende Schweine'!R145,"")</f>
        <v/>
      </c>
      <c r="S26" s="753" t="str">
        <f>IF($W12=1,'abweichende Schweine'!S145,"")</f>
        <v/>
      </c>
      <c r="U26" s="355"/>
      <c r="V26" s="351" t="s">
        <v>7740</v>
      </c>
    </row>
    <row r="27" spans="1:24" ht="15.75" customHeight="1" x14ac:dyDescent="0.2">
      <c r="A27" s="119"/>
      <c r="B27" s="668"/>
      <c r="C27" s="669"/>
      <c r="D27" s="670"/>
      <c r="E27" s="670"/>
      <c r="F27" s="671"/>
      <c r="G27" s="672"/>
      <c r="H27" s="675"/>
      <c r="I27" s="736"/>
      <c r="J27" s="674"/>
      <c r="K27" s="675"/>
      <c r="L27" s="672"/>
      <c r="M27" s="674"/>
      <c r="N27" s="674"/>
      <c r="O27" s="674"/>
      <c r="P27" s="673"/>
      <c r="Q27" s="672"/>
      <c r="R27" s="674"/>
      <c r="S27" s="673"/>
      <c r="U27" s="351">
        <v>1</v>
      </c>
      <c r="V27" s="351">
        <f>IF(U27=1,1,U27-1)</f>
        <v>1</v>
      </c>
      <c r="W27" s="351" t="str">
        <f>INDEX(Tiere!$E$123:$E$127,U27)</f>
        <v xml:space="preserve"> --</v>
      </c>
      <c r="X27" s="351" t="str">
        <f>+CONCATENATE(W27," - ",+B27)</f>
        <v xml:space="preserve"> -- - </v>
      </c>
    </row>
    <row r="28" spans="1:24" ht="15.75" customHeight="1" x14ac:dyDescent="0.2">
      <c r="A28" s="111"/>
      <c r="B28" s="757"/>
      <c r="C28" s="676"/>
      <c r="D28" s="677"/>
      <c r="E28" s="677"/>
      <c r="F28" s="678"/>
      <c r="G28" s="679"/>
      <c r="H28" s="734"/>
      <c r="I28" s="737"/>
      <c r="J28" s="680"/>
      <c r="K28" s="681"/>
      <c r="L28" s="679"/>
      <c r="M28" s="680"/>
      <c r="N28" s="680"/>
      <c r="O28" s="680"/>
      <c r="P28" s="682"/>
      <c r="Q28" s="679"/>
      <c r="R28" s="680"/>
      <c r="S28" s="682"/>
      <c r="U28" s="351">
        <v>1</v>
      </c>
      <c r="V28" s="351">
        <f t="shared" ref="V28:V29" si="2">IF(U28=1,1,U28-1)</f>
        <v>1</v>
      </c>
      <c r="W28" s="351" t="str">
        <f>INDEX(Tiere!$E$123:$E$127,U28)</f>
        <v xml:space="preserve"> --</v>
      </c>
      <c r="X28" s="351" t="str">
        <f>+CONCATENATE(W28," - ",+B28)</f>
        <v xml:space="preserve"> -- - </v>
      </c>
    </row>
    <row r="29" spans="1:24" ht="15.75" customHeight="1" thickBot="1" x14ac:dyDescent="0.25">
      <c r="A29" s="110"/>
      <c r="B29" s="1130"/>
      <c r="C29" s="683"/>
      <c r="D29" s="684"/>
      <c r="E29" s="684"/>
      <c r="F29" s="685"/>
      <c r="G29" s="686"/>
      <c r="H29" s="689"/>
      <c r="I29" s="738"/>
      <c r="J29" s="688"/>
      <c r="K29" s="689"/>
      <c r="L29" s="686"/>
      <c r="M29" s="688"/>
      <c r="N29" s="688"/>
      <c r="O29" s="688"/>
      <c r="P29" s="687"/>
      <c r="Q29" s="686"/>
      <c r="R29" s="688"/>
      <c r="S29" s="687"/>
      <c r="U29" s="351">
        <v>1</v>
      </c>
      <c r="V29" s="351">
        <f t="shared" si="2"/>
        <v>1</v>
      </c>
      <c r="W29" s="351" t="str">
        <f>INDEX(Tiere!$E$123:$E$127,U29)</f>
        <v xml:space="preserve"> --</v>
      </c>
      <c r="X29" s="351" t="str">
        <f>+CONCATENATE(W29," - ",+B29)</f>
        <v xml:space="preserve"> -- - </v>
      </c>
    </row>
    <row r="30" spans="1:24" ht="15.75" customHeight="1" x14ac:dyDescent="0.2">
      <c r="A30" s="645" t="s">
        <v>554</v>
      </c>
      <c r="S30" s="352"/>
    </row>
    <row r="31" spans="1:24" ht="15.75" customHeight="1" x14ac:dyDescent="0.2">
      <c r="A31" s="386" t="s">
        <v>7741</v>
      </c>
      <c r="S31" s="352"/>
    </row>
    <row r="32" spans="1:24" ht="6.75" customHeight="1" x14ac:dyDescent="0.2">
      <c r="A32" s="386"/>
    </row>
    <row r="33" spans="1:25" ht="15.75" customHeight="1" x14ac:dyDescent="0.2">
      <c r="A33" s="805"/>
      <c r="B33" s="805"/>
      <c r="C33" s="805"/>
      <c r="D33" s="805"/>
      <c r="E33" s="805"/>
      <c r="F33" s="805"/>
      <c r="G33" s="805"/>
      <c r="H33" s="805"/>
      <c r="I33" s="805"/>
      <c r="J33" s="805"/>
    </row>
    <row r="35" spans="1:25" ht="15.75" customHeight="1" thickBot="1" x14ac:dyDescent="0.25">
      <c r="A35" s="979" t="s">
        <v>7901</v>
      </c>
      <c r="B35" s="386"/>
      <c r="C35" s="386"/>
      <c r="D35" s="806"/>
      <c r="E35" s="806"/>
      <c r="F35" s="806"/>
      <c r="G35" s="386"/>
      <c r="H35" s="386"/>
      <c r="I35" s="386"/>
      <c r="J35" s="386"/>
      <c r="K35" s="386"/>
      <c r="L35" s="806"/>
      <c r="M35" s="806"/>
      <c r="N35" s="806"/>
      <c r="O35" s="806"/>
      <c r="P35" s="806"/>
      <c r="Q35" s="386"/>
      <c r="R35" s="386"/>
      <c r="S35" s="386"/>
    </row>
    <row r="36" spans="1:25" ht="15.75" customHeight="1" x14ac:dyDescent="0.2">
      <c r="A36" s="1451" t="s">
        <v>249</v>
      </c>
      <c r="B36" s="1454" t="s">
        <v>252</v>
      </c>
      <c r="C36" s="1481" t="s">
        <v>7893</v>
      </c>
      <c r="D36" s="1482"/>
      <c r="E36" s="1482"/>
      <c r="F36" s="1483"/>
      <c r="G36" s="1491" t="s">
        <v>7908</v>
      </c>
      <c r="H36" s="1437" t="s">
        <v>7799</v>
      </c>
      <c r="I36" s="1437"/>
      <c r="J36" s="1437"/>
      <c r="K36" s="1437"/>
      <c r="L36" s="1437"/>
      <c r="M36" s="1437"/>
      <c r="N36" s="1437"/>
      <c r="O36" s="1437"/>
      <c r="P36" s="1437"/>
      <c r="Q36" s="1437"/>
      <c r="R36" s="1437"/>
      <c r="S36" s="1438"/>
    </row>
    <row r="37" spans="1:25" ht="15.75" customHeight="1" x14ac:dyDescent="0.2">
      <c r="A37" s="1452"/>
      <c r="B37" s="1455"/>
      <c r="C37" s="1484"/>
      <c r="D37" s="1485"/>
      <c r="E37" s="1485"/>
      <c r="F37" s="1486"/>
      <c r="G37" s="1492"/>
      <c r="H37" s="1435" t="s">
        <v>7802</v>
      </c>
      <c r="I37" s="1435"/>
      <c r="J37" s="1434" t="s">
        <v>7787</v>
      </c>
      <c r="K37" s="1457"/>
      <c r="L37" s="1434" t="s">
        <v>7788</v>
      </c>
      <c r="M37" s="1436"/>
      <c r="N37" s="1435" t="s">
        <v>7802</v>
      </c>
      <c r="O37" s="1435"/>
      <c r="P37" s="1434" t="s">
        <v>7787</v>
      </c>
      <c r="Q37" s="1435"/>
      <c r="R37" s="1434" t="s">
        <v>7788</v>
      </c>
      <c r="S37" s="1436"/>
    </row>
    <row r="38" spans="1:25" ht="15.75" customHeight="1" thickBot="1" x14ac:dyDescent="0.3">
      <c r="A38" s="1453"/>
      <c r="B38" s="1456"/>
      <c r="C38" s="1487" t="s">
        <v>7894</v>
      </c>
      <c r="D38" s="1488"/>
      <c r="E38" s="1489" t="s">
        <v>7921</v>
      </c>
      <c r="F38" s="1490"/>
      <c r="G38" s="1493"/>
      <c r="H38" s="807" t="s">
        <v>4</v>
      </c>
      <c r="I38" s="811" t="s">
        <v>7800</v>
      </c>
      <c r="J38" s="810" t="s">
        <v>4</v>
      </c>
      <c r="K38" s="811" t="s">
        <v>7800</v>
      </c>
      <c r="L38" s="810" t="s">
        <v>4</v>
      </c>
      <c r="M38" s="812" t="s">
        <v>7800</v>
      </c>
      <c r="N38" s="808" t="s">
        <v>229</v>
      </c>
      <c r="O38" s="813" t="s">
        <v>523</v>
      </c>
      <c r="P38" s="809" t="s">
        <v>229</v>
      </c>
      <c r="Q38" s="813" t="s">
        <v>523</v>
      </c>
      <c r="R38" s="809" t="s">
        <v>229</v>
      </c>
      <c r="S38" s="814" t="s">
        <v>523</v>
      </c>
    </row>
    <row r="39" spans="1:25" ht="15.75" customHeight="1" x14ac:dyDescent="0.2">
      <c r="A39" s="1004" t="str">
        <f>IF(W5+X5=1,C5,"")</f>
        <v/>
      </c>
      <c r="B39" s="984" t="str">
        <f>IF(W5+X5=1,CONCATENATE(A5,"-",B5),"--")</f>
        <v>--</v>
      </c>
      <c r="C39" s="1439" t="str">
        <f>IF($W5=1,'abweichende Schweine'!AG12,IF($X5=1,'abweichende Schweine'!AG74,""))</f>
        <v/>
      </c>
      <c r="D39" s="1440"/>
      <c r="E39" s="1445" t="str">
        <f>IF($W5=1,'abweichende Schweine'!AH12,IF($X5=1,'abweichende Schweine'!AH74,""))</f>
        <v/>
      </c>
      <c r="F39" s="1446"/>
      <c r="G39" s="985" t="str">
        <f>IF($W5=1,'abweichende Schweine'!AI12,IF($X5=1,'abweichende Schweine'!AI74,""))</f>
        <v/>
      </c>
      <c r="H39" s="985" t="str">
        <f>IF($W5=1,'abweichende Schweine'!Z12,IF($X5=1,'abweichende Schweine'!Z74,""))</f>
        <v/>
      </c>
      <c r="I39" s="986" t="str">
        <f>IF($W5=1,'abweichende Schweine'!AA12,IF($X5=1,'abweichende Schweine'!AA74,""))</f>
        <v/>
      </c>
      <c r="J39" s="987" t="str">
        <f>IF($W5=1,'abweichende Schweine'!AB12,IF($X5=1,'abweichende Schweine'!AB74,""))</f>
        <v/>
      </c>
      <c r="K39" s="986" t="str">
        <f>IF($W5=1,'abweichende Schweine'!AC12,IF($X5=1,'abweichende Schweine'!AC74,""))</f>
        <v/>
      </c>
      <c r="L39" s="987" t="str">
        <f>IF($W5=1,'abweichende Schweine'!AD12,IF($X5=1,'abweichende Schweine'!AD74,""))</f>
        <v/>
      </c>
      <c r="M39" s="988" t="str">
        <f>IF($W5=1,'abweichende Schweine'!AE12,IF($X5=1,'abweichende Schweine'!AE74,""))</f>
        <v/>
      </c>
      <c r="N39" s="985" t="str">
        <f>IF($W5=1,'abweichende Schweine'!AJ12,IF($X5=1,'abweichende Schweine'!AJ74,""))</f>
        <v/>
      </c>
      <c r="O39" s="989" t="str">
        <f>IF($W5=1,'abweichende Schweine'!AK12,IF($X5=1,'abweichende Schweine'!AK74,""))</f>
        <v/>
      </c>
      <c r="P39" s="987" t="str">
        <f>IF($W5=1,'abweichende Schweine'!AL12,IF($X5=1,'abweichende Schweine'!AL74,""))</f>
        <v/>
      </c>
      <c r="Q39" s="989" t="str">
        <f>IF($W5=1,'abweichende Schweine'!AM12,IF($X5=1,'abweichende Schweine'!AM74,""))</f>
        <v/>
      </c>
      <c r="R39" s="987" t="str">
        <f>IF($W5=1,'abweichende Schweine'!AN12,IF($X5=1,'abweichende Schweine'!AN74,""))</f>
        <v/>
      </c>
      <c r="S39" s="988" t="str">
        <f>IF($W5=1,'abweichende Schweine'!AO12,IF($X5=1,'abweichende Schweine'!AO74,""))</f>
        <v/>
      </c>
      <c r="V39" s="815" t="str">
        <f>IF($W5=1,'abweichende Schweine'!BB12,IF($X5=1,'abweichende Schweine'!BB74,""))</f>
        <v/>
      </c>
      <c r="W39" s="816"/>
      <c r="X39" s="816"/>
      <c r="Y39" s="817"/>
    </row>
    <row r="40" spans="1:25" ht="15.75" customHeight="1" x14ac:dyDescent="0.2">
      <c r="A40" s="1005" t="str">
        <f t="shared" ref="A40:A43" si="3">IF(W6+X6=1,C6,"")</f>
        <v/>
      </c>
      <c r="B40" s="990" t="str">
        <f t="shared" ref="B40:B43" si="4">IF(W6+X6=1,CONCATENATE(A6,"-",B6),"--")</f>
        <v>--</v>
      </c>
      <c r="C40" s="1441" t="str">
        <f>IF($W6=1,'abweichende Schweine'!AG24,IF($X6=1,'abweichende Schweine'!AG83,""))</f>
        <v/>
      </c>
      <c r="D40" s="1442"/>
      <c r="E40" s="1447" t="str">
        <f>IF($W6=1,'abweichende Schweine'!AH24,IF($X6=1,'abweichende Schweine'!AH83,""))</f>
        <v/>
      </c>
      <c r="F40" s="1448"/>
      <c r="G40" s="991" t="str">
        <f>IF($W6=1,'abweichende Schweine'!AI24,IF($X6=1,'abweichende Schweine'!AI83,""))</f>
        <v/>
      </c>
      <c r="H40" s="991" t="str">
        <f>IF($W6=1,'abweichende Schweine'!Z24,IF($X6=1,'abweichende Schweine'!Z83,""))</f>
        <v/>
      </c>
      <c r="I40" s="992" t="str">
        <f>IF($W6=1,'abweichende Schweine'!AA24,IF($X6=1,'abweichende Schweine'!AA83,""))</f>
        <v/>
      </c>
      <c r="J40" s="993" t="str">
        <f>IF($W6=1,'abweichende Schweine'!AB24,IF($X6=1,'abweichende Schweine'!AB83,""))</f>
        <v/>
      </c>
      <c r="K40" s="992" t="str">
        <f>IF($W6=1,'abweichende Schweine'!AC24,IF($X6=1,'abweichende Schweine'!AC83,""))</f>
        <v/>
      </c>
      <c r="L40" s="993" t="str">
        <f>IF($W6=1,'abweichende Schweine'!AD24,IF($X6=1,'abweichende Schweine'!AD83,""))</f>
        <v/>
      </c>
      <c r="M40" s="994" t="str">
        <f>IF($W6=1,'abweichende Schweine'!AE24,IF($X6=1,'abweichende Schweine'!AE83,""))</f>
        <v/>
      </c>
      <c r="N40" s="995" t="str">
        <f>IF($W6=1,'abweichende Schweine'!AJ24,IF($X6=1,'abweichende Schweine'!AJ83,""))</f>
        <v/>
      </c>
      <c r="O40" s="996" t="str">
        <f>IF($W6=1,'abweichende Schweine'!AK24,IF($X6=1,'abweichende Schweine'!AK83,""))</f>
        <v/>
      </c>
      <c r="P40" s="993" t="str">
        <f>IF($W6=1,'abweichende Schweine'!AL24,IF($X6=1,'abweichende Schweine'!AL83,""))</f>
        <v/>
      </c>
      <c r="Q40" s="996" t="str">
        <f>IF($W6=1,'abweichende Schweine'!AM24,IF($X6=1,'abweichende Schweine'!AM83,""))</f>
        <v/>
      </c>
      <c r="R40" s="993" t="str">
        <f>IF($W6=1,'abweichende Schweine'!AN24,IF($X6=1,'abweichende Schweine'!AN83,""))</f>
        <v/>
      </c>
      <c r="S40" s="997" t="str">
        <f>IF($W6=1,'abweichende Schweine'!AO24,IF($X6=1,'abweichende Schweine'!AO83,""))</f>
        <v/>
      </c>
      <c r="V40" s="815" t="str">
        <f>IF($W6=1,'abweichende Schweine'!BB24,IF($X6=1,'abweichende Schweine'!BB83,""))</f>
        <v/>
      </c>
      <c r="W40" s="816"/>
      <c r="X40" s="816"/>
      <c r="Y40" s="817"/>
    </row>
    <row r="41" spans="1:25" ht="15.75" customHeight="1" x14ac:dyDescent="0.2">
      <c r="A41" s="1005" t="str">
        <f t="shared" si="3"/>
        <v/>
      </c>
      <c r="B41" s="990" t="str">
        <f t="shared" si="4"/>
        <v>--</v>
      </c>
      <c r="C41" s="1441" t="str">
        <f>IF($W7=1,'abweichende Schweine'!AG36,IF($X7=1,'abweichende Schweine'!AG92,""))</f>
        <v/>
      </c>
      <c r="D41" s="1442"/>
      <c r="E41" s="1447" t="str">
        <f>IF($W7=1,'abweichende Schweine'!AH36,IF($X7=1,'abweichende Schweine'!AH92,""))</f>
        <v/>
      </c>
      <c r="F41" s="1448"/>
      <c r="G41" s="991" t="str">
        <f>IF($W7=1,'abweichende Schweine'!AI36,IF($X7=1,'abweichende Schweine'!AI92,""))</f>
        <v/>
      </c>
      <c r="H41" s="991" t="str">
        <f>IF($W7=1,'abweichende Schweine'!Z36,IF($X7=1,'abweichende Schweine'!Z92,""))</f>
        <v/>
      </c>
      <c r="I41" s="992" t="str">
        <f>IF($W7=1,'abweichende Schweine'!AA36,IF($X7=1,'abweichende Schweine'!AA92,""))</f>
        <v/>
      </c>
      <c r="J41" s="993" t="str">
        <f>IF($W7=1,'abweichende Schweine'!AB36,IF($X7=1,'abweichende Schweine'!AB92,""))</f>
        <v/>
      </c>
      <c r="K41" s="992" t="str">
        <f>IF($W7=1,'abweichende Schweine'!AC36,IF($X7=1,'abweichende Schweine'!AC92,""))</f>
        <v/>
      </c>
      <c r="L41" s="993" t="str">
        <f>IF($W7=1,'abweichende Schweine'!AD36,IF($X7=1,'abweichende Schweine'!AD92,""))</f>
        <v/>
      </c>
      <c r="M41" s="994" t="str">
        <f>IF($W7=1,'abweichende Schweine'!AE36,IF($X7=1,'abweichende Schweine'!AE92,""))</f>
        <v/>
      </c>
      <c r="N41" s="995" t="str">
        <f>IF($W7=1,'abweichende Schweine'!AJ36,IF($X7=1,'abweichende Schweine'!AJ92,""))</f>
        <v/>
      </c>
      <c r="O41" s="996" t="str">
        <f>IF($W7=1,'abweichende Schweine'!AK36,IF($X7=1,'abweichende Schweine'!AK92,""))</f>
        <v/>
      </c>
      <c r="P41" s="993" t="str">
        <f>IF($W7=1,'abweichende Schweine'!AL36,IF($X7=1,'abweichende Schweine'!AL92,""))</f>
        <v/>
      </c>
      <c r="Q41" s="996" t="str">
        <f>IF($W7=1,'abweichende Schweine'!AM36,IF($X7=1,'abweichende Schweine'!AM92,""))</f>
        <v/>
      </c>
      <c r="R41" s="993" t="str">
        <f>IF($W7=1,'abweichende Schweine'!AN36,IF($X7=1,'abweichende Schweine'!AN92,""))</f>
        <v/>
      </c>
      <c r="S41" s="997" t="str">
        <f>IF($W7=1,'abweichende Schweine'!AO36,IF($X7=1,'abweichende Schweine'!AO92,""))</f>
        <v/>
      </c>
      <c r="V41" s="815" t="str">
        <f>IF($W7=1,'abweichende Schweine'!BB36,IF($X7=1,'abweichende Schweine'!BB92,""))</f>
        <v/>
      </c>
      <c r="W41" s="816"/>
      <c r="X41" s="816"/>
      <c r="Y41" s="817"/>
    </row>
    <row r="42" spans="1:25" ht="15.75" customHeight="1" x14ac:dyDescent="0.2">
      <c r="A42" s="1005" t="str">
        <f t="shared" si="3"/>
        <v/>
      </c>
      <c r="B42" s="990" t="str">
        <f t="shared" si="4"/>
        <v>--</v>
      </c>
      <c r="C42" s="1441" t="str">
        <f>IF($W8=1,'abweichende Schweine'!AG48,IF($X8=1,'abweichende Schweine'!AG101,""))</f>
        <v/>
      </c>
      <c r="D42" s="1442"/>
      <c r="E42" s="1447" t="str">
        <f>IF($W8=1,'abweichende Schweine'!AH48,IF($X8=1,'abweichende Schweine'!AH101,""))</f>
        <v/>
      </c>
      <c r="F42" s="1448"/>
      <c r="G42" s="991" t="str">
        <f>IF($W8=1,'abweichende Schweine'!AI48,IF($X8=1,'abweichende Schweine'!AI101,""))</f>
        <v/>
      </c>
      <c r="H42" s="991" t="str">
        <f>IF($W8=1,'abweichende Schweine'!Z48,IF($X8=1,'abweichende Schweine'!Z101,""))</f>
        <v/>
      </c>
      <c r="I42" s="992" t="str">
        <f>IF($W8=1,'abweichende Schweine'!AA48,IF($X8=1,'abweichende Schweine'!AA101,""))</f>
        <v/>
      </c>
      <c r="J42" s="993" t="str">
        <f>IF($W8=1,'abweichende Schweine'!AB48,IF($X8=1,'abweichende Schweine'!AB101,""))</f>
        <v/>
      </c>
      <c r="K42" s="992" t="str">
        <f>IF($W8=1,'abweichende Schweine'!AC48,IF($X8=1,'abweichende Schweine'!AC101,""))</f>
        <v/>
      </c>
      <c r="L42" s="993" t="str">
        <f>IF($W8=1,'abweichende Schweine'!AD48,IF($X8=1,'abweichende Schweine'!AD101,""))</f>
        <v/>
      </c>
      <c r="M42" s="994" t="str">
        <f>IF($W8=1,'abweichende Schweine'!AE48,IF($X8=1,'abweichende Schweine'!AE101,""))</f>
        <v/>
      </c>
      <c r="N42" s="995" t="str">
        <f>IF($W8=1,'abweichende Schweine'!AJ48,IF($X8=1,'abweichende Schweine'!AJ101,""))</f>
        <v/>
      </c>
      <c r="O42" s="996" t="str">
        <f>IF($W8=1,'abweichende Schweine'!AK48,IF($X8=1,'abweichende Schweine'!AK101,""))</f>
        <v/>
      </c>
      <c r="P42" s="993" t="str">
        <f>IF($W8=1,'abweichende Schweine'!AL48,IF($X8=1,'abweichende Schweine'!AL101,""))</f>
        <v/>
      </c>
      <c r="Q42" s="996" t="str">
        <f>IF($W8=1,'abweichende Schweine'!AM48,IF($X8=1,'abweichende Schweine'!AM101,""))</f>
        <v/>
      </c>
      <c r="R42" s="993" t="str">
        <f>IF($W8=1,'abweichende Schweine'!AN48,IF($X8=1,'abweichende Schweine'!AN101,""))</f>
        <v/>
      </c>
      <c r="S42" s="997" t="str">
        <f>IF($W8=1,'abweichende Schweine'!AO48,IF($X8=1,'abweichende Schweine'!AO101,""))</f>
        <v/>
      </c>
      <c r="V42" s="815" t="str">
        <f>IF($W8=1,'abweichende Schweine'!BB48,IF($X8=1,'abweichende Schweine'!BB101,""))</f>
        <v/>
      </c>
      <c r="W42" s="816"/>
      <c r="X42" s="816"/>
      <c r="Y42" s="817"/>
    </row>
    <row r="43" spans="1:25" ht="15.75" customHeight="1" thickBot="1" x14ac:dyDescent="0.25">
      <c r="A43" s="1006" t="str">
        <f t="shared" si="3"/>
        <v/>
      </c>
      <c r="B43" s="998" t="str">
        <f t="shared" si="4"/>
        <v>--</v>
      </c>
      <c r="C43" s="1443" t="str">
        <f>IF($W9=1,'abweichende Schweine'!AG60,IF($X9=1,'abweichende Schweine'!AG110,""))</f>
        <v/>
      </c>
      <c r="D43" s="1444"/>
      <c r="E43" s="1449" t="str">
        <f>IF($W9=1,'abweichende Schweine'!AH60,IF($X9=1,'abweichende Schweine'!AH110,""))</f>
        <v/>
      </c>
      <c r="F43" s="1450"/>
      <c r="G43" s="999" t="str">
        <f>IF($W9=1,'abweichende Schweine'!AI60,IF($X9=1,'abweichende Schweine'!AI110,""))</f>
        <v/>
      </c>
      <c r="H43" s="999" t="str">
        <f>IF($W9=1,'abweichende Schweine'!Z60,IF($X9=1,'abweichende Schweine'!Z110,""))</f>
        <v/>
      </c>
      <c r="I43" s="1000" t="str">
        <f>IF($W9=1,'abweichende Schweine'!AA60,IF($X9=1,'abweichende Schweine'!AA110,""))</f>
        <v/>
      </c>
      <c r="J43" s="1001" t="str">
        <f>IF($W9=1,'abweichende Schweine'!AB60,IF($X9=1,'abweichende Schweine'!AB110,""))</f>
        <v/>
      </c>
      <c r="K43" s="1000" t="str">
        <f>IF($W9=1,'abweichende Schweine'!AC60,IF($X9=1,'abweichende Schweine'!AC110,""))</f>
        <v/>
      </c>
      <c r="L43" s="1001" t="str">
        <f>IF($W9=1,'abweichende Schweine'!AD60,IF($X9=1,'abweichende Schweine'!AD110,""))</f>
        <v/>
      </c>
      <c r="M43" s="1002" t="str">
        <f>IF($W9=1,'abweichende Schweine'!AE60,IF($X9=1,'abweichende Schweine'!AE110,""))</f>
        <v/>
      </c>
      <c r="N43" s="999" t="str">
        <f>IF($W9=1,'abweichende Schweine'!AJ60,IF($X9=1,'abweichende Schweine'!AJ110,""))</f>
        <v/>
      </c>
      <c r="O43" s="1003" t="str">
        <f>IF($W9=1,'abweichende Schweine'!AK60,IF($X9=1,'abweichende Schweine'!AK110,""))</f>
        <v/>
      </c>
      <c r="P43" s="1001" t="str">
        <f>IF($W9=1,'abweichende Schweine'!AL60,IF($X9=1,'abweichende Schweine'!AL110,""))</f>
        <v/>
      </c>
      <c r="Q43" s="1003" t="str">
        <f>IF($W9=1,'abweichende Schweine'!AM60,IF($X9=1,'abweichende Schweine'!AM110,""))</f>
        <v/>
      </c>
      <c r="R43" s="1001" t="str">
        <f>IF($W9=1,'abweichende Schweine'!AN60,IF($X9=1,'abweichende Schweine'!AN110,""))</f>
        <v/>
      </c>
      <c r="S43" s="1002" t="str">
        <f>IF($W9=1,'abweichende Schweine'!AO60,IF($X9=1,'abweichende Schweine'!AO110,""))</f>
        <v/>
      </c>
      <c r="V43" s="818" t="str">
        <f>IF($W9=1,'abweichende Schweine'!BB60,IF($X9=1,'abweichende Schweine'!BB110,""))</f>
        <v/>
      </c>
      <c r="W43" s="819"/>
      <c r="X43" s="819"/>
      <c r="Y43" s="820"/>
    </row>
    <row r="44" spans="1:25" ht="15.75" customHeight="1" x14ac:dyDescent="0.2">
      <c r="A44" s="386" t="s">
        <v>7801</v>
      </c>
      <c r="B44" s="386"/>
      <c r="C44" s="386"/>
      <c r="D44" s="806"/>
      <c r="E44" s="806"/>
      <c r="F44" s="806"/>
      <c r="G44" s="386"/>
      <c r="H44" s="386"/>
      <c r="I44" s="386"/>
      <c r="J44" s="386"/>
      <c r="K44" s="386"/>
      <c r="L44" s="806"/>
      <c r="M44" s="806"/>
      <c r="N44" s="806"/>
      <c r="O44" s="806"/>
      <c r="P44" s="806"/>
      <c r="Q44" s="386"/>
      <c r="R44" s="386"/>
      <c r="S44" s="386"/>
    </row>
    <row r="45" spans="1:25" ht="15.75" customHeight="1" x14ac:dyDescent="0.2">
      <c r="A45" s="386" t="s">
        <v>7922</v>
      </c>
      <c r="B45" s="386"/>
      <c r="C45" s="386"/>
      <c r="D45" s="806"/>
      <c r="E45" s="806"/>
      <c r="F45" s="806"/>
      <c r="G45" s="386"/>
      <c r="H45" s="386"/>
      <c r="I45" s="386"/>
      <c r="J45" s="386"/>
      <c r="K45" s="386"/>
      <c r="L45" s="806"/>
      <c r="M45" s="806"/>
      <c r="N45" s="806"/>
      <c r="O45" s="806"/>
      <c r="P45" s="806"/>
      <c r="Q45" s="386"/>
      <c r="R45" s="386"/>
      <c r="S45" s="386"/>
    </row>
    <row r="46" spans="1:25" ht="15.75" customHeight="1" x14ac:dyDescent="0.2">
      <c r="B46" s="386"/>
      <c r="C46" s="386"/>
      <c r="D46" s="806"/>
      <c r="E46" s="806"/>
      <c r="F46" s="806"/>
      <c r="G46" s="386"/>
      <c r="H46" s="386"/>
      <c r="I46" s="386"/>
      <c r="J46" s="386"/>
      <c r="K46" s="386"/>
      <c r="L46" s="806"/>
      <c r="M46" s="806"/>
      <c r="N46" s="806"/>
      <c r="O46" s="806"/>
      <c r="P46" s="806"/>
      <c r="Q46" s="386"/>
      <c r="R46" s="386"/>
      <c r="S46" s="386"/>
    </row>
    <row r="47" spans="1:25" ht="15.75" customHeight="1" x14ac:dyDescent="0.2">
      <c r="A47" s="386"/>
      <c r="B47" s="386"/>
      <c r="C47" s="386"/>
      <c r="D47" s="806"/>
      <c r="E47" s="806"/>
      <c r="F47" s="806"/>
      <c r="G47" s="386"/>
      <c r="H47" s="386"/>
      <c r="I47" s="386"/>
      <c r="J47" s="386"/>
      <c r="K47" s="386"/>
      <c r="L47" s="806"/>
      <c r="M47" s="806"/>
      <c r="N47" s="806"/>
      <c r="O47" s="806"/>
      <c r="P47" s="806"/>
      <c r="Q47" s="386"/>
      <c r="R47" s="386"/>
      <c r="S47" s="386"/>
    </row>
    <row r="48" spans="1:25" ht="15.75" customHeight="1" x14ac:dyDescent="0.25">
      <c r="A48" s="113" t="s">
        <v>7903</v>
      </c>
      <c r="D48" s="758"/>
      <c r="E48" s="758"/>
      <c r="F48" s="758"/>
      <c r="L48" s="758"/>
      <c r="M48" s="758"/>
      <c r="N48" s="758"/>
      <c r="O48" s="758"/>
      <c r="P48" s="758"/>
    </row>
    <row r="50" spans="1:25" ht="15.75" customHeight="1" thickBot="1" x14ac:dyDescent="0.25">
      <c r="A50" s="647" t="s">
        <v>7904</v>
      </c>
      <c r="B50" s="645"/>
      <c r="C50" s="352"/>
      <c r="D50" s="352"/>
      <c r="E50" s="646"/>
      <c r="F50" s="646"/>
      <c r="G50" s="352"/>
      <c r="H50" s="352"/>
      <c r="I50" s="352"/>
      <c r="J50" s="352"/>
    </row>
    <row r="51" spans="1:25" ht="15.75" customHeight="1" x14ac:dyDescent="0.2">
      <c r="A51" s="648" t="s">
        <v>521</v>
      </c>
      <c r="B51" s="649" t="s">
        <v>567</v>
      </c>
      <c r="C51" s="1519" t="s">
        <v>541</v>
      </c>
      <c r="D51" s="1548"/>
      <c r="E51" s="1550" t="s">
        <v>542</v>
      </c>
      <c r="F51" s="1551"/>
      <c r="G51" s="1519" t="s">
        <v>543</v>
      </c>
      <c r="H51" s="1552"/>
      <c r="I51" s="1519" t="s">
        <v>329</v>
      </c>
      <c r="J51" s="1520"/>
      <c r="U51" s="351" t="s">
        <v>522</v>
      </c>
      <c r="V51" s="351" t="s">
        <v>523</v>
      </c>
      <c r="W51" s="351" t="s">
        <v>484</v>
      </c>
      <c r="Y51" s="425" t="s">
        <v>323</v>
      </c>
    </row>
    <row r="52" spans="1:25" ht="15.75" customHeight="1" thickBot="1" x14ac:dyDescent="0.25">
      <c r="A52" s="650" t="s">
        <v>238</v>
      </c>
      <c r="B52" s="651">
        <f>('Nährstoffe und Lagerraum'!DL42+'Nährstoffe und Lagerraum'!DM42)/2</f>
        <v>0</v>
      </c>
      <c r="C52" s="1549">
        <v>5</v>
      </c>
      <c r="D52" s="1549"/>
      <c r="E52" s="1549">
        <v>3</v>
      </c>
      <c r="F52" s="1549"/>
      <c r="G52" s="1549">
        <v>17</v>
      </c>
      <c r="H52" s="1553"/>
      <c r="I52" s="1521">
        <v>86</v>
      </c>
      <c r="J52" s="1522"/>
      <c r="U52" s="351">
        <f>B52*C52</f>
        <v>0</v>
      </c>
      <c r="V52" s="351">
        <f>B52*E52</f>
        <v>0</v>
      </c>
      <c r="W52" s="351">
        <f>B52*G52</f>
        <v>0</v>
      </c>
    </row>
    <row r="53" spans="1:25" ht="15.75" customHeight="1" x14ac:dyDescent="0.2">
      <c r="A53" s="352"/>
      <c r="B53" s="352"/>
      <c r="C53" s="352"/>
      <c r="D53" s="646"/>
      <c r="E53" s="646"/>
      <c r="F53" s="646"/>
      <c r="G53" s="352"/>
      <c r="H53" s="352"/>
      <c r="I53" s="594"/>
      <c r="J53" s="570"/>
    </row>
    <row r="54" spans="1:25" ht="15.75" customHeight="1" thickBot="1" x14ac:dyDescent="0.25">
      <c r="A54" s="647" t="s">
        <v>7905</v>
      </c>
      <c r="B54" s="352"/>
      <c r="C54" s="352"/>
      <c r="D54" s="646"/>
      <c r="E54" s="646"/>
      <c r="F54" s="646"/>
      <c r="G54" s="352"/>
      <c r="H54" s="352"/>
      <c r="I54" s="594"/>
      <c r="J54" s="570"/>
    </row>
    <row r="55" spans="1:25" ht="15.75" customHeight="1" thickBot="1" x14ac:dyDescent="0.25">
      <c r="A55" s="652" t="s">
        <v>521</v>
      </c>
      <c r="B55" s="653" t="s">
        <v>566</v>
      </c>
      <c r="C55" s="1523" t="s">
        <v>541</v>
      </c>
      <c r="D55" s="1542"/>
      <c r="E55" s="1543" t="s">
        <v>542</v>
      </c>
      <c r="F55" s="1544"/>
      <c r="G55" s="1523" t="s">
        <v>543</v>
      </c>
      <c r="H55" s="1545"/>
      <c r="I55" s="1523" t="s">
        <v>329</v>
      </c>
      <c r="J55" s="1524"/>
      <c r="X55" s="351" t="s">
        <v>324</v>
      </c>
    </row>
    <row r="56" spans="1:25" ht="15.75" customHeight="1" x14ac:dyDescent="0.2">
      <c r="A56" s="477" t="s">
        <v>238</v>
      </c>
      <c r="B56" s="1074"/>
      <c r="C56" s="1546">
        <v>5</v>
      </c>
      <c r="D56" s="1547"/>
      <c r="E56" s="1533">
        <v>3</v>
      </c>
      <c r="F56" s="1534"/>
      <c r="G56" s="1533">
        <v>17</v>
      </c>
      <c r="H56" s="1536"/>
      <c r="I56" s="1525">
        <v>86</v>
      </c>
      <c r="J56" s="1526"/>
      <c r="U56" s="351">
        <f>$B56*C56</f>
        <v>0</v>
      </c>
      <c r="V56" s="351">
        <f>$B56*E56</f>
        <v>0</v>
      </c>
      <c r="W56" s="351">
        <f>$B56*G56</f>
        <v>0</v>
      </c>
      <c r="X56" s="351">
        <f>B56*I56</f>
        <v>0</v>
      </c>
    </row>
    <row r="57" spans="1:25" ht="15.75" customHeight="1" x14ac:dyDescent="0.2">
      <c r="A57" s="478" t="s">
        <v>544</v>
      </c>
      <c r="B57" s="1074"/>
      <c r="C57" s="1533">
        <v>11</v>
      </c>
      <c r="D57" s="1534"/>
      <c r="E57" s="1533">
        <v>4</v>
      </c>
      <c r="F57" s="1534"/>
      <c r="G57" s="1533">
        <v>15.6</v>
      </c>
      <c r="H57" s="1534"/>
      <c r="I57" s="1533">
        <v>86</v>
      </c>
      <c r="J57" s="1535"/>
      <c r="U57" s="351">
        <f>$B57*C57</f>
        <v>0</v>
      </c>
      <c r="V57" s="351">
        <f>$B57*E57</f>
        <v>0</v>
      </c>
      <c r="W57" s="351">
        <f>$B57*G57</f>
        <v>0</v>
      </c>
      <c r="X57" s="351">
        <f>B57*I57</f>
        <v>0</v>
      </c>
    </row>
    <row r="58" spans="1:25" ht="15.75" customHeight="1" x14ac:dyDescent="0.2">
      <c r="A58" s="479" t="s">
        <v>514</v>
      </c>
      <c r="B58" s="1075"/>
      <c r="C58" s="1539">
        <v>2.7</v>
      </c>
      <c r="D58" s="1540"/>
      <c r="E58" s="1539">
        <v>0.5</v>
      </c>
      <c r="F58" s="1540"/>
      <c r="G58" s="1539">
        <v>1.5</v>
      </c>
      <c r="H58" s="1540"/>
      <c r="I58" s="1527">
        <v>70</v>
      </c>
      <c r="J58" s="1528"/>
      <c r="U58" s="351">
        <f>$B58*C58</f>
        <v>0</v>
      </c>
      <c r="V58" s="351">
        <f>$B58*E58</f>
        <v>0</v>
      </c>
      <c r="W58" s="351">
        <f>$B58*G58</f>
        <v>0</v>
      </c>
      <c r="X58" s="351">
        <f>B58*I58</f>
        <v>0</v>
      </c>
    </row>
    <row r="59" spans="1:25" ht="15.75" customHeight="1" x14ac:dyDescent="0.2">
      <c r="A59" s="479" t="s">
        <v>515</v>
      </c>
      <c r="B59" s="1074"/>
      <c r="C59" s="1536">
        <v>0.5</v>
      </c>
      <c r="D59" s="1534"/>
      <c r="E59" s="1533">
        <v>0.2</v>
      </c>
      <c r="F59" s="1534"/>
      <c r="G59" s="1533">
        <v>0.5</v>
      </c>
      <c r="H59" s="1536"/>
      <c r="I59" s="1529">
        <v>70</v>
      </c>
      <c r="J59" s="1530"/>
      <c r="U59" s="351">
        <f>$B59*C59</f>
        <v>0</v>
      </c>
      <c r="V59" s="351">
        <f>$B59*E59</f>
        <v>0</v>
      </c>
      <c r="W59" s="351">
        <f>$B59*G59</f>
        <v>0</v>
      </c>
      <c r="X59" s="351">
        <f>B59*I59</f>
        <v>0</v>
      </c>
    </row>
    <row r="60" spans="1:25" ht="15.75" customHeight="1" thickBot="1" x14ac:dyDescent="0.25">
      <c r="A60" s="110" t="s">
        <v>516</v>
      </c>
      <c r="B60" s="1076"/>
      <c r="C60" s="1537">
        <v>1.5</v>
      </c>
      <c r="D60" s="1538"/>
      <c r="E60" s="1541">
        <v>1.2</v>
      </c>
      <c r="F60" s="1538"/>
      <c r="G60" s="1541">
        <v>4.2</v>
      </c>
      <c r="H60" s="1537"/>
      <c r="I60" s="1531">
        <v>80</v>
      </c>
      <c r="J60" s="1532"/>
      <c r="U60" s="423">
        <f>$B60*C60</f>
        <v>0</v>
      </c>
      <c r="V60" s="423">
        <f>$B60*E60</f>
        <v>0</v>
      </c>
      <c r="W60" s="423">
        <f>$B60*G60</f>
        <v>0</v>
      </c>
      <c r="X60" s="351">
        <f>B60*I60</f>
        <v>0</v>
      </c>
    </row>
    <row r="61" spans="1:25" ht="15.75" customHeight="1" x14ac:dyDescent="0.2">
      <c r="A61" s="1517" t="s">
        <v>7874</v>
      </c>
      <c r="B61" s="1517"/>
      <c r="C61" s="1517"/>
      <c r="D61" s="1517"/>
      <c r="E61" s="1517"/>
      <c r="F61" s="1517"/>
      <c r="G61" s="1517"/>
      <c r="H61" s="1517"/>
      <c r="I61" s="1517"/>
      <c r="J61" s="1517"/>
      <c r="U61" s="351">
        <f>SUM(U56:U60)</f>
        <v>0</v>
      </c>
      <c r="V61" s="351">
        <f>SUM(V56:V60)</f>
        <v>0</v>
      </c>
      <c r="W61" s="351">
        <f>SUM(W56:W60)</f>
        <v>0</v>
      </c>
      <c r="X61" s="351">
        <f>IF(OR(Y61=0,B52&gt;Y61),I52,SUM(X56:X60)/Y61)</f>
        <v>86</v>
      </c>
      <c r="Y61" s="425">
        <f>SUM(B56:B60)</f>
        <v>0</v>
      </c>
    </row>
    <row r="62" spans="1:25" ht="15.75" customHeight="1" x14ac:dyDescent="0.2">
      <c r="A62" s="1518"/>
      <c r="B62" s="1518"/>
      <c r="C62" s="1518"/>
      <c r="D62" s="1518"/>
      <c r="E62" s="1518"/>
      <c r="F62" s="1518"/>
      <c r="G62" s="1518"/>
      <c r="H62" s="1518"/>
      <c r="I62" s="1518"/>
      <c r="J62" s="1518"/>
    </row>
    <row r="63" spans="1:25" ht="15.75" customHeight="1" x14ac:dyDescent="0.2">
      <c r="U63" s="425" t="s">
        <v>528</v>
      </c>
      <c r="Y63" s="425" t="s">
        <v>527</v>
      </c>
    </row>
    <row r="64" spans="1:25" ht="15.75" customHeight="1" x14ac:dyDescent="0.2">
      <c r="U64" s="351">
        <f>IF(OR($Y$61&lt;$B$52-0.00001,AND($B$52=0,$Y$61=0)),C52,U61/$Y$61)</f>
        <v>5</v>
      </c>
      <c r="V64" s="351">
        <f>IF(OR($Y$61&lt;$B$52-0.00001,AND($B$52=0,$Y$61=0)),E52,V61/$Y$61)</f>
        <v>3</v>
      </c>
      <c r="W64" s="351">
        <f>IF(OR($Y$61&lt;$B$52-0.00001,AND($B$52=0,$Y$61=0)),G52,W61/$Y$61)</f>
        <v>17</v>
      </c>
      <c r="Y64" s="351">
        <f>IF(OR(B52=0,Y61&lt;$B$52),1,Y61/B52)</f>
        <v>1</v>
      </c>
    </row>
  </sheetData>
  <sheetProtection algorithmName="SHA-512" hashValue="rDxuInvFh2V+1isY02tuXGrf41Uw5XZ7aDR72XeBc5va22DlQ7WL89AWGBx0VeYFKBeknOfvAQU1b7lqc8maXg==" saltValue="QgDPjFVegsZ1Hf3C+fld0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E60:F60"/>
    <mergeCell ref="C55:D55"/>
    <mergeCell ref="E55:F55"/>
    <mergeCell ref="G55:H55"/>
    <mergeCell ref="C56:D56"/>
    <mergeCell ref="C58:D58"/>
    <mergeCell ref="C51:D51"/>
    <mergeCell ref="C52:D52"/>
    <mergeCell ref="E51:F51"/>
    <mergeCell ref="E52:F52"/>
    <mergeCell ref="G51:H51"/>
    <mergeCell ref="G52:H52"/>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J11:L11"/>
    <mergeCell ref="M11:O11"/>
    <mergeCell ref="M10:O10"/>
    <mergeCell ref="J10:L10"/>
    <mergeCell ref="F10:I10"/>
    <mergeCell ref="F11:I11"/>
    <mergeCell ref="S4:S12"/>
    <mergeCell ref="C15:K15"/>
    <mergeCell ref="D16:F16"/>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s>
  <conditionalFormatting sqref="G27:J29 L27:O29 Q27:R29">
    <cfRule type="expression" dxfId="3" priority="11">
      <formula>$U27&gt;3</formula>
    </cfRule>
  </conditionalFormatting>
  <dataValidations count="7">
    <dataValidation type="decimal" allowBlank="1" showInputMessage="1" showErrorMessage="1" sqref="C27:S29" xr:uid="{00000000-0002-0000-0200-000000000000}">
      <formula1>0</formula1>
      <formula2>999999</formula2>
    </dataValidation>
    <dataValidation type="decimal" operator="greaterThan" allowBlank="1" showInputMessage="1" showErrorMessage="1" sqref="B56:B60" xr:uid="{816DDD14-D0E3-4F05-80FC-9F09BBC2086F}">
      <formula1>0.01</formula1>
    </dataValidation>
    <dataValidation type="whole" allowBlank="1" showInputMessage="1" showErrorMessage="1" errorTitle="Ungültige Eingabe" error="Nur ganze Zahlen zwischen 8 und 35 zulässig" sqref="M11:O12" xr:uid="{44B5103A-B106-41D4-BB2A-DBF52B52DB5E}">
      <formula1>8</formula1>
      <formula2>35</formula2>
    </dataValidation>
    <dataValidation type="whole" allowBlank="1" showInputMessage="1" showErrorMessage="1" errorTitle="Ungültige Eingabe" error="Für Eingabebereich Notiz zur Überschrift beachten. Nur ganze Zahlen zulässig." sqref="J5:L9" xr:uid="{5E7A09A0-B631-408B-ABD7-FBDCC9E67281}">
      <formula1>U5</formula1>
      <formula2>V5</formula2>
    </dataValidation>
    <dataValidation type="whole" allowBlank="1" showInputMessage="1" showErrorMessage="1" errorTitle="Ungültige Eingabe" error="Für Eingabebereich Notiz zur Überschrift beachten. Nur ganze Zahlen zulässig." sqref="M6:O9 M5:O5" xr:uid="{9428C5EA-6307-458A-BB94-E91B017D2444}">
      <formula1>U5</formula1>
      <formula2>V5</formula2>
    </dataValidation>
    <dataValidation type="list" allowBlank="1" showInputMessage="1" showErrorMessage="1" sqref="F5:F9 F11:F12 G11:I11" xr:uid="{79D16753-F72A-43C4-9448-9F61476744C0}">
      <formula1>$Y$7:$Y$11</formula1>
    </dataValidation>
    <dataValidation type="list" allowBlank="1" showInputMessage="1" showErrorMessage="1" sqref="C5:E9" xr:uid="{DF21DAB8-C327-4E03-8817-9D6D540998FA}">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De, Sp, Ka); Stand: 09.08.2023&amp;RSeite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26</xdr:row>
                    <xdr:rowOff>9525</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9525</xdr:colOff>
                    <xdr:row>27</xdr:row>
                    <xdr:rowOff>9525</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19050</xdr:colOff>
                    <xdr:row>28</xdr:row>
                    <xdr:rowOff>9525</xdr:rowOff>
                  </from>
                  <to>
                    <xdr:col>1</xdr:col>
                    <xdr:colOff>0</xdr:colOff>
                    <xdr:row>28</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C81E1-05BF-4AA6-A3D1-0E350F89FA68}">
  <sheetPr codeName="Tabelle4"/>
  <dimension ref="A1:IR146"/>
  <sheetViews>
    <sheetView topLeftCell="AZ1" workbookViewId="0">
      <selection activeCell="BG26" sqref="BG26"/>
    </sheetView>
  </sheetViews>
  <sheetFormatPr baseColWidth="10" defaultRowHeight="12.75" x14ac:dyDescent="0.2"/>
  <sheetData>
    <row r="1" spans="1:252" x14ac:dyDescent="0.2">
      <c r="A1" s="386" t="s">
        <v>7927</v>
      </c>
      <c r="B1" t="s">
        <v>7650</v>
      </c>
      <c r="Q1" t="s">
        <v>7651</v>
      </c>
      <c r="Y1" t="s">
        <v>7652</v>
      </c>
      <c r="AG1" t="s">
        <v>7653</v>
      </c>
      <c r="AP1" t="s">
        <v>7654</v>
      </c>
      <c r="BV1" t="s">
        <v>7655</v>
      </c>
      <c r="DB1" t="s">
        <v>7656</v>
      </c>
      <c r="EH1" t="s">
        <v>7657</v>
      </c>
      <c r="FO1" t="s">
        <v>7658</v>
      </c>
      <c r="GC1" t="s">
        <v>7659</v>
      </c>
      <c r="GQ1" t="s">
        <v>7660</v>
      </c>
      <c r="HE1" t="s">
        <v>7661</v>
      </c>
      <c r="HS1" t="s">
        <v>603</v>
      </c>
      <c r="IA1" t="s">
        <v>7717</v>
      </c>
    </row>
    <row r="2" spans="1:252" x14ac:dyDescent="0.2">
      <c r="A2">
        <v>20220621</v>
      </c>
      <c r="B2" t="s">
        <v>7663</v>
      </c>
      <c r="D2" t="s">
        <v>7664</v>
      </c>
      <c r="F2" t="s">
        <v>7665</v>
      </c>
      <c r="H2" t="s">
        <v>7666</v>
      </c>
      <c r="J2" t="s">
        <v>7667</v>
      </c>
      <c r="L2" t="s">
        <v>7668</v>
      </c>
      <c r="N2" t="s">
        <v>7669</v>
      </c>
      <c r="AE2" t="s">
        <v>7670</v>
      </c>
      <c r="AM2" t="s">
        <v>7670</v>
      </c>
      <c r="AP2" t="s">
        <v>7663</v>
      </c>
      <c r="AV2" t="s">
        <v>7664</v>
      </c>
      <c r="BB2" t="s">
        <v>7665</v>
      </c>
      <c r="BH2" t="s">
        <v>7666</v>
      </c>
      <c r="BN2" t="s">
        <v>7671</v>
      </c>
      <c r="BV2" t="s">
        <v>7663</v>
      </c>
      <c r="CB2" t="s">
        <v>7664</v>
      </c>
      <c r="CH2" t="s">
        <v>7665</v>
      </c>
      <c r="CN2" t="s">
        <v>7666</v>
      </c>
      <c r="CT2" t="s">
        <v>7667</v>
      </c>
      <c r="DB2" t="s">
        <v>7663</v>
      </c>
      <c r="DH2" t="s">
        <v>7664</v>
      </c>
      <c r="DN2" t="s">
        <v>7665</v>
      </c>
      <c r="DT2" t="s">
        <v>7666</v>
      </c>
      <c r="DZ2" t="s">
        <v>7667</v>
      </c>
      <c r="EH2" t="s">
        <v>7663</v>
      </c>
      <c r="EN2" t="s">
        <v>7664</v>
      </c>
      <c r="ET2" t="s">
        <v>7665</v>
      </c>
      <c r="EZ2" t="s">
        <v>7666</v>
      </c>
      <c r="FF2" t="s">
        <v>7667</v>
      </c>
      <c r="FO2" t="s">
        <v>7672</v>
      </c>
      <c r="FU2" t="s">
        <v>7673</v>
      </c>
      <c r="GC2" t="s">
        <v>7672</v>
      </c>
      <c r="GI2" t="s">
        <v>7673</v>
      </c>
      <c r="GQ2" t="s">
        <v>7672</v>
      </c>
      <c r="GW2" t="s">
        <v>7673</v>
      </c>
      <c r="HE2" t="s">
        <v>7672</v>
      </c>
      <c r="HK2" t="s">
        <v>7673</v>
      </c>
      <c r="HS2" t="s">
        <v>7674</v>
      </c>
      <c r="IB2" t="s">
        <v>7720</v>
      </c>
      <c r="IF2" t="s">
        <v>7721</v>
      </c>
      <c r="IJ2" t="s">
        <v>7722</v>
      </c>
      <c r="IN2" t="s">
        <v>589</v>
      </c>
      <c r="IO2" t="s">
        <v>224</v>
      </c>
      <c r="IP2" t="s">
        <v>299</v>
      </c>
    </row>
    <row r="3" spans="1:252" x14ac:dyDescent="0.2">
      <c r="B3" t="s">
        <v>7679</v>
      </c>
      <c r="C3" t="s">
        <v>7680</v>
      </c>
      <c r="D3" t="s">
        <v>7679</v>
      </c>
      <c r="E3" t="s">
        <v>7680</v>
      </c>
      <c r="F3" t="s">
        <v>7679</v>
      </c>
      <c r="G3" t="s">
        <v>7680</v>
      </c>
      <c r="H3" t="s">
        <v>7679</v>
      </c>
      <c r="I3" t="s">
        <v>7680</v>
      </c>
      <c r="J3" t="s">
        <v>7679</v>
      </c>
      <c r="K3" t="s">
        <v>7680</v>
      </c>
      <c r="L3" t="s">
        <v>7679</v>
      </c>
      <c r="M3" t="s">
        <v>7680</v>
      </c>
      <c r="N3" t="s">
        <v>7679</v>
      </c>
      <c r="O3" t="s">
        <v>7680</v>
      </c>
      <c r="Q3" t="s">
        <v>7663</v>
      </c>
      <c r="R3" t="s">
        <v>7664</v>
      </c>
      <c r="S3" t="s">
        <v>7665</v>
      </c>
      <c r="T3" t="s">
        <v>7666</v>
      </c>
      <c r="U3" t="s">
        <v>7667</v>
      </c>
      <c r="V3" t="s">
        <v>7668</v>
      </c>
      <c r="W3" t="s">
        <v>7669</v>
      </c>
      <c r="Y3" t="s">
        <v>7663</v>
      </c>
      <c r="Z3" t="s">
        <v>7664</v>
      </c>
      <c r="AA3" t="s">
        <v>7665</v>
      </c>
      <c r="AB3" t="s">
        <v>7666</v>
      </c>
      <c r="AC3" t="s">
        <v>7667</v>
      </c>
      <c r="AD3" t="s">
        <v>7668</v>
      </c>
      <c r="AE3" t="s">
        <v>7669</v>
      </c>
      <c r="AG3" t="s">
        <v>7663</v>
      </c>
      <c r="AH3" t="s">
        <v>7664</v>
      </c>
      <c r="AI3" t="s">
        <v>7665</v>
      </c>
      <c r="AJ3" t="s">
        <v>7666</v>
      </c>
      <c r="AK3" t="s">
        <v>7667</v>
      </c>
      <c r="AL3" t="s">
        <v>7668</v>
      </c>
      <c r="AM3" t="s">
        <v>7669</v>
      </c>
      <c r="AO3" t="s">
        <v>7678</v>
      </c>
      <c r="AP3" t="s">
        <v>7681</v>
      </c>
      <c r="AQ3" t="s">
        <v>7682</v>
      </c>
      <c r="AR3" t="s">
        <v>7683</v>
      </c>
      <c r="AS3" t="s">
        <v>7763</v>
      </c>
      <c r="AT3" t="s">
        <v>7764</v>
      </c>
      <c r="AU3" t="s">
        <v>7765</v>
      </c>
      <c r="AV3" t="s">
        <v>7681</v>
      </c>
      <c r="AW3" t="s">
        <v>7682</v>
      </c>
      <c r="AX3" t="s">
        <v>7683</v>
      </c>
      <c r="AY3" t="s">
        <v>7763</v>
      </c>
      <c r="AZ3" t="s">
        <v>7764</v>
      </c>
      <c r="BA3" t="s">
        <v>7765</v>
      </c>
      <c r="BB3" t="s">
        <v>7681</v>
      </c>
      <c r="BC3" t="s">
        <v>7682</v>
      </c>
      <c r="BD3" t="s">
        <v>7683</v>
      </c>
      <c r="BE3" t="s">
        <v>7763</v>
      </c>
      <c r="BF3" t="s">
        <v>7764</v>
      </c>
      <c r="BG3" t="s">
        <v>7765</v>
      </c>
      <c r="BH3" t="s">
        <v>7681</v>
      </c>
      <c r="BI3" t="s">
        <v>7682</v>
      </c>
      <c r="BJ3" t="s">
        <v>7683</v>
      </c>
      <c r="BK3" t="s">
        <v>7763</v>
      </c>
      <c r="BL3" t="s">
        <v>7764</v>
      </c>
      <c r="BM3" t="s">
        <v>7765</v>
      </c>
      <c r="BN3" t="s">
        <v>7681</v>
      </c>
      <c r="BO3" t="s">
        <v>7682</v>
      </c>
      <c r="BP3" t="s">
        <v>7683</v>
      </c>
      <c r="BQ3" t="s">
        <v>7763</v>
      </c>
      <c r="BR3" t="s">
        <v>7764</v>
      </c>
      <c r="BS3" t="s">
        <v>7765</v>
      </c>
      <c r="BU3" t="s">
        <v>264</v>
      </c>
      <c r="BV3" t="s">
        <v>7681</v>
      </c>
      <c r="BW3" t="s">
        <v>7682</v>
      </c>
      <c r="BX3" t="s">
        <v>7683</v>
      </c>
      <c r="BY3" t="s">
        <v>7763</v>
      </c>
      <c r="BZ3" t="s">
        <v>7764</v>
      </c>
      <c r="CA3" t="s">
        <v>7765</v>
      </c>
      <c r="CB3" t="s">
        <v>7681</v>
      </c>
      <c r="CC3" t="s">
        <v>7682</v>
      </c>
      <c r="CD3" t="s">
        <v>7683</v>
      </c>
      <c r="CE3" t="s">
        <v>7763</v>
      </c>
      <c r="CF3" t="s">
        <v>7764</v>
      </c>
      <c r="CG3" t="s">
        <v>7765</v>
      </c>
      <c r="CH3" t="s">
        <v>7681</v>
      </c>
      <c r="CI3" t="s">
        <v>7682</v>
      </c>
      <c r="CJ3" t="s">
        <v>7683</v>
      </c>
      <c r="CK3" t="s">
        <v>7763</v>
      </c>
      <c r="CL3" t="s">
        <v>7764</v>
      </c>
      <c r="CM3" t="s">
        <v>7765</v>
      </c>
      <c r="CN3" t="s">
        <v>7681</v>
      </c>
      <c r="CO3" t="s">
        <v>7682</v>
      </c>
      <c r="CP3" t="s">
        <v>7683</v>
      </c>
      <c r="CQ3" t="s">
        <v>7763</v>
      </c>
      <c r="CR3" t="s">
        <v>7764</v>
      </c>
      <c r="CS3" t="s">
        <v>7765</v>
      </c>
      <c r="CT3" t="s">
        <v>7681</v>
      </c>
      <c r="CU3" t="s">
        <v>7682</v>
      </c>
      <c r="CV3" t="s">
        <v>7683</v>
      </c>
      <c r="CW3" t="s">
        <v>7763</v>
      </c>
      <c r="CX3" t="s">
        <v>7764</v>
      </c>
      <c r="CY3" t="s">
        <v>7765</v>
      </c>
      <c r="DA3" t="s">
        <v>264</v>
      </c>
      <c r="DB3" t="s">
        <v>7681</v>
      </c>
      <c r="DC3" t="s">
        <v>7682</v>
      </c>
      <c r="DD3" t="s">
        <v>7683</v>
      </c>
      <c r="DE3" t="s">
        <v>7763</v>
      </c>
      <c r="DF3" t="s">
        <v>7764</v>
      </c>
      <c r="DG3" t="s">
        <v>7765</v>
      </c>
      <c r="DH3" t="s">
        <v>7681</v>
      </c>
      <c r="DI3" t="s">
        <v>7682</v>
      </c>
      <c r="DJ3" t="s">
        <v>7683</v>
      </c>
      <c r="DK3" t="s">
        <v>7763</v>
      </c>
      <c r="DL3" t="s">
        <v>7764</v>
      </c>
      <c r="DM3" t="s">
        <v>7765</v>
      </c>
      <c r="DN3" t="s">
        <v>7681</v>
      </c>
      <c r="DO3" t="s">
        <v>7682</v>
      </c>
      <c r="DP3" t="s">
        <v>7683</v>
      </c>
      <c r="DQ3" t="s">
        <v>7763</v>
      </c>
      <c r="DR3" t="s">
        <v>7764</v>
      </c>
      <c r="DS3" t="s">
        <v>7765</v>
      </c>
      <c r="DT3" t="s">
        <v>7681</v>
      </c>
      <c r="DU3" t="s">
        <v>7682</v>
      </c>
      <c r="DV3" t="s">
        <v>7683</v>
      </c>
      <c r="DW3" t="s">
        <v>7763</v>
      </c>
      <c r="DX3" t="s">
        <v>7764</v>
      </c>
      <c r="DY3" t="s">
        <v>7765</v>
      </c>
      <c r="DZ3" t="s">
        <v>7681</v>
      </c>
      <c r="EA3" t="s">
        <v>7682</v>
      </c>
      <c r="EB3" t="s">
        <v>7683</v>
      </c>
      <c r="EC3" t="s">
        <v>7763</v>
      </c>
      <c r="ED3" t="s">
        <v>7764</v>
      </c>
      <c r="EE3" t="s">
        <v>7765</v>
      </c>
      <c r="EG3" t="s">
        <v>264</v>
      </c>
      <c r="EH3" t="s">
        <v>7681</v>
      </c>
      <c r="EI3" t="s">
        <v>7682</v>
      </c>
      <c r="EJ3" t="s">
        <v>7683</v>
      </c>
      <c r="EK3" t="s">
        <v>7763</v>
      </c>
      <c r="EL3" t="s">
        <v>7764</v>
      </c>
      <c r="EM3" t="s">
        <v>7765</v>
      </c>
      <c r="EN3" t="s">
        <v>7681</v>
      </c>
      <c r="EO3" t="s">
        <v>7682</v>
      </c>
      <c r="EP3" t="s">
        <v>7683</v>
      </c>
      <c r="EQ3" t="s">
        <v>7763</v>
      </c>
      <c r="ER3" t="s">
        <v>7764</v>
      </c>
      <c r="ES3" t="s">
        <v>7765</v>
      </c>
      <c r="ET3" t="s">
        <v>7681</v>
      </c>
      <c r="EU3" t="s">
        <v>7682</v>
      </c>
      <c r="EV3" t="s">
        <v>7683</v>
      </c>
      <c r="EW3" t="s">
        <v>7763</v>
      </c>
      <c r="EX3" t="s">
        <v>7764</v>
      </c>
      <c r="EY3" t="s">
        <v>7765</v>
      </c>
      <c r="EZ3" t="s">
        <v>7681</v>
      </c>
      <c r="FA3" t="s">
        <v>7682</v>
      </c>
      <c r="FB3" t="s">
        <v>7683</v>
      </c>
      <c r="FC3" t="s">
        <v>7763</v>
      </c>
      <c r="FD3" t="s">
        <v>7764</v>
      </c>
      <c r="FE3" t="s">
        <v>7765</v>
      </c>
      <c r="FF3" t="s">
        <v>7681</v>
      </c>
      <c r="FG3" t="s">
        <v>7682</v>
      </c>
      <c r="FH3" t="s">
        <v>7683</v>
      </c>
      <c r="FI3" t="s">
        <v>7763</v>
      </c>
      <c r="FJ3" t="s">
        <v>7764</v>
      </c>
      <c r="FK3" t="s">
        <v>7765</v>
      </c>
      <c r="FN3" t="s">
        <v>264</v>
      </c>
      <c r="FO3" t="s">
        <v>7681</v>
      </c>
      <c r="FP3" t="s">
        <v>7682</v>
      </c>
      <c r="FQ3" t="s">
        <v>7683</v>
      </c>
      <c r="FR3" t="s">
        <v>7763</v>
      </c>
      <c r="FS3" t="s">
        <v>7764</v>
      </c>
      <c r="FT3" t="s">
        <v>7765</v>
      </c>
      <c r="FU3" t="s">
        <v>7681</v>
      </c>
      <c r="FV3" t="s">
        <v>7682</v>
      </c>
      <c r="FW3" t="s">
        <v>7683</v>
      </c>
      <c r="FX3" t="s">
        <v>7763</v>
      </c>
      <c r="FY3" t="s">
        <v>7764</v>
      </c>
      <c r="FZ3" t="s">
        <v>7765</v>
      </c>
      <c r="GB3" t="s">
        <v>264</v>
      </c>
      <c r="GC3" t="s">
        <v>7681</v>
      </c>
      <c r="GD3" t="s">
        <v>7682</v>
      </c>
      <c r="GE3" t="s">
        <v>7683</v>
      </c>
      <c r="GF3" t="s">
        <v>7763</v>
      </c>
      <c r="GG3" t="s">
        <v>7764</v>
      </c>
      <c r="GH3" t="s">
        <v>7765</v>
      </c>
      <c r="GI3" t="s">
        <v>7681</v>
      </c>
      <c r="GJ3" t="s">
        <v>7682</v>
      </c>
      <c r="GK3" t="s">
        <v>7683</v>
      </c>
      <c r="GL3" t="s">
        <v>7763</v>
      </c>
      <c r="GM3" t="s">
        <v>7764</v>
      </c>
      <c r="GN3" t="s">
        <v>7765</v>
      </c>
      <c r="GP3" t="s">
        <v>264</v>
      </c>
      <c r="GQ3" t="s">
        <v>7681</v>
      </c>
      <c r="GR3" t="s">
        <v>7682</v>
      </c>
      <c r="GS3" t="s">
        <v>7683</v>
      </c>
      <c r="GT3" t="s">
        <v>7763</v>
      </c>
      <c r="GU3" t="s">
        <v>7764</v>
      </c>
      <c r="GV3" t="s">
        <v>7765</v>
      </c>
      <c r="GW3" t="s">
        <v>7681</v>
      </c>
      <c r="GX3" t="s">
        <v>7682</v>
      </c>
      <c r="GY3" t="s">
        <v>7683</v>
      </c>
      <c r="GZ3" t="s">
        <v>7763</v>
      </c>
      <c r="HA3" t="s">
        <v>7764</v>
      </c>
      <c r="HB3" t="s">
        <v>7765</v>
      </c>
      <c r="HD3" t="s">
        <v>264</v>
      </c>
      <c r="HE3" t="s">
        <v>7681</v>
      </c>
      <c r="HF3" t="s">
        <v>7682</v>
      </c>
      <c r="HG3" t="s">
        <v>7683</v>
      </c>
      <c r="HH3" t="s">
        <v>7763</v>
      </c>
      <c r="HI3" t="s">
        <v>7764</v>
      </c>
      <c r="HJ3" t="s">
        <v>7765</v>
      </c>
      <c r="HK3" t="s">
        <v>7681</v>
      </c>
      <c r="HL3" t="s">
        <v>7682</v>
      </c>
      <c r="HM3" t="s">
        <v>7683</v>
      </c>
      <c r="HN3" t="s">
        <v>7763</v>
      </c>
      <c r="HO3" t="s">
        <v>7764</v>
      </c>
      <c r="HP3" t="s">
        <v>7765</v>
      </c>
      <c r="HT3" t="s">
        <v>7684</v>
      </c>
      <c r="HV3" t="s">
        <v>7685</v>
      </c>
      <c r="HX3" t="s">
        <v>7686</v>
      </c>
      <c r="IA3" t="s">
        <v>7723</v>
      </c>
      <c r="IB3" t="s">
        <v>7724</v>
      </c>
      <c r="IC3" t="s">
        <v>7725</v>
      </c>
      <c r="ID3" t="s">
        <v>7726</v>
      </c>
      <c r="IE3" t="s">
        <v>7727</v>
      </c>
      <c r="IF3" t="s">
        <v>7724</v>
      </c>
      <c r="IG3" t="s">
        <v>7725</v>
      </c>
      <c r="IH3" t="s">
        <v>7726</v>
      </c>
      <c r="II3" t="s">
        <v>7727</v>
      </c>
      <c r="IJ3" t="s">
        <v>7724</v>
      </c>
      <c r="IK3" t="s">
        <v>7725</v>
      </c>
      <c r="IL3" t="s">
        <v>7726</v>
      </c>
      <c r="IM3" t="s">
        <v>7727</v>
      </c>
      <c r="IP3" t="s">
        <v>39</v>
      </c>
      <c r="IQ3" t="s">
        <v>40</v>
      </c>
      <c r="IR3" t="s">
        <v>41</v>
      </c>
    </row>
    <row r="4" spans="1:252" x14ac:dyDescent="0.2">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7698</v>
      </c>
      <c r="HT4" t="s">
        <v>7699</v>
      </c>
      <c r="HU4" t="s">
        <v>7700</v>
      </c>
      <c r="HV4" t="s">
        <v>7699</v>
      </c>
      <c r="HW4" t="s">
        <v>7700</v>
      </c>
      <c r="HX4" t="s">
        <v>7699</v>
      </c>
      <c r="HY4" t="s">
        <v>7700</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7643</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7684</v>
      </c>
      <c r="HV13" t="s">
        <v>7685</v>
      </c>
      <c r="HX13" t="s">
        <v>7686</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7698</v>
      </c>
      <c r="HT14" t="s">
        <v>7699</v>
      </c>
      <c r="HU14" t="s">
        <v>7700</v>
      </c>
      <c r="HV14" t="s">
        <v>7699</v>
      </c>
      <c r="HW14" t="s">
        <v>7700</v>
      </c>
      <c r="HX14" t="s">
        <v>7699</v>
      </c>
      <c r="HY14" t="s">
        <v>7700</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7713</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1CF05-8EAF-4D01-8321-255F06830B4B}">
  <sheetPr codeName="Tabelle6"/>
  <dimension ref="A1:KQ150"/>
  <sheetViews>
    <sheetView topLeftCell="P76" workbookViewId="0">
      <selection activeCell="AI110" sqref="AI110"/>
    </sheetView>
  </sheetViews>
  <sheetFormatPr baseColWidth="10" defaultRowHeight="12.75" x14ac:dyDescent="0.2"/>
  <cols>
    <col min="2" max="2" width="24.140625" customWidth="1"/>
    <col min="3" max="3" width="25.85546875" customWidth="1"/>
    <col min="4" max="4" width="25.7109375" customWidth="1"/>
    <col min="5" max="6" width="23.28515625" customWidth="1"/>
    <col min="7" max="7" width="52.28515625" customWidth="1"/>
    <col min="8" max="8" width="18.5703125" customWidth="1"/>
    <col min="10" max="10" width="11.42578125" customWidth="1"/>
    <col min="70" max="81" width="11.5703125" customWidth="1"/>
    <col min="82" max="82" width="4.28515625" customWidth="1"/>
    <col min="83" max="91" width="11.5703125" customWidth="1"/>
    <col min="92" max="92" width="5.7109375" customWidth="1"/>
    <col min="93" max="93" width="17.42578125" customWidth="1"/>
    <col min="94" max="98" width="13.7109375" customWidth="1"/>
    <col min="99" max="99" width="17.42578125" customWidth="1"/>
    <col min="100" max="104" width="13.7109375" customWidth="1"/>
    <col min="105" max="105" width="17.42578125" customWidth="1"/>
    <col min="106" max="107" width="13.28515625" customWidth="1"/>
    <col min="108" max="110" width="13.7109375" customWidth="1"/>
    <col min="111" max="111" width="17.42578125" customWidth="1"/>
    <col min="112" max="113" width="13.28515625" customWidth="1"/>
    <col min="114" max="116" width="13.7109375" customWidth="1"/>
    <col min="117" max="117" width="17.42578125" customWidth="1"/>
    <col min="118" max="121" width="13.28515625" customWidth="1"/>
    <col min="122" max="122" width="13.7109375" customWidth="1"/>
    <col min="123" max="123" width="11.5703125" customWidth="1"/>
    <col min="124" max="124" width="4" customWidth="1"/>
    <col min="125" max="125" width="17.140625" customWidth="1"/>
    <col min="126" max="127" width="13.7109375" customWidth="1"/>
    <col min="128" max="130" width="12.85546875" customWidth="1"/>
    <col min="131" max="131" width="18.85546875" customWidth="1"/>
    <col min="132" max="133" width="14" customWidth="1"/>
    <col min="134" max="136" width="12.42578125" customWidth="1"/>
    <col min="137" max="137" width="20.5703125" customWidth="1"/>
    <col min="138" max="139" width="14.28515625" customWidth="1"/>
    <col min="140" max="142" width="12.140625" customWidth="1"/>
    <col min="143" max="143" width="20" customWidth="1"/>
    <col min="144" max="145" width="13.5703125" customWidth="1"/>
    <col min="146" max="148" width="13.7109375" customWidth="1"/>
    <col min="149" max="149" width="18.7109375" customWidth="1"/>
    <col min="150" max="151" width="13.85546875" customWidth="1"/>
    <col min="152" max="154" width="14.28515625" customWidth="1"/>
    <col min="155" max="155" width="13.85546875" customWidth="1"/>
    <col min="156" max="156" width="11.5703125" customWidth="1"/>
    <col min="157" max="157" width="17.7109375" style="776" customWidth="1"/>
    <col min="158" max="159" width="11.5703125" style="776" customWidth="1"/>
    <col min="160" max="162" width="11.85546875" style="776" customWidth="1"/>
    <col min="163" max="163" width="18.28515625" style="776" customWidth="1"/>
    <col min="164" max="165" width="11.5703125" style="776" customWidth="1"/>
    <col min="166" max="168" width="12.5703125" style="776" customWidth="1"/>
    <col min="169" max="169" width="17.28515625" style="776" customWidth="1"/>
    <col min="170" max="171" width="11.5703125" style="776" customWidth="1"/>
    <col min="172" max="174" width="12.85546875" style="776" customWidth="1"/>
    <col min="175" max="175" width="17.7109375" style="776" customWidth="1"/>
    <col min="176" max="177" width="11.5703125" style="776" customWidth="1"/>
    <col min="178" max="180" width="10.7109375" style="776" customWidth="1"/>
    <col min="181" max="181" width="17.140625" style="776" customWidth="1"/>
    <col min="182" max="183" width="11.5703125" style="776" customWidth="1"/>
    <col min="184" max="186" width="11.85546875" style="776" customWidth="1"/>
    <col min="187" max="188" width="11.5703125" customWidth="1"/>
    <col min="189" max="189" width="17.7109375" customWidth="1"/>
    <col min="190" max="194" width="11.5703125" customWidth="1"/>
    <col min="195" max="195" width="19.140625" customWidth="1"/>
    <col min="196" max="197" width="11.5703125" customWidth="1"/>
    <col min="198" max="200" width="12.28515625" customWidth="1"/>
    <col min="201" max="201" width="17.42578125" customWidth="1"/>
    <col min="202" max="206" width="11.5703125" customWidth="1"/>
    <col min="207" max="207" width="17.7109375" customWidth="1"/>
    <col min="208" max="212" width="11.5703125" customWidth="1"/>
    <col min="213" max="213" width="16.42578125" customWidth="1"/>
    <col min="214" max="221" width="11.5703125" customWidth="1"/>
    <col min="222" max="222" width="21" customWidth="1"/>
    <col min="223" max="227" width="11.5703125" customWidth="1"/>
    <col min="228" max="228" width="16.7109375" customWidth="1"/>
    <col min="229" max="235" width="11.5703125" customWidth="1"/>
    <col min="236" max="236" width="21" customWidth="1"/>
    <col min="237" max="241" width="11.5703125" customWidth="1"/>
    <col min="242" max="242" width="16.7109375" customWidth="1"/>
    <col min="243" max="249" width="11.5703125" customWidth="1"/>
    <col min="250" max="250" width="21" customWidth="1"/>
    <col min="251" max="255" width="11.5703125" customWidth="1"/>
    <col min="256" max="256" width="16.7109375" customWidth="1"/>
    <col min="257" max="263" width="11.5703125" customWidth="1"/>
    <col min="264" max="264" width="21" customWidth="1"/>
    <col min="265" max="269" width="11.5703125" customWidth="1"/>
    <col min="270" max="270" width="16.7109375" customWidth="1"/>
    <col min="271" max="276" width="11.5703125" customWidth="1"/>
  </cols>
  <sheetData>
    <row r="1" spans="1:303" ht="34.15" customHeight="1" thickBot="1" x14ac:dyDescent="0.3">
      <c r="B1" s="759" t="s">
        <v>7766</v>
      </c>
      <c r="C1" s="760"/>
      <c r="D1" s="760"/>
      <c r="E1" s="760"/>
      <c r="F1" s="760"/>
      <c r="G1" s="760"/>
      <c r="H1" s="761"/>
      <c r="AR1" t="s">
        <v>7649</v>
      </c>
      <c r="AS1" s="1587"/>
      <c r="AT1" s="1587"/>
      <c r="AU1" s="1587"/>
      <c r="AV1" s="1587"/>
      <c r="AW1" s="1587"/>
      <c r="AX1" s="1587"/>
      <c r="AY1" s="1587"/>
      <c r="AZ1" s="1587"/>
      <c r="BA1" s="1587"/>
      <c r="BB1" s="1587"/>
      <c r="BC1" s="1587"/>
      <c r="BD1" s="1587"/>
      <c r="BE1" s="1587"/>
      <c r="BF1" s="1587"/>
      <c r="BG1" s="1587"/>
      <c r="BH1" s="1587"/>
      <c r="BI1" s="1587"/>
      <c r="BJ1" s="1587"/>
      <c r="BK1" s="1587"/>
      <c r="BL1" s="1587"/>
      <c r="BM1" s="1587"/>
      <c r="BN1" s="1587"/>
      <c r="BO1" s="1587"/>
      <c r="BP1" s="1587"/>
      <c r="BQ1" s="1587"/>
      <c r="BR1" s="1587"/>
      <c r="BS1" s="1587"/>
      <c r="BT1" s="1587"/>
      <c r="BU1" s="1587"/>
      <c r="BV1" s="1587"/>
      <c r="BW1" s="1587"/>
      <c r="BX1" s="1587"/>
      <c r="BY1" s="975"/>
      <c r="BZ1" s="975"/>
      <c r="CA1" s="975"/>
      <c r="CB1" s="975"/>
      <c r="CC1" s="975"/>
      <c r="CO1" s="762"/>
      <c r="CP1" s="762"/>
      <c r="CQ1" s="762"/>
      <c r="CR1" s="762"/>
      <c r="CS1" s="762"/>
      <c r="CT1" s="762"/>
      <c r="CU1" s="762"/>
      <c r="CV1" s="762"/>
      <c r="CW1" s="762"/>
      <c r="CX1" s="762"/>
      <c r="CY1" s="762"/>
      <c r="CZ1" s="762"/>
      <c r="DA1" s="762"/>
      <c r="DB1" s="762"/>
      <c r="DC1" s="762"/>
      <c r="DD1" s="762"/>
      <c r="DE1" s="762"/>
      <c r="DF1" s="762"/>
      <c r="DG1" s="762"/>
      <c r="DH1" s="762"/>
      <c r="DI1" s="762"/>
      <c r="DJ1" s="762"/>
      <c r="DK1" s="762"/>
      <c r="DL1" s="762"/>
      <c r="DM1" s="762"/>
      <c r="DN1" s="762"/>
      <c r="DO1" s="762"/>
      <c r="DP1" s="762"/>
      <c r="DQ1" s="762"/>
      <c r="DR1" s="762"/>
      <c r="DU1" s="762"/>
      <c r="DV1" s="762"/>
      <c r="DW1" s="762"/>
      <c r="DX1" s="762"/>
      <c r="DY1" s="762"/>
      <c r="DZ1" s="762"/>
      <c r="EA1" s="762"/>
      <c r="EB1" s="762"/>
      <c r="EC1" s="762"/>
      <c r="ED1" s="762"/>
      <c r="EE1" s="762"/>
      <c r="EF1" s="762"/>
      <c r="EG1" s="762"/>
      <c r="EH1" s="762"/>
      <c r="EI1" s="762"/>
      <c r="EJ1" s="762"/>
      <c r="EK1" s="762"/>
      <c r="EL1" s="762"/>
      <c r="EM1" s="762"/>
      <c r="EN1" s="762"/>
      <c r="EO1" s="762"/>
      <c r="EP1" s="762"/>
      <c r="EQ1" s="762"/>
      <c r="ER1" s="762"/>
      <c r="ES1" s="762"/>
      <c r="ET1" s="762"/>
      <c r="EU1" s="762"/>
      <c r="EV1" s="762"/>
      <c r="EW1" s="763"/>
      <c r="EX1" s="763"/>
      <c r="EY1" s="764"/>
      <c r="FA1" s="765"/>
      <c r="FB1" s="765"/>
      <c r="FC1" s="765"/>
      <c r="FD1" s="765"/>
      <c r="FE1" s="765"/>
      <c r="FF1" s="765"/>
      <c r="FG1" s="765"/>
      <c r="FH1" s="765"/>
      <c r="FI1" s="765"/>
      <c r="FJ1" s="765"/>
      <c r="FK1" s="765"/>
      <c r="FL1" s="765"/>
      <c r="FM1" s="765"/>
      <c r="FN1" s="765"/>
      <c r="FO1" s="765"/>
      <c r="FP1" s="765"/>
      <c r="FQ1" s="765"/>
      <c r="FR1" s="765"/>
      <c r="FS1" s="765"/>
      <c r="FT1" s="765"/>
      <c r="FU1" s="765"/>
      <c r="FV1" s="765"/>
      <c r="FW1" s="765"/>
      <c r="FX1" s="765"/>
      <c r="FY1" s="765"/>
      <c r="FZ1" s="765"/>
      <c r="GA1" s="765"/>
      <c r="GB1" s="765"/>
      <c r="GC1" s="766"/>
      <c r="GD1" s="766"/>
      <c r="GG1" s="767"/>
      <c r="GH1" s="767"/>
      <c r="GI1" s="767"/>
      <c r="GJ1" s="767"/>
      <c r="GK1" s="767"/>
      <c r="GL1" s="767"/>
      <c r="GM1" s="767"/>
      <c r="GN1" s="767"/>
      <c r="GO1" s="767"/>
      <c r="GP1" s="767"/>
      <c r="GQ1" s="767"/>
      <c r="GR1" s="767"/>
      <c r="GS1" s="767"/>
      <c r="GT1" s="767"/>
      <c r="GU1" s="767"/>
      <c r="GV1" s="767"/>
      <c r="GW1" s="767"/>
      <c r="GX1" s="767"/>
      <c r="GY1" s="767"/>
      <c r="GZ1" s="767"/>
      <c r="HA1" s="767"/>
      <c r="HB1" s="767"/>
      <c r="HC1" s="767"/>
      <c r="HD1" s="767"/>
      <c r="HE1" s="767"/>
      <c r="HF1" s="767"/>
      <c r="HG1" s="767"/>
      <c r="HH1" s="767"/>
      <c r="HI1" s="768"/>
      <c r="HJ1" s="768"/>
      <c r="HK1" s="768"/>
      <c r="HN1" s="762"/>
      <c r="HO1" s="762"/>
      <c r="HP1" s="762"/>
      <c r="HQ1" s="762"/>
      <c r="HR1" s="762"/>
      <c r="HS1" s="762"/>
      <c r="HT1" s="762"/>
      <c r="HU1" s="762"/>
      <c r="HV1" s="762"/>
      <c r="HW1" s="762"/>
      <c r="HX1" s="763"/>
      <c r="HY1" s="763"/>
      <c r="IB1" s="762"/>
      <c r="IC1" s="762"/>
      <c r="ID1" s="762"/>
      <c r="IE1" s="762"/>
      <c r="IF1" s="762"/>
      <c r="IG1" s="762"/>
      <c r="IH1" s="762"/>
      <c r="II1" s="762"/>
      <c r="IJ1" s="762"/>
      <c r="IK1" s="762"/>
      <c r="IL1" s="763"/>
      <c r="IM1" s="763"/>
      <c r="IP1" s="762"/>
      <c r="IQ1" s="762"/>
      <c r="IR1" s="762"/>
      <c r="IS1" s="762"/>
      <c r="IT1" s="762"/>
      <c r="IU1" s="762"/>
      <c r="IV1" s="762"/>
      <c r="IW1" s="762"/>
      <c r="IX1" s="762"/>
      <c r="IY1" s="762"/>
      <c r="IZ1" s="763"/>
      <c r="JA1" s="763"/>
      <c r="JD1" s="762"/>
      <c r="JE1" s="762"/>
      <c r="JF1" s="762"/>
      <c r="JG1" s="762"/>
      <c r="JH1" s="762"/>
      <c r="JI1" s="762"/>
      <c r="JJ1" s="762"/>
      <c r="JK1" s="762"/>
      <c r="JL1" s="762"/>
      <c r="JM1" s="762"/>
      <c r="JN1" s="763"/>
      <c r="JO1" s="763"/>
      <c r="JZ1" s="769"/>
      <c r="KA1" s="769"/>
      <c r="KB1" s="769"/>
      <c r="KC1" s="769"/>
      <c r="KD1" s="769"/>
      <c r="KE1" s="769"/>
      <c r="KF1" s="769"/>
      <c r="KG1" s="769"/>
      <c r="KH1" s="769"/>
      <c r="KI1" s="769"/>
      <c r="KJ1" s="769"/>
      <c r="KK1" s="769"/>
      <c r="KL1" s="769"/>
      <c r="KM1" s="769"/>
      <c r="KN1" s="769"/>
      <c r="KO1" s="769"/>
      <c r="KP1" s="769"/>
      <c r="KQ1" s="769"/>
    </row>
    <row r="2" spans="1:303" ht="14.45" customHeight="1" x14ac:dyDescent="0.3">
      <c r="H2" s="770"/>
      <c r="I2" s="770"/>
      <c r="L2" s="804"/>
      <c r="W2" s="1587" t="s">
        <v>7662</v>
      </c>
      <c r="X2" s="1587"/>
      <c r="Y2" s="1587"/>
      <c r="AP2" t="s">
        <v>7760</v>
      </c>
      <c r="AS2" s="1594" t="s">
        <v>7663</v>
      </c>
      <c r="AT2" s="1594"/>
      <c r="AU2" s="1594"/>
      <c r="AV2" s="1594"/>
      <c r="AW2" s="1594"/>
      <c r="AX2" s="1595" t="s">
        <v>7664</v>
      </c>
      <c r="AY2" s="1595"/>
      <c r="AZ2" s="1595"/>
      <c r="BA2" s="1595"/>
      <c r="BB2" s="1595"/>
      <c r="BC2" s="1594" t="s">
        <v>7665</v>
      </c>
      <c r="BD2" s="1594"/>
      <c r="BE2" s="1594"/>
      <c r="BF2" s="1594"/>
      <c r="BG2" s="1594"/>
      <c r="BH2" s="1595" t="s">
        <v>7666</v>
      </c>
      <c r="BI2" s="1595"/>
      <c r="BJ2" s="1595"/>
      <c r="BK2" s="1595"/>
      <c r="BL2" s="1595"/>
      <c r="BM2" s="1594" t="s">
        <v>7667</v>
      </c>
      <c r="BN2" s="1594"/>
      <c r="BO2" s="1594"/>
      <c r="BP2" s="1594"/>
      <c r="BQ2" s="1594"/>
      <c r="BR2" s="1595" t="s">
        <v>7668</v>
      </c>
      <c r="BS2" s="1595"/>
      <c r="BT2" s="1595"/>
      <c r="BU2" s="1595"/>
      <c r="BV2" s="1595"/>
      <c r="BW2" s="1595"/>
      <c r="BX2" s="1595"/>
      <c r="BY2" s="1594" t="s">
        <v>7669</v>
      </c>
      <c r="BZ2" s="1594"/>
      <c r="CA2" s="1594"/>
      <c r="CB2" s="1594"/>
      <c r="CC2" s="1594"/>
      <c r="CT2" s="975"/>
      <c r="CX2" s="975"/>
      <c r="CY2" s="975"/>
      <c r="CZ2" s="975"/>
      <c r="DD2" s="975"/>
      <c r="DE2" s="975"/>
      <c r="DF2" s="975"/>
      <c r="DJ2" s="975"/>
      <c r="DK2" s="975"/>
      <c r="DL2" s="975"/>
      <c r="DP2" s="975"/>
      <c r="DQ2" s="975"/>
      <c r="DR2" s="975"/>
      <c r="DU2" s="975"/>
      <c r="DV2" s="975"/>
      <c r="DW2" s="975"/>
      <c r="DX2" s="975"/>
      <c r="DY2" s="975"/>
      <c r="DZ2" s="975"/>
      <c r="EA2" s="975"/>
      <c r="EB2" s="975"/>
      <c r="EC2" s="975"/>
      <c r="ED2" s="975"/>
      <c r="EE2" s="975"/>
      <c r="EF2" s="975"/>
      <c r="EG2" s="975"/>
      <c r="EH2" s="975"/>
      <c r="EI2" s="975"/>
      <c r="EJ2" s="975"/>
      <c r="EK2" s="975"/>
      <c r="EL2" s="975"/>
      <c r="EM2" s="975"/>
      <c r="EN2" s="975"/>
      <c r="EO2" s="975"/>
      <c r="EP2" s="975"/>
      <c r="EQ2" s="975"/>
      <c r="ER2" s="975"/>
      <c r="ES2" s="975"/>
      <c r="ET2" s="975"/>
      <c r="EU2" s="975"/>
      <c r="EV2" s="975"/>
      <c r="EW2" s="975"/>
      <c r="EX2" s="975"/>
      <c r="EY2" s="975"/>
      <c r="FA2" s="772"/>
      <c r="FB2" s="772"/>
      <c r="FC2" s="772"/>
      <c r="FD2" s="772"/>
      <c r="FE2" s="772"/>
      <c r="FF2" s="772"/>
      <c r="FG2" s="772"/>
      <c r="FH2" s="772"/>
      <c r="FI2" s="772"/>
      <c r="FJ2" s="772"/>
      <c r="FK2" s="772"/>
      <c r="FL2" s="772"/>
      <c r="FM2" s="772"/>
      <c r="FN2" s="772"/>
      <c r="FO2" s="772"/>
      <c r="FP2" s="772"/>
      <c r="FQ2" s="772"/>
      <c r="FR2" s="772"/>
      <c r="FS2" s="772"/>
      <c r="FT2" s="772"/>
      <c r="FU2" s="772"/>
      <c r="FV2" s="772"/>
      <c r="FW2" s="772"/>
      <c r="FX2" s="772"/>
      <c r="FY2" s="772"/>
      <c r="FZ2" s="772"/>
      <c r="GA2" s="772"/>
      <c r="GB2" s="772"/>
      <c r="GC2" s="772"/>
      <c r="GD2" s="772"/>
      <c r="GG2" s="772"/>
      <c r="GH2" s="772"/>
      <c r="GI2" s="772"/>
      <c r="GJ2" s="772"/>
      <c r="GK2" s="772"/>
      <c r="GL2" s="772"/>
      <c r="GM2" s="772"/>
      <c r="GN2" s="772"/>
      <c r="GO2" s="772"/>
      <c r="GP2" s="772"/>
      <c r="GQ2" s="772"/>
      <c r="GR2" s="772"/>
      <c r="GS2" s="772"/>
      <c r="GT2" s="772"/>
      <c r="GU2" s="772"/>
      <c r="GV2" s="772"/>
      <c r="GW2" s="772"/>
      <c r="GX2" s="772"/>
      <c r="GY2" s="772"/>
      <c r="GZ2" s="772"/>
      <c r="HA2" s="772"/>
      <c r="HB2" s="772"/>
      <c r="HC2" s="772"/>
      <c r="HD2" s="772"/>
      <c r="HE2" s="772"/>
      <c r="HF2" s="772"/>
      <c r="HG2" s="772"/>
      <c r="HH2" s="772"/>
      <c r="HI2" s="772"/>
      <c r="HJ2" s="772"/>
      <c r="HK2" s="772"/>
      <c r="HN2" s="975"/>
      <c r="HO2" s="975"/>
      <c r="HP2" s="975"/>
      <c r="HQ2" s="975"/>
      <c r="HR2" s="975"/>
      <c r="HS2" s="975"/>
      <c r="HT2" s="975"/>
      <c r="HU2" s="975"/>
      <c r="HV2" s="975"/>
      <c r="HW2" s="975"/>
      <c r="HX2" s="975"/>
      <c r="HY2" s="975"/>
      <c r="IB2" s="975"/>
      <c r="IC2" s="975"/>
      <c r="ID2" s="975"/>
      <c r="IE2" s="975"/>
      <c r="IF2" s="975"/>
      <c r="IG2" s="975"/>
      <c r="IH2" s="975"/>
      <c r="II2" s="975"/>
      <c r="IJ2" s="975"/>
      <c r="IK2" s="975"/>
      <c r="IL2" s="975"/>
      <c r="IM2" s="975"/>
      <c r="IP2" s="975"/>
      <c r="IQ2" s="975"/>
      <c r="IR2" s="975"/>
      <c r="IS2" s="975"/>
      <c r="IT2" s="975"/>
      <c r="IU2" s="975"/>
      <c r="IV2" s="975"/>
      <c r="IW2" s="975"/>
      <c r="IX2" s="975"/>
      <c r="IY2" s="975"/>
      <c r="IZ2" s="975"/>
      <c r="JA2" s="975"/>
      <c r="JD2" s="975"/>
      <c r="JE2" s="975"/>
      <c r="JF2" s="975"/>
      <c r="JG2" s="975"/>
      <c r="JH2" s="975"/>
      <c r="JI2" s="975"/>
      <c r="JJ2" s="975"/>
      <c r="JK2" s="975"/>
      <c r="JL2" s="975"/>
      <c r="JM2" s="975"/>
      <c r="JN2" s="975"/>
      <c r="JO2" s="975"/>
    </row>
    <row r="3" spans="1:303" ht="18.75" x14ac:dyDescent="0.3">
      <c r="B3" s="773" t="s">
        <v>7767</v>
      </c>
      <c r="C3" s="774"/>
      <c r="D3" s="774"/>
      <c r="E3" s="774"/>
      <c r="F3" s="774"/>
      <c r="G3" s="774"/>
      <c r="H3" s="774"/>
      <c r="I3" s="775"/>
      <c r="L3" s="125" t="s">
        <v>253</v>
      </c>
      <c r="Q3" s="1587" t="s">
        <v>7768</v>
      </c>
      <c r="R3" s="1587"/>
      <c r="S3" s="1587"/>
      <c r="T3" s="1587" t="s">
        <v>7769</v>
      </c>
      <c r="U3" s="1587"/>
      <c r="V3" s="1587"/>
      <c r="W3" t="s">
        <v>7675</v>
      </c>
      <c r="X3" t="s">
        <v>7676</v>
      </c>
      <c r="Y3" t="s">
        <v>7677</v>
      </c>
      <c r="Z3" t="s">
        <v>7770</v>
      </c>
      <c r="AG3" t="s">
        <v>7771</v>
      </c>
      <c r="AJ3" t="s">
        <v>7772</v>
      </c>
      <c r="AP3" s="138" t="s">
        <v>7761</v>
      </c>
      <c r="AR3" t="s">
        <v>7678</v>
      </c>
      <c r="AS3" s="776" t="s">
        <v>7773</v>
      </c>
      <c r="AT3" s="776" t="s">
        <v>7774</v>
      </c>
      <c r="AU3" s="776" t="s">
        <v>7775</v>
      </c>
      <c r="AV3" s="776" t="s">
        <v>7776</v>
      </c>
      <c r="AW3" s="776" t="s">
        <v>7777</v>
      </c>
      <c r="AX3" s="776" t="s">
        <v>7773</v>
      </c>
      <c r="AY3" s="776" t="s">
        <v>7774</v>
      </c>
      <c r="AZ3" s="776" t="s">
        <v>7775</v>
      </c>
      <c r="BA3" s="776" t="s">
        <v>7776</v>
      </c>
      <c r="BB3" s="776" t="s">
        <v>7777</v>
      </c>
      <c r="BC3" s="776" t="s">
        <v>7773</v>
      </c>
      <c r="BD3" s="776" t="s">
        <v>7774</v>
      </c>
      <c r="BE3" s="776" t="s">
        <v>7775</v>
      </c>
      <c r="BF3" s="776" t="s">
        <v>7776</v>
      </c>
      <c r="BG3" s="776" t="s">
        <v>7777</v>
      </c>
      <c r="BH3" s="776" t="s">
        <v>7773</v>
      </c>
      <c r="BI3" s="776" t="s">
        <v>7774</v>
      </c>
      <c r="BJ3" s="776" t="s">
        <v>7775</v>
      </c>
      <c r="BK3" s="776" t="s">
        <v>7776</v>
      </c>
      <c r="BL3" s="776" t="s">
        <v>7777</v>
      </c>
      <c r="BM3" s="776" t="s">
        <v>7773</v>
      </c>
      <c r="BN3" s="776" t="s">
        <v>7774</v>
      </c>
      <c r="BO3" s="776" t="s">
        <v>7775</v>
      </c>
      <c r="BP3" s="776" t="s">
        <v>7776</v>
      </c>
      <c r="BQ3" s="776" t="s">
        <v>7777</v>
      </c>
      <c r="BR3" s="776" t="s">
        <v>7778</v>
      </c>
      <c r="BS3" s="776" t="s">
        <v>7779</v>
      </c>
      <c r="BT3" s="776" t="s">
        <v>7780</v>
      </c>
      <c r="BU3" s="776" t="s">
        <v>7781</v>
      </c>
      <c r="BV3" s="776" t="s">
        <v>7782</v>
      </c>
      <c r="BW3" s="776" t="s">
        <v>7783</v>
      </c>
      <c r="BX3" s="776" t="s">
        <v>7784</v>
      </c>
      <c r="BY3" s="776" t="s">
        <v>7778</v>
      </c>
      <c r="BZ3" s="776" t="s">
        <v>7779</v>
      </c>
      <c r="CA3" s="776" t="s">
        <v>7780</v>
      </c>
      <c r="CB3" s="776" t="s">
        <v>7781</v>
      </c>
      <c r="CC3" s="776" t="s">
        <v>7782</v>
      </c>
    </row>
    <row r="4" spans="1:303" ht="15" x14ac:dyDescent="0.25">
      <c r="A4" s="777" t="s">
        <v>7715</v>
      </c>
      <c r="B4" t="s">
        <v>7687</v>
      </c>
      <c r="E4" t="s">
        <v>7688</v>
      </c>
      <c r="F4" t="s">
        <v>196</v>
      </c>
      <c r="G4" t="s">
        <v>7689</v>
      </c>
      <c r="H4" t="s">
        <v>7690</v>
      </c>
      <c r="I4" t="s">
        <v>7691</v>
      </c>
      <c r="J4" t="s">
        <v>589</v>
      </c>
      <c r="K4" t="s">
        <v>7692</v>
      </c>
      <c r="L4" s="125" t="s">
        <v>7693</v>
      </c>
      <c r="M4" t="s">
        <v>7694</v>
      </c>
      <c r="N4" t="s">
        <v>7695</v>
      </c>
      <c r="O4" t="s">
        <v>7696</v>
      </c>
      <c r="P4" t="s">
        <v>7697</v>
      </c>
      <c r="Q4" t="s">
        <v>39</v>
      </c>
      <c r="R4" t="s">
        <v>40</v>
      </c>
      <c r="S4" t="s">
        <v>41</v>
      </c>
      <c r="T4" t="s">
        <v>39</v>
      </c>
      <c r="U4" t="s">
        <v>40</v>
      </c>
      <c r="V4" t="s">
        <v>41</v>
      </c>
      <c r="AP4" s="778" t="s">
        <v>7762</v>
      </c>
      <c r="AR4" s="779">
        <v>8</v>
      </c>
      <c r="AS4" s="780">
        <f>IF(OR($C$12=$AR4,$D$12=$AR4),Schweine_Werte!$C4*0.5,IF(OR($C$12&gt;$AR4,$D$12&lt;$AR4),0,Schweine_Werte!$C4))</f>
        <v>0</v>
      </c>
      <c r="AT4" s="780">
        <f>IF(OR($C$24=$AR4,$D$24=$AR4),Schweine_Werte!$C4*0.5,IF(OR($C$24&gt;$AR4,$D$24&lt;$AR4),0,Schweine_Werte!$C4))</f>
        <v>0</v>
      </c>
      <c r="AU4" s="780">
        <f>IF(OR($C$36=$AR4,$D$36=$AR4),Schweine_Werte!$C4*0.5,IF(OR($C$36&gt;$AR4,$D$36&lt;$AR4),0,Schweine_Werte!$C4))</f>
        <v>0</v>
      </c>
      <c r="AV4" s="780">
        <f>IF(OR($C$48=$AR4,$D$48=$AR4),Schweine_Werte!$C4*0.5,IF(OR($C$48&gt;$AR4,$D$48&lt;$AR4),0,Schweine_Werte!$C4))</f>
        <v>0</v>
      </c>
      <c r="AW4" s="780">
        <f>IF(OR($C$60=$AR4,$D$60=$AR4),Schweine_Werte!$C4*0.5,IF(OR($C$60&gt;$AR4,$D$60&lt;$AR4),0,Schweine_Werte!$C4))</f>
        <v>0</v>
      </c>
      <c r="AX4" s="780">
        <f>IF(OR($C$12=$AR4,$D$12=$AR4),Schweine_Werte!$E4*0.5,IF(OR($C$12&gt;$AR4,$D$12&lt;$AR4),0,Schweine_Werte!$E4))</f>
        <v>0</v>
      </c>
      <c r="AY4" s="780">
        <f>IF(OR($C$24=$AR4,$D$24=$AR4),Schweine_Werte!$E4*0.5,IF(OR($C$24&gt;$AR4,$D$24&lt;$AR4),0,Schweine_Werte!$E4))</f>
        <v>0</v>
      </c>
      <c r="AZ4" s="780">
        <f>IF(OR($C$36=$AR4,$D$36=$AR4),Schweine_Werte!$E4*0.5,IF(OR($C$36&gt;$AR4,$D$36&lt;$AR4),0,Schweine_Werte!$E4))</f>
        <v>0</v>
      </c>
      <c r="BA4" s="780">
        <f>IF(OR($C$48=$AR4,$D$48=$AR4),Schweine_Werte!$E4*0.5,IF(OR($C$48&gt;$AR4,$D$48&lt;$AR4),0,Schweine_Werte!$E4))</f>
        <v>0</v>
      </c>
      <c r="BB4" s="780">
        <f>IF(OR($C$60=$AR4,$D$60=$AR4),Schweine_Werte!$E4*0.5,IF(OR($C$60&gt;$AR4,$D$60&lt;$AR4),0,Schweine_Werte!$E4))</f>
        <v>0</v>
      </c>
      <c r="BC4" s="780">
        <f>IF(OR($C$12=$AR4,$D$12=$AR4),Schweine_Werte!$G4*0.5,IF(OR($C$12&gt;$AR4,$D$12&lt;$AR4),0,Schweine_Werte!$G4))</f>
        <v>0</v>
      </c>
      <c r="BD4" s="780">
        <f>IF(OR($C$24=$AR4,$D$24=$AR4),Schweine_Werte!$G4*0.5,IF(OR($C$24&gt;$AR4,$D$24&lt;$AR4),0,Schweine_Werte!$G4))</f>
        <v>0</v>
      </c>
      <c r="BE4" s="780">
        <f>IF(OR($C$36=$AR4,$D$36=$AR4),Schweine_Werte!$G4*0.5,IF(OR($C$36&gt;$AR4,$D$36&lt;$AR4),0,Schweine_Werte!$G4))</f>
        <v>0</v>
      </c>
      <c r="BF4" s="780">
        <f>IF(OR($C$48=$AR4,$D$48=$AR4),Schweine_Werte!$G4*0.5,IF(OR($C$48&gt;$AR4,$D$48&lt;$AR4),0,Schweine_Werte!$G4))</f>
        <v>0</v>
      </c>
      <c r="BG4" s="780">
        <f>IF(OR($C$60=$AR4,$D$60=$AR4),Schweine_Werte!$G4*0.5,IF(OR($C$60&gt;$AR4,$D$60&lt;$AR4),0,Schweine_Werte!$G4))</f>
        <v>0</v>
      </c>
      <c r="BH4" s="780">
        <f>IF(OR($C$12=$AR4,$D$12=$AR4),Schweine_Werte!$I4*0.5,IF(OR($C$12&gt;$AR4,$D$12&lt;$AR4),0,Schweine_Werte!$I4))</f>
        <v>0</v>
      </c>
      <c r="BI4" s="780">
        <f>IF(OR($C$24=$AR4,$D$24=$AR4),Schweine_Werte!$I4*0.5,IF(OR($C$24&gt;$AR4,$D$24&lt;$AR4),0,Schweine_Werte!$I4))</f>
        <v>0</v>
      </c>
      <c r="BJ4" s="780">
        <f>IF(OR($C$36=$AR4,$D$36=$AR4),Schweine_Werte!$I4*0.5,IF(OR($C$36&gt;$AR4,$D$36&lt;$AR4),0,Schweine_Werte!$I4))</f>
        <v>0</v>
      </c>
      <c r="BK4" s="780">
        <f>IF(OR($C$48=$AR4,$D$48=$AR4),Schweine_Werte!$I4*0.5,IF(OR($C$48&gt;$AR4,$D$48&lt;$AR4),0,Schweine_Werte!$I4))</f>
        <v>0</v>
      </c>
      <c r="BL4" s="780">
        <f>IF(OR($C$60=$AR4,$D$60=$AR4),Schweine_Werte!$I4*0.5,IF(OR($C$60&gt;$AR4,$D$60&lt;$AR4),0,Schweine_Werte!$I4))</f>
        <v>0</v>
      </c>
      <c r="BM4" s="780"/>
      <c r="BN4" s="780"/>
      <c r="BO4" s="780"/>
      <c r="BP4" s="780"/>
      <c r="BQ4" s="780"/>
      <c r="BR4" s="781">
        <f>IF(OR($C$74=$AR4,$D$74=$AR4),Schweine_Werte!$M4*0.5,IF(OR($C$74&gt;$AR4,$D$74&lt;$AR4),0,Schweine_Werte!$M4))</f>
        <v>0</v>
      </c>
      <c r="BS4" s="781">
        <f>IF(OR($C$83=$AR4,$D$83=$AR4),Schweine_Werte!$M4*0.5,IF(OR($C$83&gt;$AR4,$D$83&lt;$AR4),0,Schweine_Werte!$M4))</f>
        <v>0</v>
      </c>
      <c r="BT4" s="781">
        <f>IF(OR($C$92=$AR4,$D$92=$AR4),Schweine_Werte!$M4*0.5,IF(OR($C$92&gt;$AR4,$D$92&lt;$AR4),0,Schweine_Werte!$M4))</f>
        <v>0</v>
      </c>
      <c r="BU4" s="781">
        <f>IF(OR($C$101=$AR4,$D$101=$AR4),Schweine_Werte!$M4*0.5,IF(OR($C$101&gt;$AR4,$D$101&lt;$AR4),0,Schweine_Werte!$M4))</f>
        <v>0</v>
      </c>
      <c r="BV4" s="781">
        <f>IF(OR($C$110=$AR4,$D$110=$AR4),Schweine_Werte!$M4*0.5,IF(OR($C$110&gt;$AR4,$D$110&lt;$AR4),0,Schweine_Werte!$M4))</f>
        <v>0</v>
      </c>
      <c r="BW4" s="781">
        <f>IF(OR(8=$AR4,$E$127=$AR4),Schweine_Werte!$M4*0.5,IF(OR(8&gt;$AR4,$E$127&lt;$AR4),0,Schweine_Werte!$M4))</f>
        <v>1.6700354626182841</v>
      </c>
      <c r="BX4" s="781">
        <f>IF(OR(8=$AR4,$E$145=$AR4),Schweine_Werte!$M4*0.5,IF(OR(8&gt;$AR4,$E$145&lt;$AR4),0,Schweine_Werte!$M4))</f>
        <v>1.6700354626182841</v>
      </c>
      <c r="BY4" s="781">
        <f>IF(OR($C$74=$AR4,$D$74=$AR4),Schweine_Werte!$O4*0.5,IF(OR($C$74&gt;$AR4,$D$74&lt;$AR4),0,Schweine_Werte!$O4))</f>
        <v>0</v>
      </c>
      <c r="BZ4" s="781">
        <f>IF(OR($C$83=$AR4,$D$83=$AR4),Schweine_Werte!$O4*0.5,IF(OR($C$83&gt;$AR4,$D$83&lt;$AR4),0,Schweine_Werte!$O4))</f>
        <v>0</v>
      </c>
      <c r="CA4" s="781">
        <f>IF(OR($C$92=$AR4,$D$92=$AR4),Schweine_Werte!$O4*0.5,IF(OR($C$92&gt;$AR4,$D$92&lt;$AR4),0,Schweine_Werte!$O4))</f>
        <v>0</v>
      </c>
      <c r="CB4" s="781">
        <f>IF(OR($C$101=$AR4,$D$101=$AR4),Schweine_Werte!$O4*0.5,IF(OR($C$101&gt;$AR4,$D$101&lt;$AR4),0,Schweine_Werte!$O4))</f>
        <v>0</v>
      </c>
      <c r="CC4" s="781">
        <f>IF(OR($C$110=$AR4,$D$110=$AR4),Schweine_Werte!$O4*0.5,IF(OR($C$110&gt;$AR4,$D$110&lt;$AR4),0,Schweine_Werte!$O4))</f>
        <v>0</v>
      </c>
    </row>
    <row r="5" spans="1:303" ht="15" x14ac:dyDescent="0.25">
      <c r="A5" s="782" t="s">
        <v>7734</v>
      </c>
      <c r="B5" s="691">
        <v>700</v>
      </c>
      <c r="D5" s="716"/>
      <c r="E5" s="716" t="e">
        <f>($D12-$C12)*1000/SUM($AS$4:$AS$146)</f>
        <v>#VALUE!</v>
      </c>
      <c r="F5" s="716" t="e">
        <f>SUMPRODUCT($AS$4:$AS$146,Schweine_Werte!$Q$4:$Q$146)/SUM($AS$4:$AS$146)</f>
        <v>#DIV/0!</v>
      </c>
      <c r="G5" s="716" t="e">
        <f>IF($B12=$A$8,SUMPRODUCT($AS$4:$AS$146,Schweine_Werte!EH$4:EH$146)/SUM($AS$4:$AS$146),IF($B12=$A$7,SUMPRODUCT($AS$4:$AS$146,Schweine_Werte!DB$4:DB$146)/SUM($AS$4:$AS$146),IF($B12=$A$6,SUMPRODUCT($AS$4:$AS$146,Schweine_Werte!BV$4:BV$146)/SUM($AS$4:$AS$146),SUMPRODUCT($AS$4:$AS$146,Schweine_Werte!AP$4:AP$146)/SUM($AS$4:$AS$146))))</f>
        <v>#DIV/0!</v>
      </c>
      <c r="H5" s="716" t="e">
        <f>IF($B12=$A$8,SUMPRODUCT($AS$4:$AS$146,Schweine_Werte!EI$4:EI$146)/SUM($AS$4:$AS$146),IF($B12=$A$7,SUMPRODUCT($AS$4:$AS$146,Schweine_Werte!DC$4:DC$146)/SUM($AS$4:$AS$146),IF($B12=$A$6,SUMPRODUCT($AS$4:$AS$146,Schweine_Werte!BW$4:BW$146)/SUM($AS$4:$AS$146),SUMPRODUCT($AS$4:$AS$146,Schweine_Werte!AQ$4:AQ$146)/SUM($AS$4:$AS$146))))</f>
        <v>#DIV/0!</v>
      </c>
      <c r="I5" s="716" t="e">
        <f>IF($B12=$A$8,SUMPRODUCT($AS$4:$AS$146,Schweine_Werte!EJ$4:EJ$146)/SUM($AS$4:$AS$146),IF($B12=$A$7,SUMPRODUCT($AS$4:$AS$146,Schweine_Werte!DD$4:DD$146)/SUM($AS$4:$AS$146),IF($B12=$A$6,SUMPRODUCT($AS$4:$AS$146,Schweine_Werte!BX$4:BX$146)/SUM($AS$4:$AS$146),SUMPRODUCT($AS$4:$AS$146,Schweine_Werte!AR$4:AR$146)/SUM($AS$4:$AS$146))))</f>
        <v>#DIV/0!</v>
      </c>
      <c r="J5" s="716" t="e">
        <f>SUMPRODUCT($AS$4:$AS$146,Schweine_Werte!$Y$4:$Y$146)/SUM($AS$4:$AS$146)</f>
        <v>#DIV/0!</v>
      </c>
      <c r="K5" s="716" t="e">
        <f>SUMPRODUCT($AS$4:$AS$146,Schweine_Werte!$AG$4:$AG$146)/SUM($AS$4:$AS$146)</f>
        <v>#DIV/0!</v>
      </c>
      <c r="L5" s="804" t="e">
        <f>T5*$F5*365/1000+$J5-$K5</f>
        <v>#DIV/0!</v>
      </c>
      <c r="M5" s="716" t="e">
        <f>U5*$F5*365/1000+$J5-$K5/2</f>
        <v>#DIV/0!</v>
      </c>
      <c r="N5" s="716" t="e">
        <f>V5*$F5*365/1000+$J5</f>
        <v>#DIV/0!</v>
      </c>
      <c r="O5" s="716">
        <f>IF($C12&lt;28,SUM($AS$4:$AS$23)+IF($D12&gt;28,$AS$24*0.5,$AS$24),0)</f>
        <v>0</v>
      </c>
      <c r="P5" s="716">
        <f>IF($D12&gt;28,SUM($AS$25:$AS$146)+IF($C12&lt;28,$AS$24*0.5,$AS$24),0)</f>
        <v>0</v>
      </c>
      <c r="Q5" s="716" t="e">
        <f t="shared" ref="Q5:S8" si="0">+T5*$F5</f>
        <v>#DIV/0!</v>
      </c>
      <c r="R5" s="716" t="e">
        <f t="shared" si="0"/>
        <v>#DIV/0!</v>
      </c>
      <c r="S5" s="716" t="e">
        <f t="shared" si="0"/>
        <v>#DIV/0!</v>
      </c>
      <c r="T5" s="716" t="e">
        <f>+($O5*Schweine_Werte!$HT$5+$P5*Schweine_Werte!$HU$5)/SUM($O5:$P5)</f>
        <v>#DIV/0!</v>
      </c>
      <c r="U5" s="716" t="e">
        <f>+($O5*Schweine_Werte!$HV$5+$P5*Schweine_Werte!$HW$5)/SUM($O5:$P5)</f>
        <v>#DIV/0!</v>
      </c>
      <c r="V5" s="716" t="e">
        <f>+($O5*Schweine_Werte!$HX$5+$P5*Schweine_Werte!$HY$5)/SUM($O5:$P5)</f>
        <v>#DIV/0!</v>
      </c>
      <c r="W5" s="771" t="e">
        <f>($J5*0.055+T5*0.365*0.86*$F5-$K5*0.018)/L5*100</f>
        <v>#DIV/0!</v>
      </c>
      <c r="X5" s="716" t="e">
        <f>($J5*0.055+U5*0.365*0.86*$F5-$K5*0.018/2)/M5*100</f>
        <v>#DIV/0!</v>
      </c>
      <c r="Y5" s="716" t="e">
        <f>($J5*0.055+V5*0.365*0.86*$F5)/N5*100</f>
        <v>#DIV/0!</v>
      </c>
      <c r="Z5" s="716"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16"/>
      <c r="AB5" s="716">
        <f>IF($B12=$A$8,SUMIF(Schweine_Werte!$AO$4:$AO$146,$C12,Schweine_Werte!$EL$4:$EL$146),IF($B12=$A$7,SUMIF(Schweine_Werte!$AO$4:$AO$146,$C12,Schweine_Werte!$DF$4:$DF$146),IF($B12=$A$6,SUMIF(Schweine_Werte!$AO$4:$AO$146,$C12,Schweine_Werte!$BZ$4:$BZ$146),SUMIF(Schweine_Werte!$AO$4:$AO$146,$C12,Schweine_Werte!$AT$4:$AT$146))))</f>
        <v>0</v>
      </c>
      <c r="AC5" s="716"/>
      <c r="AD5" s="716">
        <f>IF($B12=$A$8,SUMIF(Schweine_Werte!$AO$4:$AO$146,$D12,Schweine_Werte!$EL$4:$EL$146),IF($B12=$A$7,SUMIF(Schweine_Werte!$AO$4:$AO$146,$D12,Schweine_Werte!$DF$4:$DF$146),IF($B12=$A$6,SUMIF(Schweine_Werte!$AO$4:$AO$146,$D12,Schweine_Werte!$BZ$4:$BZ$146),SUMIF(Schweine_Werte!$AO$4:$AO$146,$D12,Schweine_Werte!$AT$4:$AT$146))))</f>
        <v>0</v>
      </c>
      <c r="AE5" s="716"/>
      <c r="AF5" s="716"/>
      <c r="AG5" s="716" t="e">
        <f>IF($B12=$A$8,SUMPRODUCT($AS$4:$AS$146,Schweine_Werte!$EK$4:$EK$146)/SUM($AS$4:$AS$146),IF($B12=$A$7,SUMPRODUCT($AS$4:$AS$146,Schweine_Werte!$DE$4:$DE$146)/SUM($AS$4:$AS$146),IF($B12=$A$6,SUMPRODUCT($AS$4:$AS$146,Schweine_Werte!$BY$4:$BY$146)/SUM($AS$4:$AS$146),SUMPRODUCT($AS$4:$AS$146,Schweine_Werte!$AS$4:$AS$146)/SUM($AS$4:$AS$146))))</f>
        <v>#DIV/0!</v>
      </c>
      <c r="AH5" s="716"/>
      <c r="AI5" s="716"/>
      <c r="AJ5" s="716"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16"/>
      <c r="AL5" s="716">
        <f>IF($B12=$A$8,SUMIF(Schweine_Werte!$AO$4:$AO$146,$C12,Schweine_Werte!$EM$4:$EM$146),IF($B12=$A$7,SUMIF(Schweine_Werte!$AO$4:$AO$146,$C12,Schweine_Werte!$DG$4:$DG$146),IF($B12=$A$6,SUMIF(Schweine_Werte!$AO$4:$AO$146,$C12,Schweine_Werte!$CA$4:$CA$146),SUMIF(Schweine_Werte!$AO$4:$AO$146,$C12,Schweine_Werte!$AU$4:$AU$146))))</f>
        <v>0</v>
      </c>
      <c r="AM5" s="716"/>
      <c r="AN5" s="716">
        <f>IF($B12=$A$8,SUMIF(Schweine_Werte!$AO$4:$AO$146,$D12,Schweine_Werte!$EM$4:$EM$146),IF($B12=$A$7,SUMIF(Schweine_Werte!$AO$4:$AO$146,$D12,Schweine_Werte!$DG$4:$DG$146),IF($B12=$A$6,SUMIF(Schweine_Werte!$AO$4:$AO$146,$D12,Schweine_Werte!$CA$4:$CA$146),SUMIF(Schweine_Werte!$AO$4:$AO$146,$D12,Schweine_Werte!$AU$4:$AU$146))))</f>
        <v>0</v>
      </c>
      <c r="AR5" s="779">
        <v>9</v>
      </c>
      <c r="AS5" s="780">
        <f>IF(OR($C$12=$AR5,$D$12=$AR5),Schweine_Werte!$C5*0.5,IF(OR($C$12&gt;$AR5,$D$12&lt;$AR5),0,Schweine_Werte!$C5))</f>
        <v>0</v>
      </c>
      <c r="AT5" s="780">
        <f>IF(OR($C$24=$AR5,$D$24=$AR5),Schweine_Werte!$C5*0.5,IF(OR($C$24&gt;$AR5,$D$24&lt;$AR5),0,Schweine_Werte!$C5))</f>
        <v>0</v>
      </c>
      <c r="AU5" s="780">
        <f>IF(OR($C$36=$AR5,$D$36=$AR5),Schweine_Werte!$C5*0.5,IF(OR($C$36&gt;$AR5,$D$36&lt;$AR5),0,Schweine_Werte!$C5))</f>
        <v>0</v>
      </c>
      <c r="AV5" s="780">
        <f>IF(OR($C$48=$AR5,$D$48=$AR5),Schweine_Werte!$C5*0.5,IF(OR($C$48&gt;$AR5,$D$48&lt;$AR5),0,Schweine_Werte!$C5))</f>
        <v>0</v>
      </c>
      <c r="AW5" s="780">
        <f>IF(OR($C$60=$AR5,$D$60=$AR5),Schweine_Werte!$C5*0.5,IF(OR($C$60&gt;$AR5,$D$60&lt;$AR5),0,Schweine_Werte!$C5))</f>
        <v>0</v>
      </c>
      <c r="AX5" s="780">
        <f>IF(OR($C$12=$AR5,$D$12=$AR5),Schweine_Werte!$E5*0.5,IF(OR($C$12&gt;$AR5,$D$12&lt;$AR5),0,Schweine_Werte!$E5))</f>
        <v>0</v>
      </c>
      <c r="AY5" s="780">
        <f>IF(OR($C$24=$AR5,$D$24=$AR5),Schweine_Werte!$E5*0.5,IF(OR($C$24&gt;$AR5,$D$24&lt;$AR5),0,Schweine_Werte!$E5))</f>
        <v>0</v>
      </c>
      <c r="AZ5" s="783">
        <f>IF(OR($C$36=$AR5,$D$36=$AR5),Schweine_Werte!$E5*0.5,IF(OR($C$36&gt;$AR5,$D$36&lt;$AR5),0,Schweine_Werte!$E5))</f>
        <v>0</v>
      </c>
      <c r="BA5" s="783">
        <f>IF(OR($C$48=$AR5,$D$48=$AR5),Schweine_Werte!$E5*0.5,IF(OR($C$48&gt;$AR5,$D$48&lt;$AR5),0,Schweine_Werte!$E5))</f>
        <v>0</v>
      </c>
      <c r="BB5" s="783">
        <f>IF(OR($C$60=$AR5,$D$60=$AR5),Schweine_Werte!$E5*0.5,IF(OR($C$60&gt;$AR5,$D$60&lt;$AR5),0,Schweine_Werte!$E5))</f>
        <v>0</v>
      </c>
      <c r="BC5" s="780">
        <f>IF(OR($C$12=$AR5,$D$12=$AR5),Schweine_Werte!$G5*0.5,IF(OR($C$12&gt;$AR5,$D$12&lt;$AR5),0,Schweine_Werte!$G5))</f>
        <v>0</v>
      </c>
      <c r="BD5" s="780">
        <f>IF(OR($C$24=$AR5,$D$24=$AR5),Schweine_Werte!$G5*0.5,IF(OR($C$24&gt;$AR5,$D$24&lt;$AR5),0,Schweine_Werte!$G5))</f>
        <v>0</v>
      </c>
      <c r="BE5" s="783">
        <f>IF(OR($C$36=$AR5,$D$36=$AR5),Schweine_Werte!$G5*0.5,IF(OR($C$36&gt;$AR5,$D$36&lt;$AR5),0,Schweine_Werte!$G5))</f>
        <v>0</v>
      </c>
      <c r="BF5" s="783">
        <f>IF(OR($C$48=$AR5,$D$48=$AR5),Schweine_Werte!$G5*0.5,IF(OR($C$48&gt;$AR5,$D$48&lt;$AR5),0,Schweine_Werte!$G5))</f>
        <v>0</v>
      </c>
      <c r="BG5" s="783">
        <f>IF(OR($C$60=$AR5,$D$60=$AR5),Schweine_Werte!$G5*0.5,IF(OR($C$60&gt;$AR5,$D$60&lt;$AR5),0,Schweine_Werte!$G5))</f>
        <v>0</v>
      </c>
      <c r="BH5" s="780">
        <f>IF(OR($C$12=$AR5,$D$12=$AR5),Schweine_Werte!$I5*0.5,IF(OR($C$12&gt;$AR5,$D$12&lt;$AR5),0,Schweine_Werte!$I5))</f>
        <v>0</v>
      </c>
      <c r="BI5" s="780">
        <f>IF(OR($C$24=$AR5,$D$24=$AR5),Schweine_Werte!$I5*0.5,IF(OR($C$24&gt;$AR5,$D$24&lt;$AR5),0,Schweine_Werte!$I5))</f>
        <v>0</v>
      </c>
      <c r="BJ5" s="783">
        <f>IF(OR($C$36=$AR5,$D$36=$AR5),Schweine_Werte!$I5*0.5,IF(OR($C$36&gt;$AR5,$D$36&lt;$AR5),0,Schweine_Werte!$I5))</f>
        <v>0</v>
      </c>
      <c r="BK5" s="783">
        <f>IF(OR($C$48=$AR5,$D$48=$AR5),Schweine_Werte!$I5*0.5,IF(OR($C$48&gt;$AR5,$D$48&lt;$AR5),0,Schweine_Werte!$I5))</f>
        <v>0</v>
      </c>
      <c r="BL5" s="783">
        <f>IF(OR($C$60=$AR5,$D$60=$AR5),Schweine_Werte!$I5*0.5,IF(OR($C$60&gt;$AR5,$D$60&lt;$AR5),0,Schweine_Werte!$I5))</f>
        <v>0</v>
      </c>
      <c r="BM5" s="780"/>
      <c r="BN5" s="780"/>
      <c r="BO5" s="783"/>
      <c r="BP5" s="783"/>
      <c r="BQ5" s="783"/>
      <c r="BR5" s="781">
        <f>IF(OR($C$74=$AR5,$D$74=$AR5),Schweine_Werte!$M5*0.5,IF(OR($C$74&gt;$AR5,$D$74&lt;$AR5),0,Schweine_Werte!$M5))</f>
        <v>0</v>
      </c>
      <c r="BS5" s="781">
        <f>IF(OR($C$83=$AR5,$D$83=$AR5),Schweine_Werte!$M5*0.5,IF(OR($C$83&gt;$AR5,$D$83&lt;$AR5),0,Schweine_Werte!$M5))</f>
        <v>0</v>
      </c>
      <c r="BT5" s="716">
        <f>IF(OR($C$92=$AR5,$D$92=$AR5),Schweine_Werte!$M5*0.5,IF(OR($C$92&gt;$AR5,$D$92&lt;$AR5),0,Schweine_Werte!$M5))</f>
        <v>0</v>
      </c>
      <c r="BU5" s="716">
        <f>IF(OR($C$101=$AR5,$D$101=$AR5),Schweine_Werte!$M5*0.5,IF(OR($C$101&gt;$AR5,$D$101&lt;$AR5),0,Schweine_Werte!$M5))</f>
        <v>0</v>
      </c>
      <c r="BV5" s="716">
        <f>IF(OR($C$110=$AR5,$D$110=$AR5),Schweine_Werte!$M5*0.5,IF(OR($C$110&gt;$AR5,$D$110&lt;$AR5),0,Schweine_Werte!$M5))</f>
        <v>0</v>
      </c>
      <c r="BW5" s="716">
        <f>IF(OR(8=$AR5,$E$127=$AR5),Schweine_Werte!$M5*0.5,IF(OR(8&gt;$AR5,$E$127&lt;$AR5),0,Schweine_Werte!$M5))</f>
        <v>3.141935976776089</v>
      </c>
      <c r="BX5" s="716">
        <f>IF(OR(8=$AR5,$E$145=$AR5),Schweine_Werte!$M5*0.5,IF(OR(8&gt;$AR5,$E$145&lt;$AR5),0,Schweine_Werte!$M5))</f>
        <v>3.141935976776089</v>
      </c>
      <c r="BY5" s="781">
        <f>IF(OR($C$74=$AR5,$D$74=$AR5),Schweine_Werte!$O5*0.5,IF(OR($C$74&gt;$AR5,$D$74&lt;$AR5),0,Schweine_Werte!$O5))</f>
        <v>0</v>
      </c>
      <c r="BZ5" s="781">
        <f>IF(OR($C$83=$AR5,$D$83=$AR5),Schweine_Werte!$O5*0.5,IF(OR($C$83&gt;$AR5,$D$83&lt;$AR5),0,Schweine_Werte!$O5))</f>
        <v>0</v>
      </c>
      <c r="CA5" s="716">
        <f>IF(OR($C$92=$AR5,$D$92=$AR5),Schweine_Werte!$O5*0.5,IF(OR($C$92&gt;$AR5,$D$92&lt;$AR5),0,Schweine_Werte!$O5))</f>
        <v>0</v>
      </c>
      <c r="CB5" s="716">
        <f>IF(OR($C$101=$AR5,$D$101=$AR5),Schweine_Werte!$O5*0.5,IF(OR($C$101&gt;$AR5,$D$101&lt;$AR5),0,Schweine_Werte!$O5))</f>
        <v>0</v>
      </c>
      <c r="CC5" s="716">
        <f>IF(OR($C$110=$AR5,$D$110=$AR5),Schweine_Werte!$O5*0.5,IF(OR($C$110&gt;$AR5,$D$110&lt;$AR5),0,Schweine_Werte!$O5))</f>
        <v>0</v>
      </c>
    </row>
    <row r="6" spans="1:303" ht="15" x14ac:dyDescent="0.25">
      <c r="A6" s="782" t="s">
        <v>7735</v>
      </c>
      <c r="B6" s="691">
        <v>750</v>
      </c>
      <c r="D6" s="784"/>
      <c r="E6" s="716" t="e">
        <f>($D12-$C12)*1000/SUM($AX$4:$AX$146)</f>
        <v>#VALUE!</v>
      </c>
      <c r="F6" s="716" t="e">
        <f>SUMPRODUCT($AX$4:$AX$146,Schweine_Werte!$R$4:$R$146)/SUM($AX$4:$AX$146)</f>
        <v>#DIV/0!</v>
      </c>
      <c r="G6" s="716" t="e">
        <f>IF($B12=$A$8,SUMPRODUCT($AX$4:$AX$146,Schweine_Werte!EN$4:EN$146)/SUM($AX$4:$AX$146),IF($B12=$A$7,SUMPRODUCT($AX$4:$AX$146,Schweine_Werte!DH$4:DH$146)/SUM($AX$4:$AX$146),IF($B12=$A$6,SUMPRODUCT($AX$4:$AX$146,Schweine_Werte!CB$4:CB$146)/SUM($AX$4:$AX$146),SUMPRODUCT($AX$4:$AX$146,Schweine_Werte!AV$4:AV$146)/SUM($AX$4:$AX$146))))</f>
        <v>#DIV/0!</v>
      </c>
      <c r="H6" s="716" t="e">
        <f>IF($B12=$A$8,SUMPRODUCT($AX$4:$AX$146,Schweine_Werte!EO$4:EO$146)/SUM($AX$4:$AX$146),IF($B12=$A$7,SUMPRODUCT($AX$4:$AX$146,Schweine_Werte!DI$4:DI$146)/SUM($AX$4:$AX$146),IF($B12=$A$6,SUMPRODUCT($AX$4:$AX$146,Schweine_Werte!CC$4:CC$146)/SUM($AX$4:$AX$146),SUMPRODUCT($AX$4:$AX$146,Schweine_Werte!AW$4:AW$146)/SUM($AX$4:$AX$146))))</f>
        <v>#DIV/0!</v>
      </c>
      <c r="I6" s="716" t="e">
        <f>IF($B12=$A$8,SUMPRODUCT($AX$4:$AX$146,Schweine_Werte!EP$4:EP$146)/SUM($AX$4:$AX$146),IF($B12=$A$7,SUMPRODUCT($AX$4:$AX$146,Schweine_Werte!DJ$4:DJ$146)/SUM($AX$4:$AX$146),IF($B12=$A$6,SUMPRODUCT($AX$4:$AX$146,Schweine_Werte!CD$4:CD$146)/SUM($AX$4:$AX$146),SUMPRODUCT($AX$4:$AX$146,Schweine_Werte!AX$4:AX$146)/SUM($AX$4:$AX$146))))</f>
        <v>#DIV/0!</v>
      </c>
      <c r="J6" s="716" t="e">
        <f>SUMPRODUCT($AX$4:$AX$146,Schweine_Werte!$Z$4:$Z$146)/SUM($AX$4:$AX$146)</f>
        <v>#DIV/0!</v>
      </c>
      <c r="K6" s="716" t="e">
        <f>SUMPRODUCT($AX$4:$AX$146,Schweine_Werte!$AH$4:$AH$146)/SUM($AX$4:$AX$146)</f>
        <v>#DIV/0!</v>
      </c>
      <c r="L6" s="804" t="e">
        <f>T6*$F6*365/1000+$J6-$K6</f>
        <v>#DIV/0!</v>
      </c>
      <c r="M6" s="716" t="e">
        <f>U6*$F6*365/1000+$J6-$K6/2</f>
        <v>#DIV/0!</v>
      </c>
      <c r="N6" s="716" t="e">
        <f>V6*$F6*365/1000+$J6</f>
        <v>#DIV/0!</v>
      </c>
      <c r="O6" s="716">
        <f>IF($C12&lt;28,SUM($AX$4:$AX$23)+IF($D12&gt;28,$AX$24*0.5,$AX$24),0)</f>
        <v>0</v>
      </c>
      <c r="P6" s="716">
        <f>IF($D12&gt;28,SUM($AX$25:$AX$146)+IF($C12&lt;28,$AX$24*0.5,$AX$24),0)</f>
        <v>0</v>
      </c>
      <c r="Q6" s="716" t="e">
        <f t="shared" si="0"/>
        <v>#DIV/0!</v>
      </c>
      <c r="R6" s="716" t="e">
        <f t="shared" si="0"/>
        <v>#DIV/0!</v>
      </c>
      <c r="S6" s="716" t="e">
        <f t="shared" si="0"/>
        <v>#DIV/0!</v>
      </c>
      <c r="T6" s="716" t="e">
        <f>+($O6*Schweine_Werte!$HT$6+$P6*Schweine_Werte!$HU$6)/SUM($O6:$P6)</f>
        <v>#DIV/0!</v>
      </c>
      <c r="U6" s="716" t="e">
        <f>+($O6*Schweine_Werte!$HV$6+$P6*Schweine_Werte!$HW$6)/SUM($O6:$P6)</f>
        <v>#DIV/0!</v>
      </c>
      <c r="V6" s="716" t="e">
        <f>+($O6*Schweine_Werte!$HX$6+$P6*Schweine_Werte!$HY$6)/SUM($O6:$P6)</f>
        <v>#DIV/0!</v>
      </c>
      <c r="W6" s="771" t="e">
        <f>($J6*0.055+T6*0.365*0.86*$F6-$K6*0.018)/L6*100</f>
        <v>#DIV/0!</v>
      </c>
      <c r="X6" s="716" t="e">
        <f>($J6*0.055+U6*0.365*0.86*$F6-$K6*0.018/2)/M6*100</f>
        <v>#DIV/0!</v>
      </c>
      <c r="Y6" s="716" t="e">
        <f>($J6*0.055+V6*0.365*0.86*$F6)/N6*100</f>
        <v>#DIV/0!</v>
      </c>
      <c r="Z6" s="716"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16"/>
      <c r="AB6" s="716">
        <f>IF($B12=$A$8,SUMIF(Schweine_Werte!$AO$4:$AO$146,$C12,Schweine_Werte!$ER$4:$ER$146),IF($B12=$A$7,SUMIF(Schweine_Werte!$AO$4:$AO$146,$C12,Schweine_Werte!$DL$4:$DL$146),IF($B12=$A$6,SUMIF(Schweine_Werte!$AO$4:$AO$146,$C12,Schweine_Werte!$CF$4:$CF$146),SUMIF(Schweine_Werte!$AO$4:$AO$146,$C12,Schweine_Werte!$AZ$4:$AZ$146))))</f>
        <v>0</v>
      </c>
      <c r="AC6" s="716"/>
      <c r="AD6" s="716">
        <f>IF($B12=$A$8,SUMIF(Schweine_Werte!$AO$4:$AO$146,$D12,Schweine_Werte!$ER$4:$ER$146),IF($B12=$A$7,SUMIF(Schweine_Werte!$AO$4:$AO$146,$D12,Schweine_Werte!$DL$4:$DL$146),IF($B12=$A$6,SUMIF(Schweine_Werte!$AO$4:$AO$146,$D12,Schweine_Werte!$CF$4:$CF$146),SUMIF(Schweine_Werte!$AO$4:$AO$146,$D12,Schweine_Werte!$AZ$4:$AZ$146))))</f>
        <v>0</v>
      </c>
      <c r="AE6" s="716"/>
      <c r="AF6" s="716"/>
      <c r="AG6" s="716" t="e">
        <f>IF($B12=$A$8,SUMPRODUCT($AX$4:$AX$146,Schweine_Werte!$EQ$4:$EQ$146)/SUM($AX$4:$AX$146),IF($B12=$A$7,SUMPRODUCT($AX$4:$AX$146,Schweine_Werte!$DK$4:$DK$146)/SUM($AX$4:$AX$146),IF($B12=$A$6,SUMPRODUCT($AX$4:$AX$146,Schweine_Werte!$CE$4:$CE$146)/SUM($AX$4:$AX$146),SUMPRODUCT($AX$4:$AX$146,Schweine_Werte!$AY$4:$AY$146)/SUM($AX$4:$AX$146))))</f>
        <v>#DIV/0!</v>
      </c>
      <c r="AH6" s="716"/>
      <c r="AI6" s="716"/>
      <c r="AJ6" s="716"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16"/>
      <c r="AL6" s="716">
        <f>IF($B12=$A$8,SUMIF(Schweine_Werte!$AO$4:$AO$146,$C12,Schweine_Werte!$ES$4:$ES$146),IF($B12=$A$7,SUMIF(Schweine_Werte!$AO$4:$AO$146,$C12,Schweine_Werte!$DM$4:$DM$146),IF($B12=$A$6,SUMIF(Schweine_Werte!$AO$4:$AO$146,$C12,Schweine_Werte!$CG$4:$CG$146),SUMIF(Schweine_Werte!$AO$4:$AO$146,$C12,Schweine_Werte!$BA$4:$BA$146))))</f>
        <v>0</v>
      </c>
      <c r="AM6" s="716"/>
      <c r="AN6" s="716">
        <f>IF($B12=$A$8,SUMIF(Schweine_Werte!$AO$4:$AO$146,$D12,Schweine_Werte!$ES$4:$ES$146),IF($B12=$A$7,SUMIF(Schweine_Werte!$AO$4:$AO$146,$D12,Schweine_Werte!$DM$4:$DM$146),IF($B12=$A$6,SUMIF(Schweine_Werte!$AO$4:$AO$146,$D12,Schweine_Werte!$CG$4:$CG$146),SUMIF(Schweine_Werte!$AO$4:$AO$146,$D12,Schweine_Werte!$BA$4:$BA$146))))</f>
        <v>0</v>
      </c>
      <c r="AR6" s="779">
        <v>10</v>
      </c>
      <c r="AS6" s="780">
        <f>IF(OR($C$12=$AR6,$D$12=$AR6),Schweine_Werte!$C6*0.5,IF(OR($C$12&gt;$AR6,$D$12&lt;$AR6),0,Schweine_Werte!$C6))</f>
        <v>0</v>
      </c>
      <c r="AT6" s="780">
        <f>IF(OR($C$24=$AR6,$D$24=$AR6),Schweine_Werte!$C6*0.5,IF(OR($C$24&gt;$AR6,$D$24&lt;$AR6),0,Schweine_Werte!$C6))</f>
        <v>0</v>
      </c>
      <c r="AU6" s="780">
        <f>IF(OR($C$36=$AR6,$D$36=$AR6),Schweine_Werte!$C6*0.5,IF(OR($C$36&gt;$AR6,$D$36&lt;$AR6),0,Schweine_Werte!$C6))</f>
        <v>0</v>
      </c>
      <c r="AV6" s="780">
        <f>IF(OR($C$48=$AR6,$D$48=$AR6),Schweine_Werte!$C6*0.5,IF(OR($C$48&gt;$AR6,$D$48&lt;$AR6),0,Schweine_Werte!$C6))</f>
        <v>0</v>
      </c>
      <c r="AW6" s="780">
        <f>IF(OR($C$60=$AR6,$D$60=$AR6),Schweine_Werte!$C6*0.5,IF(OR($C$60&gt;$AR6,$D$60&lt;$AR6),0,Schweine_Werte!$C6))</f>
        <v>0</v>
      </c>
      <c r="AX6" s="780">
        <f>IF(OR($C$12=$AR6,$D$12=$AR6),Schweine_Werte!$E6*0.5,IF(OR($C$12&gt;$AR6,$D$12&lt;$AR6),0,Schweine_Werte!$E6))</f>
        <v>0</v>
      </c>
      <c r="AY6" s="780">
        <f>IF(OR($C$24=$AR6,$D$24=$AR6),Schweine_Werte!$E6*0.5,IF(OR($C$24&gt;$AR6,$D$24&lt;$AR6),0,Schweine_Werte!$E6))</f>
        <v>0</v>
      </c>
      <c r="AZ6" s="783">
        <f>IF(OR($C$36=$AR6,$D$36=$AR6),Schweine_Werte!$E6*0.5,IF(OR($C$36&gt;$AR6,$D$36&lt;$AR6),0,Schweine_Werte!$E6))</f>
        <v>0</v>
      </c>
      <c r="BA6" s="783">
        <f>IF(OR($C$48=$AR6,$D$48=$AR6),Schweine_Werte!$E6*0.5,IF(OR($C$48&gt;$AR6,$D$48&lt;$AR6),0,Schweine_Werte!$E6))</f>
        <v>0</v>
      </c>
      <c r="BB6" s="783">
        <f>IF(OR($C$60=$AR6,$D$60=$AR6),Schweine_Werte!$E6*0.5,IF(OR($C$60&gt;$AR6,$D$60&lt;$AR6),0,Schweine_Werte!$E6))</f>
        <v>0</v>
      </c>
      <c r="BC6" s="780">
        <f>IF(OR($C$12=$AR6,$D$12=$AR6),Schweine_Werte!$G6*0.5,IF(OR($C$12&gt;$AR6,$D$12&lt;$AR6),0,Schweine_Werte!$G6))</f>
        <v>0</v>
      </c>
      <c r="BD6" s="780">
        <f>IF(OR($C$24=$AR6,$D$24=$AR6),Schweine_Werte!$G6*0.5,IF(OR($C$24&gt;$AR6,$D$24&lt;$AR6),0,Schweine_Werte!$G6))</f>
        <v>0</v>
      </c>
      <c r="BE6" s="783">
        <f>IF(OR($C$36=$AR6,$D$36=$AR6),Schweine_Werte!$G6*0.5,IF(OR($C$36&gt;$AR6,$D$36&lt;$AR6),0,Schweine_Werte!$G6))</f>
        <v>0</v>
      </c>
      <c r="BF6" s="783">
        <f>IF(OR($C$48=$AR6,$D$48=$AR6),Schweine_Werte!$G6*0.5,IF(OR($C$48&gt;$AR6,$D$48&lt;$AR6),0,Schweine_Werte!$G6))</f>
        <v>0</v>
      </c>
      <c r="BG6" s="783">
        <f>IF(OR($C$60=$AR6,$D$60=$AR6),Schweine_Werte!$G6*0.5,IF(OR($C$60&gt;$AR6,$D$60&lt;$AR6),0,Schweine_Werte!$G6))</f>
        <v>0</v>
      </c>
      <c r="BH6" s="780">
        <f>IF(OR($C$12=$AR6,$D$12=$AR6),Schweine_Werte!$I6*0.5,IF(OR($C$12&gt;$AR6,$D$12&lt;$AR6),0,Schweine_Werte!$I6))</f>
        <v>0</v>
      </c>
      <c r="BI6" s="780">
        <f>IF(OR($C$24=$AR6,$D$24=$AR6),Schweine_Werte!$I6*0.5,IF(OR($C$24&gt;$AR6,$D$24&lt;$AR6),0,Schweine_Werte!$I6))</f>
        <v>0</v>
      </c>
      <c r="BJ6" s="783">
        <f>IF(OR($C$36=$AR6,$D$36=$AR6),Schweine_Werte!$I6*0.5,IF(OR($C$36&gt;$AR6,$D$36&lt;$AR6),0,Schweine_Werte!$I6))</f>
        <v>0</v>
      </c>
      <c r="BK6" s="783">
        <f>IF(OR($C$48=$AR6,$D$48=$AR6),Schweine_Werte!$I6*0.5,IF(OR($C$48&gt;$AR6,$D$48&lt;$AR6),0,Schweine_Werte!$I6))</f>
        <v>0</v>
      </c>
      <c r="BL6" s="783">
        <f>IF(OR($C$60=$AR6,$D$60=$AR6),Schweine_Werte!$I6*0.5,IF(OR($C$60&gt;$AR6,$D$60&lt;$AR6),0,Schweine_Werte!$I6))</f>
        <v>0</v>
      </c>
      <c r="BM6" s="780"/>
      <c r="BN6" s="780"/>
      <c r="BO6" s="783"/>
      <c r="BP6" s="783"/>
      <c r="BQ6" s="783"/>
      <c r="BR6" s="781">
        <f>IF(OR($C$74=$AR6,$D$74=$AR6),Schweine_Werte!$M6*0.5,IF(OR($C$74&gt;$AR6,$D$74&lt;$AR6),0,Schweine_Werte!$M6))</f>
        <v>0</v>
      </c>
      <c r="BS6" s="781">
        <f>IF(OR($C$83=$AR6,$D$83=$AR6),Schweine_Werte!$M6*0.5,IF(OR($C$83&gt;$AR6,$D$83&lt;$AR6),0,Schweine_Werte!$M6))</f>
        <v>0</v>
      </c>
      <c r="BT6" s="716">
        <f>IF(OR($C$92=$AR6,$D$92=$AR6),Schweine_Werte!$M6*0.5,IF(OR($C$92&gt;$AR6,$D$92&lt;$AR6),0,Schweine_Werte!$M6))</f>
        <v>0</v>
      </c>
      <c r="BU6" s="716">
        <f>IF(OR($C$101=$AR6,$D$101=$AR6),Schweine_Werte!$M6*0.5,IF(OR($C$101&gt;$AR6,$D$101&lt;$AR6),0,Schweine_Werte!$M6))</f>
        <v>0</v>
      </c>
      <c r="BV6" s="716">
        <f>IF(OR($C$110=$AR6,$D$110=$AR6),Schweine_Werte!$M6*0.5,IF(OR($C$110&gt;$AR6,$D$110&lt;$AR6),0,Schweine_Werte!$M6))</f>
        <v>0</v>
      </c>
      <c r="BW6" s="716">
        <f>IF(OR(8=$AR6,$E$127=$AR6),Schweine_Werte!$M6*0.5,IF(OR(8&gt;$AR6,$E$127&lt;$AR6),0,Schweine_Werte!$M6))</f>
        <v>2.9682487532941839</v>
      </c>
      <c r="BX6" s="716">
        <f>IF(OR(8=$AR6,$E$145=$AR6),Schweine_Werte!$M6*0.5,IF(OR(8&gt;$AR6,$E$145&lt;$AR6),0,Schweine_Werte!$M6))</f>
        <v>2.9682487532941839</v>
      </c>
      <c r="BY6" s="781">
        <f>IF(OR($C$74=$AR6,$D$74=$AR6),Schweine_Werte!$O6*0.5,IF(OR($C$74&gt;$AR6,$D$74&lt;$AR6),0,Schweine_Werte!$O6))</f>
        <v>0</v>
      </c>
      <c r="BZ6" s="781">
        <f>IF(OR($C$83=$AR6,$D$83=$AR6),Schweine_Werte!$O6*0.5,IF(OR($C$83&gt;$AR6,$D$83&lt;$AR6),0,Schweine_Werte!$O6))</f>
        <v>0</v>
      </c>
      <c r="CA6" s="716">
        <f>IF(OR($C$92=$AR6,$D$92=$AR6),Schweine_Werte!$O6*0.5,IF(OR($C$92&gt;$AR6,$D$92&lt;$AR6),0,Schweine_Werte!$O6))</f>
        <v>0</v>
      </c>
      <c r="CB6" s="716">
        <f>IF(OR($C$101=$AR6,$D$101=$AR6),Schweine_Werte!$O6*0.5,IF(OR($C$101&gt;$AR6,$D$101&lt;$AR6),0,Schweine_Werte!$O6))</f>
        <v>0</v>
      </c>
      <c r="CC6" s="716">
        <f>IF(OR($C$110=$AR6,$D$110=$AR6),Schweine_Werte!$O6*0.5,IF(OR($C$110&gt;$AR6,$D$110&lt;$AR6),0,Schweine_Werte!$O6))</f>
        <v>0</v>
      </c>
    </row>
    <row r="7" spans="1:303" ht="15" x14ac:dyDescent="0.25">
      <c r="A7" s="782" t="s">
        <v>7733</v>
      </c>
      <c r="B7" s="691">
        <v>850</v>
      </c>
      <c r="D7" s="716"/>
      <c r="E7" s="716" t="e">
        <f>($D12-$C12)*1000/SUM($BC$4:$BC$146)</f>
        <v>#VALUE!</v>
      </c>
      <c r="F7" s="716" t="e">
        <f>SUMPRODUCT($BC$4:$BC$146,Schweine_Werte!$S$4:$S$146)/SUM($BC$4:$BC$146)</f>
        <v>#DIV/0!</v>
      </c>
      <c r="G7" s="716" t="e">
        <f>IF($B12=$A$8,SUMPRODUCT($BC$4:$BC$146,Schweine_Werte!ET$4:ET$146)/SUM($BC$4:$BC$146),IF($B12=$A$7,SUMPRODUCT($BC$4:$BC$146,Schweine_Werte!DN$4:DN$146)/SUM($BC$4:$BC$146),IF($B12=$A$6,SUMPRODUCT($BC$4:$BC$146,Schweine_Werte!CH$4:CH$146)/SUM($BC$4:$BC$146),SUMPRODUCT($BC$4:$BC$146,Schweine_Werte!BB$4:BB$146)/SUM($BC$4:$BC$146))))</f>
        <v>#DIV/0!</v>
      </c>
      <c r="H7" s="716" t="e">
        <f>IF($B12=$A$8,SUMPRODUCT($BC$4:$BC$146,Schweine_Werte!EU$4:EU$146)/SUM($BC$4:$BC$146),IF($B12=$A$7,SUMPRODUCT($BC$4:$BC$146,Schweine_Werte!DO$4:DO$146)/SUM($BC$4:$BC$146),IF($B12=$A$6,SUMPRODUCT($BC$4:$BC$146,Schweine_Werte!CI$4:CI$146)/SUM($BC$4:$BC$146),SUMPRODUCT($BC$4:$BC$146,Schweine_Werte!BC$4:BC$146)/SUM($BC$4:$BC$146))))</f>
        <v>#DIV/0!</v>
      </c>
      <c r="I7" s="716" t="e">
        <f>IF($B12=$A$8,SUMPRODUCT($BC$4:$BC$146,Schweine_Werte!EV$4:EV$146)/SUM($BC$4:$BC$146),IF($B12=$A$7,SUMPRODUCT($BC$4:$BC$146,Schweine_Werte!DP$4:DP$146)/SUM($BC$4:$BC$146),IF($B12=$A$6,SUMPRODUCT($BC$4:$BC$146,Schweine_Werte!CJ$4:CJ$146)/SUM($BC$4:$BC$146),SUMPRODUCT($BC$4:$BC$146,Schweine_Werte!BD$4:BD$146)/SUM($BC$4:$BC$146))))</f>
        <v>#DIV/0!</v>
      </c>
      <c r="J7" s="716" t="e">
        <f>SUMPRODUCT($BC$4:$BC$146,Schweine_Werte!$AA$4:$AA$146)/SUM($BC$4:$BC$146)</f>
        <v>#DIV/0!</v>
      </c>
      <c r="K7" s="716" t="e">
        <f>SUMPRODUCT($BC$4:$BC$146,Schweine_Werte!$AI$4:$AI$146)/SUM($BC$4:$BC$146)</f>
        <v>#DIV/0!</v>
      </c>
      <c r="L7" s="804" t="e">
        <f>T7*$F7*365/1000+$J7-$K7</f>
        <v>#DIV/0!</v>
      </c>
      <c r="M7" s="716" t="e">
        <f>U7*$F7*365/1000+$J7-$K7/2</f>
        <v>#DIV/0!</v>
      </c>
      <c r="N7" s="716" t="e">
        <f>V7*$F7*365/1000+$J7</f>
        <v>#DIV/0!</v>
      </c>
      <c r="O7" s="716">
        <f>IF($C12&lt;28,SUM($BC$4:$BC$23)+IF($D12&gt;28,$BC$24*0.5,$BC$24),0)</f>
        <v>0</v>
      </c>
      <c r="P7" s="716">
        <f>IF($D12&gt;28,SUM($BC$25:$BC$146)+IF($C12&lt;28,$BC$24*0.5,$BC$24),0)</f>
        <v>0</v>
      </c>
      <c r="Q7" s="716" t="e">
        <f t="shared" si="0"/>
        <v>#DIV/0!</v>
      </c>
      <c r="R7" s="716" t="e">
        <f t="shared" si="0"/>
        <v>#DIV/0!</v>
      </c>
      <c r="S7" s="716" t="e">
        <f t="shared" si="0"/>
        <v>#DIV/0!</v>
      </c>
      <c r="T7" s="716" t="e">
        <f>+($O7*Schweine_Werte!$HT$7+$P7*Schweine_Werte!$HU$7)/SUM($O7:$P7)</f>
        <v>#DIV/0!</v>
      </c>
      <c r="U7" s="716" t="e">
        <f>+($O7*Schweine_Werte!$HV$7+$P7*Schweine_Werte!$HW$7)/SUM($O7:$P7)</f>
        <v>#DIV/0!</v>
      </c>
      <c r="V7" s="716" t="e">
        <f>+($O7*Schweine_Werte!$HX$7+$P7*Schweine_Werte!$HY$7)/SUM($O7:$P7)</f>
        <v>#DIV/0!</v>
      </c>
      <c r="W7" s="716" t="e">
        <f>($J7*0.055+T7*0.365*0.86*$F7-$K7*0.018)/L7*100</f>
        <v>#DIV/0!</v>
      </c>
      <c r="X7" s="716" t="e">
        <f>($J7*0.055+U7*0.365*0.86*$F7-$K7*0.018/2)/M7*100</f>
        <v>#DIV/0!</v>
      </c>
      <c r="Y7" s="716" t="e">
        <f>($J7*0.055+V7*0.365*0.86*$F7)/N7*100</f>
        <v>#DIV/0!</v>
      </c>
      <c r="Z7" s="716"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16"/>
      <c r="AB7" s="716">
        <f>IF($B12=$A$8,SUMIF(Schweine_Werte!$AO$4:$AO$146,$C12,Schweine_Werte!$EX$4:$EX$146),IF($B12=$A$7,SUMIF(Schweine_Werte!$AO$4:$AO$146,$C12,Schweine_Werte!$DR$4:$DR$146),IF($B12=$A$6,SUMIF(Schweine_Werte!$AO$4:$AO$146,$C12,Schweine_Werte!$CL$4:$CL$146),SUMIF(Schweine_Werte!$AO$4:$AO$146,$C12,Schweine_Werte!$BF$4:$BF$146))))</f>
        <v>0</v>
      </c>
      <c r="AC7" s="716"/>
      <c r="AD7" s="716">
        <f>IF($B12=$A$8,SUMIF(Schweine_Werte!$AO$4:$AO$146,$D12,Schweine_Werte!$EX$4:$EX$146),IF($B12=$A$7,SUMIF(Schweine_Werte!$AO$4:$AO$146,$D12,Schweine_Werte!$DR$4:$DR$146),IF($B12=$A$6,SUMIF(Schweine_Werte!$AO$4:$AO$146,$D12,Schweine_Werte!$CL$4:$CL$146),SUMIF(Schweine_Werte!$AO$4:$AO$146,$D12,Schweine_Werte!$BF$4:$BF$146))))</f>
        <v>0</v>
      </c>
      <c r="AE7" s="716"/>
      <c r="AF7" s="716"/>
      <c r="AG7" s="716" t="e">
        <f>IF($B12=$A$8,SUMPRODUCT($BC$4:$BC$146,Schweine_Werte!$EW$4:$EW$146)/SUM($BC$4:$BC$146),IF($B12=$A$7,SUMPRODUCT($BC$4:$BC$146,Schweine_Werte!$DQ$4:$DQ$146)/SUM($BC$4:$BC$146),IF($B12=$A$6,SUMPRODUCT($BC$4:$BC$146,Schweine_Werte!$CK$4:$CK$146)/SUM($BC$4:$BC$146),SUMPRODUCT($BC$4:$BC$146,Schweine_Werte!$BE$4:$BE$146)/SUM($BC$4:$BC$146))))</f>
        <v>#DIV/0!</v>
      </c>
      <c r="AH7" s="716"/>
      <c r="AI7" s="716"/>
      <c r="AJ7" s="716"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16"/>
      <c r="AL7" s="716">
        <f>IF($B12=$A$8,SUMIF(Schweine_Werte!$AO$4:$AO$146,$C12,Schweine_Werte!$EY$4:$EY$146),IF($B12=$A$7,SUMIF(Schweine_Werte!$AO$4:$AO$146,$C12,Schweine_Werte!$DS$4:$DS$146),IF($B12=$A$6,SUMIF(Schweine_Werte!$AO$4:$AO$146,$C12,Schweine_Werte!$CM$4:$CM$146),SUMIF(Schweine_Werte!$AO$4:$AO$146,$C12,Schweine_Werte!$BG$4:$BG$146))))</f>
        <v>0</v>
      </c>
      <c r="AM7" s="716"/>
      <c r="AN7" s="716">
        <f>IF($B12=$A$8,SUMIF(Schweine_Werte!$AO$4:$AO$146,$D12,Schweine_Werte!$EY$4:$EY$146),IF($B12=$A$7,SUMIF(Schweine_Werte!$AO$4:$AO$146,$D12,Schweine_Werte!$DS$4:$DS$146),IF($B12=$A$6,SUMIF(Schweine_Werte!$AO$4:$AO$146,$D12,Schweine_Werte!$CM$4:$CM$146),SUMIF(Schweine_Werte!$AO$4:$AO$146,$D12,Schweine_Werte!$BG$4:$BG$146))))</f>
        <v>0</v>
      </c>
      <c r="AR7" s="779">
        <v>11</v>
      </c>
      <c r="AS7" s="780">
        <f>IF(OR($C$12=$AR7,$D$12=$AR7),Schweine_Werte!$C7*0.5,IF(OR($C$12&gt;$AR7,$D$12&lt;$AR7),0,Schweine_Werte!$C7))</f>
        <v>0</v>
      </c>
      <c r="AT7" s="780">
        <f>IF(OR($C$24=$AR7,$D$24=$AR7),Schweine_Werte!$C7*0.5,IF(OR($C$24&gt;$AR7,$D$24&lt;$AR7),0,Schweine_Werte!$C7))</f>
        <v>0</v>
      </c>
      <c r="AU7" s="780">
        <f>IF(OR($C$36=$AR7,$D$36=$AR7),Schweine_Werte!$C7*0.5,IF(OR($C$36&gt;$AR7,$D$36&lt;$AR7),0,Schweine_Werte!$C7))</f>
        <v>0</v>
      </c>
      <c r="AV7" s="780">
        <f>IF(OR($C$48=$AR7,$D$48=$AR7),Schweine_Werte!$C7*0.5,IF(OR($C$48&gt;$AR7,$D$48&lt;$AR7),0,Schweine_Werte!$C7))</f>
        <v>0</v>
      </c>
      <c r="AW7" s="780">
        <f>IF(OR($C$60=$AR7,$D$60=$AR7),Schweine_Werte!$C7*0.5,IF(OR($C$60&gt;$AR7,$D$60&lt;$AR7),0,Schweine_Werte!$C7))</f>
        <v>0</v>
      </c>
      <c r="AX7" s="780">
        <f>IF(OR($C$12=$AR7,$D$12=$AR7),Schweine_Werte!$E7*0.5,IF(OR($C$12&gt;$AR7,$D$12&lt;$AR7),0,Schweine_Werte!$E7))</f>
        <v>0</v>
      </c>
      <c r="AY7" s="780">
        <f>IF(OR($C$24=$AR7,$D$24=$AR7),Schweine_Werte!$E7*0.5,IF(OR($C$24&gt;$AR7,$D$24&lt;$AR7),0,Schweine_Werte!$E7))</f>
        <v>0</v>
      </c>
      <c r="AZ7" s="783">
        <f>IF(OR($C$36=$AR7,$D$36=$AR7),Schweine_Werte!$E7*0.5,IF(OR($C$36&gt;$AR7,$D$36&lt;$AR7),0,Schweine_Werte!$E7))</f>
        <v>0</v>
      </c>
      <c r="BA7" s="783">
        <f>IF(OR($C$48=$AR7,$D$48=$AR7),Schweine_Werte!$E7*0.5,IF(OR($C$48&gt;$AR7,$D$48&lt;$AR7),0,Schweine_Werte!$E7))</f>
        <v>0</v>
      </c>
      <c r="BB7" s="783">
        <f>IF(OR($C$60=$AR7,$D$60=$AR7),Schweine_Werte!$E7*0.5,IF(OR($C$60&gt;$AR7,$D$60&lt;$AR7),0,Schweine_Werte!$E7))</f>
        <v>0</v>
      </c>
      <c r="BC7" s="780">
        <f>IF(OR($C$12=$AR7,$D$12=$AR7),Schweine_Werte!$G7*0.5,IF(OR($C$12&gt;$AR7,$D$12&lt;$AR7),0,Schweine_Werte!$G7))</f>
        <v>0</v>
      </c>
      <c r="BD7" s="780">
        <f>IF(OR($C$24=$AR7,$D$24=$AR7),Schweine_Werte!$G7*0.5,IF(OR($C$24&gt;$AR7,$D$24&lt;$AR7),0,Schweine_Werte!$G7))</f>
        <v>0</v>
      </c>
      <c r="BE7" s="783">
        <f>IF(OR($C$36=$AR7,$D$36=$AR7),Schweine_Werte!$G7*0.5,IF(OR($C$36&gt;$AR7,$D$36&lt;$AR7),0,Schweine_Werte!$G7))</f>
        <v>0</v>
      </c>
      <c r="BF7" s="783">
        <f>IF(OR($C$48=$AR7,$D$48=$AR7),Schweine_Werte!$G7*0.5,IF(OR($C$48&gt;$AR7,$D$48&lt;$AR7),0,Schweine_Werte!$G7))</f>
        <v>0</v>
      </c>
      <c r="BG7" s="783">
        <f>IF(OR($C$60=$AR7,$D$60=$AR7),Schweine_Werte!$G7*0.5,IF(OR($C$60&gt;$AR7,$D$60&lt;$AR7),0,Schweine_Werte!$G7))</f>
        <v>0</v>
      </c>
      <c r="BH7" s="780">
        <f>IF(OR($C$12=$AR7,$D$12=$AR7),Schweine_Werte!$I7*0.5,IF(OR($C$12&gt;$AR7,$D$12&lt;$AR7),0,Schweine_Werte!$I7))</f>
        <v>0</v>
      </c>
      <c r="BI7" s="780">
        <f>IF(OR($C$24=$AR7,$D$24=$AR7),Schweine_Werte!$I7*0.5,IF(OR($C$24&gt;$AR7,$D$24&lt;$AR7),0,Schweine_Werte!$I7))</f>
        <v>0</v>
      </c>
      <c r="BJ7" s="783">
        <f>IF(OR($C$36=$AR7,$D$36=$AR7),Schweine_Werte!$I7*0.5,IF(OR($C$36&gt;$AR7,$D$36&lt;$AR7),0,Schweine_Werte!$I7))</f>
        <v>0</v>
      </c>
      <c r="BK7" s="783">
        <f>IF(OR($C$48=$AR7,$D$48=$AR7),Schweine_Werte!$I7*0.5,IF(OR($C$48&gt;$AR7,$D$48&lt;$AR7),0,Schweine_Werte!$I7))</f>
        <v>0</v>
      </c>
      <c r="BL7" s="783">
        <f>IF(OR($C$60=$AR7,$D$60=$AR7),Schweine_Werte!$I7*0.5,IF(OR($C$60&gt;$AR7,$D$60&lt;$AR7),0,Schweine_Werte!$I7))</f>
        <v>0</v>
      </c>
      <c r="BM7" s="780"/>
      <c r="BN7" s="780"/>
      <c r="BO7" s="783"/>
      <c r="BP7" s="783"/>
      <c r="BQ7" s="783"/>
      <c r="BR7" s="781">
        <f>IF(OR($C$74=$AR7,$D$74=$AR7),Schweine_Werte!$M7*0.5,IF(OR($C$74&gt;$AR7,$D$74&lt;$AR7),0,Schweine_Werte!$M7))</f>
        <v>0</v>
      </c>
      <c r="BS7" s="781">
        <f>IF(OR($C$83=$AR7,$D$83=$AR7),Schweine_Werte!$M7*0.5,IF(OR($C$83&gt;$AR7,$D$83&lt;$AR7),0,Schweine_Werte!$M7))</f>
        <v>0</v>
      </c>
      <c r="BT7" s="716">
        <f>IF(OR($C$92=$AR7,$D$92=$AR7),Schweine_Werte!$M7*0.5,IF(OR($C$92&gt;$AR7,$D$92&lt;$AR7),0,Schweine_Werte!$M7))</f>
        <v>0</v>
      </c>
      <c r="BU7" s="716">
        <f>IF(OR($C$101=$AR7,$D$101=$AR7),Schweine_Werte!$M7*0.5,IF(OR($C$101&gt;$AR7,$D$101&lt;$AR7),0,Schweine_Werte!$M7))</f>
        <v>0</v>
      </c>
      <c r="BV7" s="716">
        <f>IF(OR($C$110=$AR7,$D$110=$AR7),Schweine_Werte!$M7*0.5,IF(OR($C$110&gt;$AR7,$D$110&lt;$AR7),0,Schweine_Werte!$M7))</f>
        <v>0</v>
      </c>
      <c r="BW7" s="716">
        <f>IF(OR(8=$AR7,$E$127=$AR7),Schweine_Werte!$M7*0.5,IF(OR(8&gt;$AR7,$E$127&lt;$AR7),0,Schweine_Werte!$M7))</f>
        <v>2.8148019927048371</v>
      </c>
      <c r="BX7" s="716">
        <f>IF(OR(8=$AR7,$E$145=$AR7),Schweine_Werte!$M7*0.5,IF(OR(8&gt;$AR7,$E$145&lt;$AR7),0,Schweine_Werte!$M7))</f>
        <v>2.8148019927048371</v>
      </c>
      <c r="BY7" s="781">
        <f>IF(OR($C$74=$AR7,$D$74=$AR7),Schweine_Werte!$O7*0.5,IF(OR($C$74&gt;$AR7,$D$74&lt;$AR7),0,Schweine_Werte!$O7))</f>
        <v>0</v>
      </c>
      <c r="BZ7" s="781">
        <f>IF(OR($C$83=$AR7,$D$83=$AR7),Schweine_Werte!$O7*0.5,IF(OR($C$83&gt;$AR7,$D$83&lt;$AR7),0,Schweine_Werte!$O7))</f>
        <v>0</v>
      </c>
      <c r="CA7" s="716">
        <f>IF(OR($C$92=$AR7,$D$92=$AR7),Schweine_Werte!$O7*0.5,IF(OR($C$92&gt;$AR7,$D$92&lt;$AR7),0,Schweine_Werte!$O7))</f>
        <v>0</v>
      </c>
      <c r="CB7" s="716">
        <f>IF(OR($C$101=$AR7,$D$101=$AR7),Schweine_Werte!$O7*0.5,IF(OR($C$101&gt;$AR7,$D$101&lt;$AR7),0,Schweine_Werte!$O7))</f>
        <v>0</v>
      </c>
      <c r="CC7" s="716">
        <f>IF(OR($C$110=$AR7,$D$110=$AR7),Schweine_Werte!$O7*0.5,IF(OR($C$110&gt;$AR7,$D$110&lt;$AR7),0,Schweine_Werte!$O7))</f>
        <v>0</v>
      </c>
    </row>
    <row r="8" spans="1:303" ht="15" x14ac:dyDescent="0.25">
      <c r="A8" s="785" t="s">
        <v>7736</v>
      </c>
      <c r="B8" s="691">
        <v>950</v>
      </c>
      <c r="D8" s="716"/>
      <c r="E8" s="716" t="e">
        <f>($D12-$C12)*1000/SUM($BH$4:$BH$146)</f>
        <v>#VALUE!</v>
      </c>
      <c r="F8" s="716" t="e">
        <f>SUMPRODUCT($BH$4:$BH$146,Schweine_Werte!$T$4:$T$146)/SUM($BH$4:$BH$146)</f>
        <v>#DIV/0!</v>
      </c>
      <c r="G8" s="716" t="e">
        <f>IF($B12=$A$8,SUMPRODUCT($BH$4:$BH$146,Schweine_Werte!EZ$4:EZ$146)/SUM($BH$4:$BH$146),IF($B12=$A$7,SUMPRODUCT($BH$4:$BH$146,Schweine_Werte!DT$4:DT$146)/SUM($BH$4:$BH$146),IF($B12=$A$6,SUMPRODUCT($BH$4:$BH$146,Schweine_Werte!CN$4:CN$146)/SUM($BH$4:$BH$146),SUMPRODUCT($BH$4:$BH$146,Schweine_Werte!BH$4:BH$146)/SUM($BH$4:$BH$146))))</f>
        <v>#DIV/0!</v>
      </c>
      <c r="H8" s="716" t="e">
        <f>IF($B12=$A$8,SUMPRODUCT($BH$4:$BH$146,Schweine_Werte!FA$4:FA$146)/SUM($BH$4:$BH$146),IF($B12=$A$7,SUMPRODUCT($BH$4:$BH$146,Schweine_Werte!DU$4:DU$146)/SUM($BH$4:$BH$146),IF($B12=$A$6,SUMPRODUCT($BH$4:$BH$146,Schweine_Werte!CO$4:CO$146)/SUM($BH$4:$BH$146),SUMPRODUCT($BH$4:$BH$146,Schweine_Werte!BI$4:BI$146)/SUM($BH$4:$BH$146))))</f>
        <v>#DIV/0!</v>
      </c>
      <c r="I8" s="716" t="e">
        <f>IF($B12=$A$8,SUMPRODUCT($BH$4:$BH$146,Schweine_Werte!FB$4:FB$146)/SUM($BH$4:$BH$146),IF($B12=$A$7,SUMPRODUCT($BH$4:$BH$146,Schweine_Werte!DV$4:DV$146)/SUM($BH$4:$BH$146),IF($B12=$A$6,SUMPRODUCT($BH$4:$BH$146,Schweine_Werte!CP$4:CP$146)/SUM($BH$4:$BH$146),SUMPRODUCT($BH$4:$BH$146,Schweine_Werte!BJ$4:BJ$146)/SUM($BH$4:$BH$146))))</f>
        <v>#DIV/0!</v>
      </c>
      <c r="J8" s="716" t="e">
        <f>SUMPRODUCT($BH$4:$BH$146,Schweine_Werte!$AB$4:$AB$146)/SUM($BH$4:$BH$146)</f>
        <v>#DIV/0!</v>
      </c>
      <c r="K8" s="716" t="e">
        <f>SUMPRODUCT($BH$4:$BH$146,Schweine_Werte!$AJ$4:$AJ$146)/SUM($BH$4:$BH$146)</f>
        <v>#DIV/0!</v>
      </c>
      <c r="L8" s="804" t="e">
        <f>T8*$F8*365/1000+$J8-$K8</f>
        <v>#DIV/0!</v>
      </c>
      <c r="M8" s="716" t="e">
        <f>U8*$F8*365/1000+$J8-$K8/2</f>
        <v>#DIV/0!</v>
      </c>
      <c r="N8" s="716" t="e">
        <f>V8*$F8*365/1000+$J8</f>
        <v>#DIV/0!</v>
      </c>
      <c r="O8" s="716">
        <f>IF($C12&lt;28,SUM($BH$4:$BH$23)+IF($D12&gt;28,$BH$24*0.5,$BH$24),0)</f>
        <v>0</v>
      </c>
      <c r="P8" s="716">
        <f>IF($D12&gt;28,SUM($BH$25:$BH$146)+IF($C12&lt;28,$BH$24*0.5,$BH$24),0)</f>
        <v>0</v>
      </c>
      <c r="Q8" s="716" t="e">
        <f t="shared" si="0"/>
        <v>#DIV/0!</v>
      </c>
      <c r="R8" s="716" t="e">
        <f t="shared" si="0"/>
        <v>#DIV/0!</v>
      </c>
      <c r="S8" s="716" t="e">
        <f t="shared" si="0"/>
        <v>#DIV/0!</v>
      </c>
      <c r="T8" s="716" t="e">
        <f>+($O8*Schweine_Werte!$HT$8+$P8*Schweine_Werte!$HU$8)/SUM($O8:$P8)</f>
        <v>#DIV/0!</v>
      </c>
      <c r="U8" s="716" t="e">
        <f>+($O8*Schweine_Werte!$HV$8+$P8*Schweine_Werte!$HW$8)/SUM($O8:$P8)</f>
        <v>#DIV/0!</v>
      </c>
      <c r="V8" s="716" t="e">
        <f>+($O8*Schweine_Werte!$HX$8+$P8*Schweine_Werte!$HY$8)/SUM($O8:$P8)</f>
        <v>#DIV/0!</v>
      </c>
      <c r="W8" s="771" t="e">
        <f>($J8*0.055+T8*0.365*0.86*$F8-$K8*0.018)/L8*100</f>
        <v>#DIV/0!</v>
      </c>
      <c r="X8" s="716" t="e">
        <f>($J8*0.055+U8*0.365*0.86*$F8-$K8*0.018/2)/M8*100</f>
        <v>#DIV/0!</v>
      </c>
      <c r="Y8" s="716" t="e">
        <f>($J8*0.055+V8*0.365*0.86*$F8)/N8*100</f>
        <v>#DIV/0!</v>
      </c>
      <c r="Z8" s="716"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16"/>
      <c r="AB8" s="716">
        <f>IF($B12=$A$8,SUMIF(Schweine_Werte!$AO$4:$AO$146,$C12,Schweine_Werte!$FD$4:$FD$146),IF($B12=$A$7,SUMIF(Schweine_Werte!$AO$4:$AO$146,$C12,Schweine_Werte!$DX$4:$DX$146),IF($B12=$A$6,SUMIF(Schweine_Werte!$AO$4:$AO$146,$C12,Schweine_Werte!$CR$4:$CR$146),SUMIF(Schweine_Werte!$AO$4:$AO$146,$C12,Schweine_Werte!$BL$4:$BL$146))))</f>
        <v>0</v>
      </c>
      <c r="AC8" s="716"/>
      <c r="AD8" s="716">
        <f>IF($B12=$A$8,SUMIF(Schweine_Werte!$AO$4:$AO$146,$D12,Schweine_Werte!$FD$4:$FD$146),IF($B12=$A$7,SUMIF(Schweine_Werte!$AO$4:$AO$146,$D12,Schweine_Werte!$DX$4:$DX$146),IF($B12=$A$6,SUMIF(Schweine_Werte!$AO$4:$AO$146,$D12,Schweine_Werte!$CR$4:$CR$146),SUMIF(Schweine_Werte!$AO$4:$AO$146,$D12,Schweine_Werte!$BL$4:$BL$146))))</f>
        <v>0</v>
      </c>
      <c r="AE8" s="716"/>
      <c r="AF8" s="716"/>
      <c r="AG8" s="716" t="e">
        <f>IF($B12=$A$8,SUMPRODUCT($BH$4:$BH$146,Schweine_Werte!$FC$4:$FC$146)/SUM($BH$4:$BH$146),IF($B12=$A$7,SUMPRODUCT($BH$4:$BH$146,Schweine_Werte!$DW$4:$DW$146)/SUM($BH$4:$BH$146),IF($B12=$A$6,SUMPRODUCT($BH$4:$BH$146,Schweine_Werte!$CQ$4:$CQ$146)/SUM($BH$4:$BH$146),SUMPRODUCT($BH$4:$BH$146,Schweine_Werte!$BK$4:$BK$146)/SUM($BH$4:$BH$146))))</f>
        <v>#DIV/0!</v>
      </c>
      <c r="AH8" s="716"/>
      <c r="AI8" s="716"/>
      <c r="AJ8" s="716"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16"/>
      <c r="AL8" s="716">
        <f>IF($B12=$A$8,SUMIF(Schweine_Werte!$AO$4:$AO$146,$C12,Schweine_Werte!$FE$4:$FE$146),IF($B12=$A$7,SUMIF(Schweine_Werte!$AO$4:$AO$146,$C12,Schweine_Werte!$DY$4:$DY$146),IF($B12=$A$6,SUMIF(Schweine_Werte!$AO$4:$AO$146,$C12,Schweine_Werte!$CS$4:$CS$146),SUMIF(Schweine_Werte!$AO$4:$AO$146,$C12,Schweine_Werte!$BM$4:$BM$146))))</f>
        <v>0</v>
      </c>
      <c r="AM8" s="716"/>
      <c r="AN8" s="716">
        <f>IF($B12=$A$8,SUMIF(Schweine_Werte!$AO$4:$AO$146,$D12,Schweine_Werte!$FE$4:$FE$146),IF($B12=$A$7,SUMIF(Schweine_Werte!$AO$4:$AO$146,$D12,Schweine_Werte!$DY$4:$DY$146),IF($B12=$A$6,SUMIF(Schweine_Werte!$AO$4:$AO$146,$D12,Schweine_Werte!$CS$4:$CS$146),SUMIF(Schweine_Werte!$AO$4:$AO$146,$D12,Schweine_Werte!$BM$4:$BM$146))))</f>
        <v>0</v>
      </c>
      <c r="AR8" s="779">
        <v>12</v>
      </c>
      <c r="AS8" s="780">
        <f>IF(OR($C$12=$AR8,$D$12=$AR8),Schweine_Werte!$C8*0.5,IF(OR($C$12&gt;$AR8,$D$12&lt;$AR8),0,Schweine_Werte!$C8))</f>
        <v>0</v>
      </c>
      <c r="AT8" s="780">
        <f>IF(OR($C$24=$AR8,$D$24=$AR8),Schweine_Werte!$C8*0.5,IF(OR($C$24&gt;$AR8,$D$24&lt;$AR8),0,Schweine_Werte!$C8))</f>
        <v>0</v>
      </c>
      <c r="AU8" s="780">
        <f>IF(OR($C$36=$AR8,$D$36=$AR8),Schweine_Werte!$C8*0.5,IF(OR($C$36&gt;$AR8,$D$36&lt;$AR8),0,Schweine_Werte!$C8))</f>
        <v>0</v>
      </c>
      <c r="AV8" s="780">
        <f>IF(OR($C$48=$AR8,$D$48=$AR8),Schweine_Werte!$C8*0.5,IF(OR($C$48&gt;$AR8,$D$48&lt;$AR8),0,Schweine_Werte!$C8))</f>
        <v>0</v>
      </c>
      <c r="AW8" s="780">
        <f>IF(OR($C$60=$AR8,$D$60=$AR8),Schweine_Werte!$C8*0.5,IF(OR($C$60&gt;$AR8,$D$60&lt;$AR8),0,Schweine_Werte!$C8))</f>
        <v>0</v>
      </c>
      <c r="AX8" s="780">
        <f>IF(OR($C$12=$AR8,$D$12=$AR8),Schweine_Werte!$E8*0.5,IF(OR($C$12&gt;$AR8,$D$12&lt;$AR8),0,Schweine_Werte!$E8))</f>
        <v>0</v>
      </c>
      <c r="AY8" s="780">
        <f>IF(OR($C$24=$AR8,$D$24=$AR8),Schweine_Werte!$E8*0.5,IF(OR($C$24&gt;$AR8,$D$24&lt;$AR8),0,Schweine_Werte!$E8))</f>
        <v>0</v>
      </c>
      <c r="AZ8" s="783">
        <f>IF(OR($C$36=$AR8,$D$36=$AR8),Schweine_Werte!$E8*0.5,IF(OR($C$36&gt;$AR8,$D$36&lt;$AR8),0,Schweine_Werte!$E8))</f>
        <v>0</v>
      </c>
      <c r="BA8" s="783">
        <f>IF(OR($C$48=$AR8,$D$48=$AR8),Schweine_Werte!$E8*0.5,IF(OR($C$48&gt;$AR8,$D$48&lt;$AR8),0,Schweine_Werte!$E8))</f>
        <v>0</v>
      </c>
      <c r="BB8" s="783">
        <f>IF(OR($C$60=$AR8,$D$60=$AR8),Schweine_Werte!$E8*0.5,IF(OR($C$60&gt;$AR8,$D$60&lt;$AR8),0,Schweine_Werte!$E8))</f>
        <v>0</v>
      </c>
      <c r="BC8" s="780">
        <f>IF(OR($C$12=$AR8,$D$12=$AR8),Schweine_Werte!$G8*0.5,IF(OR($C$12&gt;$AR8,$D$12&lt;$AR8),0,Schweine_Werte!$G8))</f>
        <v>0</v>
      </c>
      <c r="BD8" s="780">
        <f>IF(OR($C$24=$AR8,$D$24=$AR8),Schweine_Werte!$G8*0.5,IF(OR($C$24&gt;$AR8,$D$24&lt;$AR8),0,Schweine_Werte!$G8))</f>
        <v>0</v>
      </c>
      <c r="BE8" s="783">
        <f>IF(OR($C$36=$AR8,$D$36=$AR8),Schweine_Werte!$G8*0.5,IF(OR($C$36&gt;$AR8,$D$36&lt;$AR8),0,Schweine_Werte!$G8))</f>
        <v>0</v>
      </c>
      <c r="BF8" s="783">
        <f>IF(OR($C$48=$AR8,$D$48=$AR8),Schweine_Werte!$G8*0.5,IF(OR($C$48&gt;$AR8,$D$48&lt;$AR8),0,Schweine_Werte!$G8))</f>
        <v>0</v>
      </c>
      <c r="BG8" s="783">
        <f>IF(OR($C$60=$AR8,$D$60=$AR8),Schweine_Werte!$G8*0.5,IF(OR($C$60&gt;$AR8,$D$60&lt;$AR8),0,Schweine_Werte!$G8))</f>
        <v>0</v>
      </c>
      <c r="BH8" s="780">
        <f>IF(OR($C$12=$AR8,$D$12=$AR8),Schweine_Werte!$I8*0.5,IF(OR($C$12&gt;$AR8,$D$12&lt;$AR8),0,Schweine_Werte!$I8))</f>
        <v>0</v>
      </c>
      <c r="BI8" s="780">
        <f>IF(OR($C$24=$AR8,$D$24=$AR8),Schweine_Werte!$I8*0.5,IF(OR($C$24&gt;$AR8,$D$24&lt;$AR8),0,Schweine_Werte!$I8))</f>
        <v>0</v>
      </c>
      <c r="BJ8" s="783">
        <f>IF(OR($C$36=$AR8,$D$36=$AR8),Schweine_Werte!$I8*0.5,IF(OR($C$36&gt;$AR8,$D$36&lt;$AR8),0,Schweine_Werte!$I8))</f>
        <v>0</v>
      </c>
      <c r="BK8" s="783">
        <f>IF(OR($C$48=$AR8,$D$48=$AR8),Schweine_Werte!$I8*0.5,IF(OR($C$48&gt;$AR8,$D$48&lt;$AR8),0,Schweine_Werte!$I8))</f>
        <v>0</v>
      </c>
      <c r="BL8" s="783">
        <f>IF(OR($C$60=$AR8,$D$60=$AR8),Schweine_Werte!$I8*0.5,IF(OR($C$60&gt;$AR8,$D$60&lt;$AR8),0,Schweine_Werte!$I8))</f>
        <v>0</v>
      </c>
      <c r="BM8" s="780"/>
      <c r="BN8" s="780"/>
      <c r="BO8" s="783"/>
      <c r="BP8" s="783"/>
      <c r="BQ8" s="783"/>
      <c r="BR8" s="781">
        <f>IF(OR($C$74=$AR8,$D$74=$AR8),Schweine_Werte!$M8*0.5,IF(OR($C$74&gt;$AR8,$D$74&lt;$AR8),0,Schweine_Werte!$M8))</f>
        <v>0</v>
      </c>
      <c r="BS8" s="781">
        <f>IF(OR($C$83=$AR8,$D$83=$AR8),Schweine_Werte!$M8*0.5,IF(OR($C$83&gt;$AR8,$D$83&lt;$AR8),0,Schweine_Werte!$M8))</f>
        <v>0</v>
      </c>
      <c r="BT8" s="716">
        <f>IF(OR($C$92=$AR8,$D$92=$AR8),Schweine_Werte!$M8*0.5,IF(OR($C$92&gt;$AR8,$D$92&lt;$AR8),0,Schweine_Werte!$M8))</f>
        <v>0</v>
      </c>
      <c r="BU8" s="716">
        <f>IF(OR($C$101=$AR8,$D$101=$AR8),Schweine_Werte!$M8*0.5,IF(OR($C$101&gt;$AR8,$D$101&lt;$AR8),0,Schweine_Werte!$M8))</f>
        <v>0</v>
      </c>
      <c r="BV8" s="716">
        <f>IF(OR($C$110=$AR8,$D$110=$AR8),Schweine_Werte!$M8*0.5,IF(OR($C$110&gt;$AR8,$D$110&lt;$AR8),0,Schweine_Werte!$M8))</f>
        <v>0</v>
      </c>
      <c r="BW8" s="716">
        <f>IF(OR(8=$AR8,$E$127=$AR8),Schweine_Werte!$M8*0.5,IF(OR(8&gt;$AR8,$E$127&lt;$AR8),0,Schweine_Werte!$M8))</f>
        <v>2.6783028291716549</v>
      </c>
      <c r="BX8" s="716">
        <f>IF(OR(8=$AR8,$E$145=$AR8),Schweine_Werte!$M8*0.5,IF(OR(8&gt;$AR8,$E$145&lt;$AR8),0,Schweine_Werte!$M8))</f>
        <v>2.6783028291716549</v>
      </c>
      <c r="BY8" s="781">
        <f>IF(OR($C$74=$AR8,$D$74=$AR8),Schweine_Werte!$O8*0.5,IF(OR($C$74&gt;$AR8,$D$74&lt;$AR8),0,Schweine_Werte!$O8))</f>
        <v>0</v>
      </c>
      <c r="BZ8" s="781">
        <f>IF(OR($C$83=$AR8,$D$83=$AR8),Schweine_Werte!$O8*0.5,IF(OR($C$83&gt;$AR8,$D$83&lt;$AR8),0,Schweine_Werte!$O8))</f>
        <v>0</v>
      </c>
      <c r="CA8" s="716">
        <f>IF(OR($C$92=$AR8,$D$92=$AR8),Schweine_Werte!$O8*0.5,IF(OR($C$92&gt;$AR8,$D$92&lt;$AR8),0,Schweine_Werte!$O8))</f>
        <v>0</v>
      </c>
      <c r="CB8" s="716">
        <f>IF(OR($C$101=$AR8,$D$101=$AR8),Schweine_Werte!$O8*0.5,IF(OR($C$101&gt;$AR8,$D$101&lt;$AR8),0,Schweine_Werte!$O8))</f>
        <v>0</v>
      </c>
      <c r="CC8" s="716">
        <f>IF(OR($C$110=$AR8,$D$110=$AR8),Schweine_Werte!$O8*0.5,IF(OR($C$110&gt;$AR8,$D$110&lt;$AR8),0,Schweine_Werte!$O8))</f>
        <v>0</v>
      </c>
    </row>
    <row r="9" spans="1:303" x14ac:dyDescent="0.2">
      <c r="B9" s="691"/>
      <c r="D9" s="716"/>
      <c r="E9" s="716"/>
      <c r="F9" s="716"/>
      <c r="G9" s="716"/>
      <c r="H9" s="716"/>
      <c r="I9" s="716"/>
      <c r="J9" s="716"/>
      <c r="K9" s="716"/>
      <c r="L9" s="804"/>
      <c r="M9" s="716"/>
      <c r="N9" s="716"/>
      <c r="O9" s="716"/>
      <c r="P9" s="716"/>
      <c r="Q9" s="716"/>
      <c r="R9" s="716"/>
      <c r="S9" s="716"/>
      <c r="T9" s="716"/>
      <c r="U9" s="716"/>
      <c r="V9" s="716"/>
      <c r="W9" s="771"/>
      <c r="X9" s="716"/>
      <c r="Y9" s="716"/>
      <c r="Z9" s="716"/>
      <c r="AA9" s="716"/>
      <c r="AB9" s="716"/>
      <c r="AC9" s="716"/>
      <c r="AD9" s="716"/>
      <c r="AE9" s="716"/>
      <c r="AF9" s="716"/>
      <c r="AG9" s="716"/>
      <c r="AH9" s="716"/>
      <c r="AI9" s="716"/>
      <c r="AJ9" s="716"/>
      <c r="AK9" s="716"/>
      <c r="AL9" s="716"/>
      <c r="AM9" s="716"/>
      <c r="AN9" s="716"/>
      <c r="AR9" s="779">
        <v>13</v>
      </c>
      <c r="AS9" s="780">
        <f>IF(OR($C$12=$AR9,$D$12=$AR9),Schweine_Werte!$C9*0.5,IF(OR($C$12&gt;$AR9,$D$12&lt;$AR9),0,Schweine_Werte!$C9))</f>
        <v>0</v>
      </c>
      <c r="AT9" s="780">
        <f>IF(OR($C$24=$AR9,$D$24=$AR9),Schweine_Werte!$C9*0.5,IF(OR($C$24&gt;$AR9,$D$24&lt;$AR9),0,Schweine_Werte!$C9))</f>
        <v>0</v>
      </c>
      <c r="AU9" s="780">
        <f>IF(OR($C$36=$AR9,$D$36=$AR9),Schweine_Werte!$C9*0.5,IF(OR($C$36&gt;$AR9,$D$36&lt;$AR9),0,Schweine_Werte!$C9))</f>
        <v>0</v>
      </c>
      <c r="AV9" s="780">
        <f>IF(OR($C$48=$AR9,$D$48=$AR9),Schweine_Werte!$C9*0.5,IF(OR($C$48&gt;$AR9,$D$48&lt;$AR9),0,Schweine_Werte!$C9))</f>
        <v>0</v>
      </c>
      <c r="AW9" s="780">
        <f>IF(OR($C$60=$AR9,$D$60=$AR9),Schweine_Werte!$C9*0.5,IF(OR($C$60&gt;$AR9,$D$60&lt;$AR9),0,Schweine_Werte!$C9))</f>
        <v>0</v>
      </c>
      <c r="AX9" s="780">
        <f>IF(OR($C$12=$AR9,$D$12=$AR9),Schweine_Werte!$E9*0.5,IF(OR($C$12&gt;$AR9,$D$12&lt;$AR9),0,Schweine_Werte!$E9))</f>
        <v>0</v>
      </c>
      <c r="AY9" s="780">
        <f>IF(OR($C$24=$AR9,$D$24=$AR9),Schweine_Werte!$E9*0.5,IF(OR($C$24&gt;$AR9,$D$24&lt;$AR9),0,Schweine_Werte!$E9))</f>
        <v>0</v>
      </c>
      <c r="AZ9" s="783">
        <f>IF(OR($C$36=$AR9,$D$36=$AR9),Schweine_Werte!$E9*0.5,IF(OR($C$36&gt;$AR9,$D$36&lt;$AR9),0,Schweine_Werte!$E9))</f>
        <v>0</v>
      </c>
      <c r="BA9" s="783">
        <f>IF(OR($C$48=$AR9,$D$48=$AR9),Schweine_Werte!$E9*0.5,IF(OR($C$48&gt;$AR9,$D$48&lt;$AR9),0,Schweine_Werte!$E9))</f>
        <v>0</v>
      </c>
      <c r="BB9" s="783">
        <f>IF(OR($C$60=$AR9,$D$60=$AR9),Schweine_Werte!$E9*0.5,IF(OR($C$60&gt;$AR9,$D$60&lt;$AR9),0,Schweine_Werte!$E9))</f>
        <v>0</v>
      </c>
      <c r="BC9" s="780">
        <f>IF(OR($C$12=$AR9,$D$12=$AR9),Schweine_Werte!$G9*0.5,IF(OR($C$12&gt;$AR9,$D$12&lt;$AR9),0,Schweine_Werte!$G9))</f>
        <v>0</v>
      </c>
      <c r="BD9" s="780">
        <f>IF(OR($C$24=$AR9,$D$24=$AR9),Schweine_Werte!$G9*0.5,IF(OR($C$24&gt;$AR9,$D$24&lt;$AR9),0,Schweine_Werte!$G9))</f>
        <v>0</v>
      </c>
      <c r="BE9" s="783">
        <f>IF(OR($C$36=$AR9,$D$36=$AR9),Schweine_Werte!$G9*0.5,IF(OR($C$36&gt;$AR9,$D$36&lt;$AR9),0,Schweine_Werte!$G9))</f>
        <v>0</v>
      </c>
      <c r="BF9" s="783">
        <f>IF(OR($C$48=$AR9,$D$48=$AR9),Schweine_Werte!$G9*0.5,IF(OR($C$48&gt;$AR9,$D$48&lt;$AR9),0,Schweine_Werte!$G9))</f>
        <v>0</v>
      </c>
      <c r="BG9" s="783">
        <f>IF(OR($C$60=$AR9,$D$60=$AR9),Schweine_Werte!$G9*0.5,IF(OR($C$60&gt;$AR9,$D$60&lt;$AR9),0,Schweine_Werte!$G9))</f>
        <v>0</v>
      </c>
      <c r="BH9" s="780">
        <f>IF(OR($C$12=$AR9,$D$12=$AR9),Schweine_Werte!$I9*0.5,IF(OR($C$12&gt;$AR9,$D$12&lt;$AR9),0,Schweine_Werte!$I9))</f>
        <v>0</v>
      </c>
      <c r="BI9" s="780">
        <f>IF(OR($C$24=$AR9,$D$24=$AR9),Schweine_Werte!$I9*0.5,IF(OR($C$24&gt;$AR9,$D$24&lt;$AR9),0,Schweine_Werte!$I9))</f>
        <v>0</v>
      </c>
      <c r="BJ9" s="783">
        <f>IF(OR($C$36=$AR9,$D$36=$AR9),Schweine_Werte!$I9*0.5,IF(OR($C$36&gt;$AR9,$D$36&lt;$AR9),0,Schweine_Werte!$I9))</f>
        <v>0</v>
      </c>
      <c r="BK9" s="783">
        <f>IF(OR($C$48=$AR9,$D$48=$AR9),Schweine_Werte!$I9*0.5,IF(OR($C$48&gt;$AR9,$D$48&lt;$AR9),0,Schweine_Werte!$I9))</f>
        <v>0</v>
      </c>
      <c r="BL9" s="783">
        <f>IF(OR($C$60=$AR9,$D$60=$AR9),Schweine_Werte!$I9*0.5,IF(OR($C$60&gt;$AR9,$D$60&lt;$AR9),0,Schweine_Werte!$I9))</f>
        <v>0</v>
      </c>
      <c r="BM9" s="780"/>
      <c r="BN9" s="780"/>
      <c r="BO9" s="783"/>
      <c r="BP9" s="783"/>
      <c r="BQ9" s="783"/>
      <c r="BR9" s="781">
        <f>IF(OR($C$74=$AR9,$D$74=$AR9),Schweine_Werte!$M9*0.5,IF(OR($C$74&gt;$AR9,$D$74&lt;$AR9),0,Schweine_Werte!$M9))</f>
        <v>0</v>
      </c>
      <c r="BS9" s="781">
        <f>IF(OR($C$83=$AR9,$D$83=$AR9),Schweine_Werte!$M9*0.5,IF(OR($C$83&gt;$AR9,$D$83&lt;$AR9),0,Schweine_Werte!$M9))</f>
        <v>0</v>
      </c>
      <c r="BT9" s="716">
        <f>IF(OR($C$92=$AR9,$D$92=$AR9),Schweine_Werte!$M9*0.5,IF(OR($C$92&gt;$AR9,$D$92&lt;$AR9),0,Schweine_Werte!$M9))</f>
        <v>0</v>
      </c>
      <c r="BU9" s="716">
        <f>IF(OR($C$101=$AR9,$D$101=$AR9),Schweine_Werte!$M9*0.5,IF(OR($C$101&gt;$AR9,$D$101&lt;$AR9),0,Schweine_Werte!$M9))</f>
        <v>0</v>
      </c>
      <c r="BV9" s="716">
        <f>IF(OR($C$110=$AR9,$D$110=$AR9),Schweine_Werte!$M9*0.5,IF(OR($C$110&gt;$AR9,$D$110&lt;$AR9),0,Schweine_Werte!$M9))</f>
        <v>0</v>
      </c>
      <c r="BW9" s="716">
        <f>IF(OR(8=$AR9,$E$127=$AR9),Schweine_Werte!$M9*0.5,IF(OR(8&gt;$AR9,$E$127&lt;$AR9),0,Schweine_Werte!$M9))</f>
        <v>2.5561372243616485</v>
      </c>
      <c r="BX9" s="716">
        <f>IF(OR(8=$AR9,$E$145=$AR9),Schweine_Werte!$M9*0.5,IF(OR(8&gt;$AR9,$E$145&lt;$AR9),0,Schweine_Werte!$M9))</f>
        <v>2.5561372243616485</v>
      </c>
      <c r="BY9" s="781">
        <f>IF(OR($C$74=$AR9,$D$74=$AR9),Schweine_Werte!$O9*0.5,IF(OR($C$74&gt;$AR9,$D$74&lt;$AR9),0,Schweine_Werte!$O9))</f>
        <v>0</v>
      </c>
      <c r="BZ9" s="781">
        <f>IF(OR($C$83=$AR9,$D$83=$AR9),Schweine_Werte!$O9*0.5,IF(OR($C$83&gt;$AR9,$D$83&lt;$AR9),0,Schweine_Werte!$O9))</f>
        <v>0</v>
      </c>
      <c r="CA9" s="716">
        <f>IF(OR($C$92=$AR9,$D$92=$AR9),Schweine_Werte!$O9*0.5,IF(OR($C$92&gt;$AR9,$D$92&lt;$AR9),0,Schweine_Werte!$O9))</f>
        <v>0</v>
      </c>
      <c r="CB9" s="716">
        <f>IF(OR($C$101=$AR9,$D$101=$AR9),Schweine_Werte!$O9*0.5,IF(OR($C$101&gt;$AR9,$D$101&lt;$AR9),0,Schweine_Werte!$O9))</f>
        <v>0</v>
      </c>
      <c r="CC9" s="716">
        <f>IF(OR($C$110=$AR9,$D$110=$AR9),Schweine_Werte!$O9*0.5,IF(OR($C$110&gt;$AR9,$D$110&lt;$AR9),0,Schweine_Werte!$O9))</f>
        <v>0</v>
      </c>
    </row>
    <row r="10" spans="1:303" ht="15.75" x14ac:dyDescent="0.25">
      <c r="F10" s="352"/>
      <c r="G10" s="1588" t="s">
        <v>7701</v>
      </c>
      <c r="H10" s="1589"/>
      <c r="I10" s="1590"/>
      <c r="J10" s="973" t="s">
        <v>589</v>
      </c>
      <c r="K10" s="973" t="s">
        <v>224</v>
      </c>
      <c r="L10" s="1591" t="s">
        <v>7702</v>
      </c>
      <c r="M10" s="1592"/>
      <c r="N10" s="1593"/>
      <c r="O10" s="1591" t="s">
        <v>7703</v>
      </c>
      <c r="P10" s="1593"/>
      <c r="Q10" s="1591" t="s">
        <v>7758</v>
      </c>
      <c r="R10" s="1592"/>
      <c r="S10" s="1593"/>
      <c r="T10" s="1591" t="s">
        <v>7704</v>
      </c>
      <c r="U10" s="1592"/>
      <c r="V10" s="1593"/>
      <c r="W10" s="1591" t="s">
        <v>7785</v>
      </c>
      <c r="X10" s="1592"/>
      <c r="Y10" s="1593"/>
      <c r="Z10" s="1596" t="s">
        <v>7786</v>
      </c>
      <c r="AA10" s="1597"/>
      <c r="AB10" s="1596" t="s">
        <v>7787</v>
      </c>
      <c r="AC10" s="1597"/>
      <c r="AD10" s="1596" t="s">
        <v>7788</v>
      </c>
      <c r="AE10" s="1597"/>
      <c r="AF10" s="974" t="s">
        <v>7888</v>
      </c>
      <c r="AG10" s="1598" t="s">
        <v>7791</v>
      </c>
      <c r="AH10" s="1599"/>
      <c r="AI10" s="1081" t="s">
        <v>7909</v>
      </c>
      <c r="AJ10" s="1596" t="s">
        <v>7786</v>
      </c>
      <c r="AK10" s="1597"/>
      <c r="AL10" s="1596" t="s">
        <v>7787</v>
      </c>
      <c r="AM10" s="1597"/>
      <c r="AN10" s="1596" t="s">
        <v>7788</v>
      </c>
      <c r="AO10" s="1597"/>
      <c r="AR10" s="779">
        <v>14</v>
      </c>
      <c r="AS10" s="780">
        <f>IF(OR($C$12=$AR10,$D$12=$AR10),Schweine_Werte!$C10*0.5,IF(OR($C$12&gt;$AR10,$D$12&lt;$AR10),0,Schweine_Werte!$C10))</f>
        <v>0</v>
      </c>
      <c r="AT10" s="780">
        <f>IF(OR($C$24=$AR10,$D$24=$AR10),Schweine_Werte!$C10*0.5,IF(OR($C$24&gt;$AR10,$D$24&lt;$AR10),0,Schweine_Werte!$C10))</f>
        <v>0</v>
      </c>
      <c r="AU10" s="780">
        <f>IF(OR($C$36=$AR10,$D$36=$AR10),Schweine_Werte!$C10*0.5,IF(OR($C$36&gt;$AR10,$D$36&lt;$AR10),0,Schweine_Werte!$C10))</f>
        <v>0</v>
      </c>
      <c r="AV10" s="780">
        <f>IF(OR($C$48=$AR10,$D$48=$AR10),Schweine_Werte!$C10*0.5,IF(OR($C$48&gt;$AR10,$D$48&lt;$AR10),0,Schweine_Werte!$C10))</f>
        <v>0</v>
      </c>
      <c r="AW10" s="780">
        <f>IF(OR($C$60=$AR10,$D$60=$AR10),Schweine_Werte!$C10*0.5,IF(OR($C$60&gt;$AR10,$D$60&lt;$AR10),0,Schweine_Werte!$C10))</f>
        <v>0</v>
      </c>
      <c r="AX10" s="780">
        <f>IF(OR($C$12=$AR10,$D$12=$AR10),Schweine_Werte!$E10*0.5,IF(OR($C$12&gt;$AR10,$D$12&lt;$AR10),0,Schweine_Werte!$E10))</f>
        <v>0</v>
      </c>
      <c r="AY10" s="780">
        <f>IF(OR($C$24=$AR10,$D$24=$AR10),Schweine_Werte!$E10*0.5,IF(OR($C$24&gt;$AR10,$D$24&lt;$AR10),0,Schweine_Werte!$E10))</f>
        <v>0</v>
      </c>
      <c r="AZ10" s="783">
        <f>IF(OR($C$36=$AR10,$D$36=$AR10),Schweine_Werte!$E10*0.5,IF(OR($C$36&gt;$AR10,$D$36&lt;$AR10),0,Schweine_Werte!$E10))</f>
        <v>0</v>
      </c>
      <c r="BA10" s="783">
        <f>IF(OR($C$48=$AR10,$D$48=$AR10),Schweine_Werte!$E10*0.5,IF(OR($C$48&gt;$AR10,$D$48&lt;$AR10),0,Schweine_Werte!$E10))</f>
        <v>0</v>
      </c>
      <c r="BB10" s="783">
        <f>IF(OR($C$60=$AR10,$D$60=$AR10),Schweine_Werte!$E10*0.5,IF(OR($C$60&gt;$AR10,$D$60&lt;$AR10),0,Schweine_Werte!$E10))</f>
        <v>0</v>
      </c>
      <c r="BC10" s="780">
        <f>IF(OR($C$12=$AR10,$D$12=$AR10),Schweine_Werte!$G10*0.5,IF(OR($C$12&gt;$AR10,$D$12&lt;$AR10),0,Schweine_Werte!$G10))</f>
        <v>0</v>
      </c>
      <c r="BD10" s="780">
        <f>IF(OR($C$24=$AR10,$D$24=$AR10),Schweine_Werte!$G10*0.5,IF(OR($C$24&gt;$AR10,$D$24&lt;$AR10),0,Schweine_Werte!$G10))</f>
        <v>0</v>
      </c>
      <c r="BE10" s="783">
        <f>IF(OR($C$36=$AR10,$D$36=$AR10),Schweine_Werte!$G10*0.5,IF(OR($C$36&gt;$AR10,$D$36&lt;$AR10),0,Schweine_Werte!$G10))</f>
        <v>0</v>
      </c>
      <c r="BF10" s="783">
        <f>IF(OR($C$48=$AR10,$D$48=$AR10),Schweine_Werte!$G10*0.5,IF(OR($C$48&gt;$AR10,$D$48&lt;$AR10),0,Schweine_Werte!$G10))</f>
        <v>0</v>
      </c>
      <c r="BG10" s="783">
        <f>IF(OR($C$60=$AR10,$D$60=$AR10),Schweine_Werte!$G10*0.5,IF(OR($C$60&gt;$AR10,$D$60&lt;$AR10),0,Schweine_Werte!$G10))</f>
        <v>0</v>
      </c>
      <c r="BH10" s="780">
        <f>IF(OR($C$12=$AR10,$D$12=$AR10),Schweine_Werte!$I10*0.5,IF(OR($C$12&gt;$AR10,$D$12&lt;$AR10),0,Schweine_Werte!$I10))</f>
        <v>0</v>
      </c>
      <c r="BI10" s="780">
        <f>IF(OR($C$24=$AR10,$D$24=$AR10),Schweine_Werte!$I10*0.5,IF(OR($C$24&gt;$AR10,$D$24&lt;$AR10),0,Schweine_Werte!$I10))</f>
        <v>0</v>
      </c>
      <c r="BJ10" s="783">
        <f>IF(OR($C$36=$AR10,$D$36=$AR10),Schweine_Werte!$I10*0.5,IF(OR($C$36&gt;$AR10,$D$36&lt;$AR10),0,Schweine_Werte!$I10))</f>
        <v>0</v>
      </c>
      <c r="BK10" s="783">
        <f>IF(OR($C$48=$AR10,$D$48=$AR10),Schweine_Werte!$I10*0.5,IF(OR($C$48&gt;$AR10,$D$48&lt;$AR10),0,Schweine_Werte!$I10))</f>
        <v>0</v>
      </c>
      <c r="BL10" s="783">
        <f>IF(OR($C$60=$AR10,$D$60=$AR10),Schweine_Werte!$I10*0.5,IF(OR($C$60&gt;$AR10,$D$60&lt;$AR10),0,Schweine_Werte!$I10))</f>
        <v>0</v>
      </c>
      <c r="BM10" s="780"/>
      <c r="BN10" s="780"/>
      <c r="BO10" s="783"/>
      <c r="BP10" s="783"/>
      <c r="BQ10" s="783"/>
      <c r="BR10" s="781">
        <f>IF(OR($C$74=$AR10,$D$74=$AR10),Schweine_Werte!$M10*0.5,IF(OR($C$74&gt;$AR10,$D$74&lt;$AR10),0,Schweine_Werte!$M10))</f>
        <v>0</v>
      </c>
      <c r="BS10" s="781">
        <f>IF(OR($C$83=$AR10,$D$83=$AR10),Schweine_Werte!$M10*0.5,IF(OR($C$83&gt;$AR10,$D$83&lt;$AR10),0,Schweine_Werte!$M10))</f>
        <v>0</v>
      </c>
      <c r="BT10" s="716">
        <f>IF(OR($C$92=$AR10,$D$92=$AR10),Schweine_Werte!$M10*0.5,IF(OR($C$92&gt;$AR10,$D$92&lt;$AR10),0,Schweine_Werte!$M10))</f>
        <v>0</v>
      </c>
      <c r="BU10" s="716">
        <f>IF(OR($C$101=$AR10,$D$101=$AR10),Schweine_Werte!$M10*0.5,IF(OR($C$101&gt;$AR10,$D$101&lt;$AR10),0,Schweine_Werte!$M10))</f>
        <v>0</v>
      </c>
      <c r="BV10" s="716">
        <f>IF(OR($C$110=$AR10,$D$110=$AR10),Schweine_Werte!$M10*0.5,IF(OR($C$110&gt;$AR10,$D$110&lt;$AR10),0,Schweine_Werte!$M10))</f>
        <v>0</v>
      </c>
      <c r="BW10" s="716">
        <f>IF(OR(8=$AR10,$E$127=$AR10),Schweine_Werte!$M10*0.5,IF(OR(8&gt;$AR10,$E$127&lt;$AR10),0,Schweine_Werte!$M10))</f>
        <v>2.446203657340817</v>
      </c>
      <c r="BX10" s="716">
        <f>IF(OR(8=$AR10,$E$145=$AR10),Schweine_Werte!$M10*0.5,IF(OR(8&gt;$AR10,$E$145&lt;$AR10),0,Schweine_Werte!$M10))</f>
        <v>2.446203657340817</v>
      </c>
      <c r="BY10" s="781">
        <f>IF(OR($C$74=$AR10,$D$74=$AR10),Schweine_Werte!$O10*0.5,IF(OR($C$74&gt;$AR10,$D$74&lt;$AR10),0,Schweine_Werte!$O10))</f>
        <v>0</v>
      </c>
      <c r="BZ10" s="781">
        <f>IF(OR($C$83=$AR10,$D$83=$AR10),Schweine_Werte!$O10*0.5,IF(OR($C$83&gt;$AR10,$D$83&lt;$AR10),0,Schweine_Werte!$O10))</f>
        <v>0</v>
      </c>
      <c r="CA10" s="716">
        <f>IF(OR($C$92=$AR10,$D$92=$AR10),Schweine_Werte!$O10*0.5,IF(OR($C$92&gt;$AR10,$D$92&lt;$AR10),0,Schweine_Werte!$O10))</f>
        <v>0</v>
      </c>
      <c r="CB10" s="716">
        <f>IF(OR($C$101=$AR10,$D$101=$AR10),Schweine_Werte!$O10*0.5,IF(OR($C$101&gt;$AR10,$D$101&lt;$AR10),0,Schweine_Werte!$O10))</f>
        <v>0</v>
      </c>
      <c r="CC10" s="716">
        <f>IF(OR($C$110=$AR10,$D$110=$AR10),Schweine_Werte!$O10*0.5,IF(OR($C$110&gt;$AR10,$D$110&lt;$AR10),0,Schweine_Werte!$O10))</f>
        <v>0</v>
      </c>
    </row>
    <row r="11" spans="1:303" ht="18.75" x14ac:dyDescent="0.2">
      <c r="B11" s="786" t="s">
        <v>7705</v>
      </c>
      <c r="C11" s="787" t="s">
        <v>7645</v>
      </c>
      <c r="D11" s="787" t="s">
        <v>7706</v>
      </c>
      <c r="E11" s="787" t="s">
        <v>7647</v>
      </c>
      <c r="F11" s="733" t="s">
        <v>196</v>
      </c>
      <c r="G11" s="662" t="s">
        <v>4</v>
      </c>
      <c r="H11" s="662" t="s">
        <v>7707</v>
      </c>
      <c r="I11" s="662" t="s">
        <v>7708</v>
      </c>
      <c r="J11" s="663" t="s">
        <v>7709</v>
      </c>
      <c r="K11" s="663" t="s">
        <v>7709</v>
      </c>
      <c r="L11" s="664" t="s">
        <v>39</v>
      </c>
      <c r="M11" s="664" t="s">
        <v>7710</v>
      </c>
      <c r="N11" s="664" t="s">
        <v>41</v>
      </c>
      <c r="O11" s="665" t="s">
        <v>0</v>
      </c>
      <c r="P11" s="665" t="s">
        <v>8</v>
      </c>
      <c r="Q11" s="664" t="s">
        <v>39</v>
      </c>
      <c r="R11" s="664" t="s">
        <v>40</v>
      </c>
      <c r="S11" s="664" t="s">
        <v>41</v>
      </c>
      <c r="T11" s="664" t="s">
        <v>39</v>
      </c>
      <c r="U11" s="664" t="s">
        <v>40</v>
      </c>
      <c r="V11" s="664" t="s">
        <v>41</v>
      </c>
      <c r="W11" s="663" t="s">
        <v>7684</v>
      </c>
      <c r="X11" s="663" t="s">
        <v>7685</v>
      </c>
      <c r="Y11" s="663" t="s">
        <v>7686</v>
      </c>
      <c r="Z11" s="788" t="s">
        <v>7789</v>
      </c>
      <c r="AA11" s="788" t="s">
        <v>7790</v>
      </c>
      <c r="AB11" s="788" t="s">
        <v>7789</v>
      </c>
      <c r="AC11" s="788" t="s">
        <v>7790</v>
      </c>
      <c r="AD11" s="788" t="s">
        <v>7789</v>
      </c>
      <c r="AE11" s="788" t="s">
        <v>7790</v>
      </c>
      <c r="AF11" s="788" t="s">
        <v>7890</v>
      </c>
      <c r="AG11" s="983" t="s">
        <v>7891</v>
      </c>
      <c r="AH11" s="788" t="s">
        <v>7892</v>
      </c>
      <c r="AI11" s="788"/>
      <c r="AJ11" s="788" t="s">
        <v>7765</v>
      </c>
      <c r="AK11" s="788" t="s">
        <v>7792</v>
      </c>
      <c r="AL11" s="788" t="s">
        <v>7793</v>
      </c>
      <c r="AM11" s="788" t="s">
        <v>7794</v>
      </c>
      <c r="AN11" s="788" t="s">
        <v>7793</v>
      </c>
      <c r="AO11" s="788" t="s">
        <v>7795</v>
      </c>
      <c r="AR11" s="779">
        <v>15</v>
      </c>
      <c r="AS11" s="780">
        <f>IF(OR($C$12=$AR11,$D$12=$AR11),Schweine_Werte!$C11*0.5,IF(OR($C$12&gt;$AR11,$D$12&lt;$AR11),0,Schweine_Werte!$C11))</f>
        <v>0</v>
      </c>
      <c r="AT11" s="780">
        <f>IF(OR($C$24=$AR11,$D$24=$AR11),Schweine_Werte!$C11*0.5,IF(OR($C$24&gt;$AR11,$D$24&lt;$AR11),0,Schweine_Werte!$C11))</f>
        <v>0</v>
      </c>
      <c r="AU11" s="780">
        <f>IF(OR($C$36=$AR11,$D$36=$AR11),Schweine_Werte!$C11*0.5,IF(OR($C$36&gt;$AR11,$D$36&lt;$AR11),0,Schweine_Werte!$C11))</f>
        <v>0</v>
      </c>
      <c r="AV11" s="780">
        <f>IF(OR($C$48=$AR11,$D$48=$AR11),Schweine_Werte!$C11*0.5,IF(OR($C$48&gt;$AR11,$D$48&lt;$AR11),0,Schweine_Werte!$C11))</f>
        <v>0</v>
      </c>
      <c r="AW11" s="780">
        <f>IF(OR($C$60=$AR11,$D$60=$AR11),Schweine_Werte!$C11*0.5,IF(OR($C$60&gt;$AR11,$D$60&lt;$AR11),0,Schweine_Werte!$C11))</f>
        <v>0</v>
      </c>
      <c r="AX11" s="780">
        <f>IF(OR($C$12=$AR11,$D$12=$AR11),Schweine_Werte!$E11*0.5,IF(OR($C$12&gt;$AR11,$D$12&lt;$AR11),0,Schweine_Werte!$E11))</f>
        <v>0</v>
      </c>
      <c r="AY11" s="780">
        <f>IF(OR($C$24=$AR11,$D$24=$AR11),Schweine_Werte!$E11*0.5,IF(OR($C$24&gt;$AR11,$D$24&lt;$AR11),0,Schweine_Werte!$E11))</f>
        <v>0</v>
      </c>
      <c r="AZ11" s="783">
        <f>IF(OR($C$36=$AR11,$D$36=$AR11),Schweine_Werte!$E11*0.5,IF(OR($C$36&gt;$AR11,$D$36&lt;$AR11),0,Schweine_Werte!$E11))</f>
        <v>0</v>
      </c>
      <c r="BA11" s="783">
        <f>IF(OR($C$48=$AR11,$D$48=$AR11),Schweine_Werte!$E11*0.5,IF(OR($C$48&gt;$AR11,$D$48&lt;$AR11),0,Schweine_Werte!$E11))</f>
        <v>0</v>
      </c>
      <c r="BB11" s="783">
        <f>IF(OR($C$60=$AR11,$D$60=$AR11),Schweine_Werte!$E11*0.5,IF(OR($C$60&gt;$AR11,$D$60&lt;$AR11),0,Schweine_Werte!$E11))</f>
        <v>0</v>
      </c>
      <c r="BC11" s="780">
        <f>IF(OR($C$12=$AR11,$D$12=$AR11),Schweine_Werte!$G11*0.5,IF(OR($C$12&gt;$AR11,$D$12&lt;$AR11),0,Schweine_Werte!$G11))</f>
        <v>0</v>
      </c>
      <c r="BD11" s="780">
        <f>IF(OR($C$24=$AR11,$D$24=$AR11),Schweine_Werte!$G11*0.5,IF(OR($C$24&gt;$AR11,$D$24&lt;$AR11),0,Schweine_Werte!$G11))</f>
        <v>0</v>
      </c>
      <c r="BE11" s="783">
        <f>IF(OR($C$36=$AR11,$D$36=$AR11),Schweine_Werte!$G11*0.5,IF(OR($C$36&gt;$AR11,$D$36&lt;$AR11),0,Schweine_Werte!$G11))</f>
        <v>0</v>
      </c>
      <c r="BF11" s="783">
        <f>IF(OR($C$48=$AR11,$D$48=$AR11),Schweine_Werte!$G11*0.5,IF(OR($C$48&gt;$AR11,$D$48&lt;$AR11),0,Schweine_Werte!$G11))</f>
        <v>0</v>
      </c>
      <c r="BG11" s="783">
        <f>IF(OR($C$60=$AR11,$D$60=$AR11),Schweine_Werte!$G11*0.5,IF(OR($C$60&gt;$AR11,$D$60&lt;$AR11),0,Schweine_Werte!$G11))</f>
        <v>0</v>
      </c>
      <c r="BH11" s="780">
        <f>IF(OR($C$12=$AR11,$D$12=$AR11),Schweine_Werte!$I11*0.5,IF(OR($C$12&gt;$AR11,$D$12&lt;$AR11),0,Schweine_Werte!$I11))</f>
        <v>0</v>
      </c>
      <c r="BI11" s="780">
        <f>IF(OR($C$24=$AR11,$D$24=$AR11),Schweine_Werte!$I11*0.5,IF(OR($C$24&gt;$AR11,$D$24&lt;$AR11),0,Schweine_Werte!$I11))</f>
        <v>0</v>
      </c>
      <c r="BJ11" s="783">
        <f>IF(OR($C$36=$AR11,$D$36=$AR11),Schweine_Werte!$I11*0.5,IF(OR($C$36&gt;$AR11,$D$36&lt;$AR11),0,Schweine_Werte!$I11))</f>
        <v>0</v>
      </c>
      <c r="BK11" s="783">
        <f>IF(OR($C$48=$AR11,$D$48=$AR11),Schweine_Werte!$I11*0.5,IF(OR($C$48&gt;$AR11,$D$48&lt;$AR11),0,Schweine_Werte!$I11))</f>
        <v>0</v>
      </c>
      <c r="BL11" s="783">
        <f>IF(OR($C$60=$AR11,$D$60=$AR11),Schweine_Werte!$I11*0.5,IF(OR($C$60&gt;$AR11,$D$60&lt;$AR11),0,Schweine_Werte!$I11))</f>
        <v>0</v>
      </c>
      <c r="BM11" s="780"/>
      <c r="BN11" s="780"/>
      <c r="BO11" s="783"/>
      <c r="BP11" s="783"/>
      <c r="BQ11" s="783"/>
      <c r="BR11" s="781">
        <f>IF(OR($C$74=$AR11,$D$74=$AR11),Schweine_Werte!$M11*0.5,IF(OR($C$74&gt;$AR11,$D$74&lt;$AR11),0,Schweine_Werte!$M11))</f>
        <v>0</v>
      </c>
      <c r="BS11" s="781">
        <f>IF(OR($C$83=$AR11,$D$83=$AR11),Schweine_Werte!$M11*0.5,IF(OR($C$83&gt;$AR11,$D$83&lt;$AR11),0,Schweine_Werte!$M11))</f>
        <v>0</v>
      </c>
      <c r="BT11" s="716">
        <f>IF(OR($C$92=$AR11,$D$92=$AR11),Schweine_Werte!$M11*0.5,IF(OR($C$92&gt;$AR11,$D$92&lt;$AR11),0,Schweine_Werte!$M11))</f>
        <v>0</v>
      </c>
      <c r="BU11" s="716">
        <f>IF(OR($C$101=$AR11,$D$101=$AR11),Schweine_Werte!$M11*0.5,IF(OR($C$101&gt;$AR11,$D$101&lt;$AR11),0,Schweine_Werte!$M11))</f>
        <v>0</v>
      </c>
      <c r="BV11" s="716">
        <f>IF(OR($C$110=$AR11,$D$110=$AR11),Schweine_Werte!$M11*0.5,IF(OR($C$110&gt;$AR11,$D$110&lt;$AR11),0,Schweine_Werte!$M11))</f>
        <v>0</v>
      </c>
      <c r="BW11" s="716">
        <f>IF(OR(8=$AR11,$E$127=$AR11),Schweine_Werte!$M11*0.5,IF(OR(8&gt;$AR11,$E$127&lt;$AR11),0,Schweine_Werte!$M11))</f>
        <v>2.3467934266915833</v>
      </c>
      <c r="BX11" s="716">
        <f>IF(OR(8=$AR11,$E$145=$AR11),Schweine_Werte!$M11*0.5,IF(OR(8&gt;$AR11,$E$145&lt;$AR11),0,Schweine_Werte!$M11))</f>
        <v>2.3467934266915833</v>
      </c>
      <c r="BY11" s="781">
        <f>IF(OR($C$74=$AR11,$D$74=$AR11),Schweine_Werte!$O11*0.5,IF(OR($C$74&gt;$AR11,$D$74&lt;$AR11),0,Schweine_Werte!$O11))</f>
        <v>0</v>
      </c>
      <c r="BZ11" s="781">
        <f>IF(OR($C$83=$AR11,$D$83=$AR11),Schweine_Werte!$O11*0.5,IF(OR($C$83&gt;$AR11,$D$83&lt;$AR11),0,Schweine_Werte!$O11))</f>
        <v>0</v>
      </c>
      <c r="CA11" s="716">
        <f>IF(OR($C$92=$AR11,$D$92=$AR11),Schweine_Werte!$O11*0.5,IF(OR($C$92&gt;$AR11,$D$92&lt;$AR11),0,Schweine_Werte!$O11))</f>
        <v>0</v>
      </c>
      <c r="CB11" s="716">
        <f>IF(OR($C$101=$AR11,$D$101=$AR11),Schweine_Werte!$O11*0.5,IF(OR($C$101&gt;$AR11,$D$101&lt;$AR11),0,Schweine_Werte!$O11))</f>
        <v>0</v>
      </c>
      <c r="CC11" s="716">
        <f>IF(OR($C$110=$AR11,$D$110=$AR11),Schweine_Werte!$O11*0.5,IF(OR($C$110&gt;$AR11,$D$110&lt;$AR11),0,Schweine_Werte!$O11))</f>
        <v>0</v>
      </c>
    </row>
    <row r="12" spans="1:303" ht="15.75" x14ac:dyDescent="0.2">
      <c r="A12" t="s">
        <v>7773</v>
      </c>
      <c r="B12" s="756" t="str">
        <f>IF('Abweichende Werte'!W5=1,'Abweichende Werte'!F5,"")</f>
        <v/>
      </c>
      <c r="C12" s="666" t="str">
        <f>IF('Abweichende Werte'!W5=1,'Abweichende Werte'!J5,"")</f>
        <v/>
      </c>
      <c r="D12" s="666" t="str">
        <f>+IF('Abweichende Werte'!W5=1,'Abweichende Werte'!M5,"")</f>
        <v/>
      </c>
      <c r="E12" s="801" t="str">
        <f>+IF('Abweichende Werte'!W5=1,'Abweichende Werte'!P5,"")</f>
        <v/>
      </c>
      <c r="F12" s="789" t="e">
        <f>IF($E12&lt;=$E5,F5,IF(AND($E12&gt;$E5,$E12&lt;=$E6),F5+(F6-F5)/($E6-$E5)*($E12-$E5),IF(AND($E12&gt;$E6,$E12&lt;=$E7),F6+(F7-F6)/($E7-$E6)*($E12-$E6),IF(AND($E12&gt;$E7,$E12&lt;=$E8),F7+(F8-F7)/($E8-$E7)*($E12-$E7),IF($E12&gt;$E8,F8)))))</f>
        <v>#VALUE!</v>
      </c>
      <c r="G12" s="789" t="e">
        <f t="shared" ref="G12:N12" si="1">IF($E12&lt;=$E5,G5,IF(AND($E12&gt;$E5,$E12&lt;=$E6),G5+(G6-G5)/($E6-$E5)*($E12-$E5),IF(AND($E12&gt;$E6,$E12&lt;=$E7),G6+(G7-G6)/($E7-$E6)*($E12-$E6),IF(AND($E12&gt;$E7,$E12&lt;=$E8),G7+(G8-G7)/($E8-$E7)*($E12-$E7),IF($E12&gt;$E8,G8)))))</f>
        <v>#VALUE!</v>
      </c>
      <c r="H12" s="789" t="e">
        <f t="shared" si="1"/>
        <v>#VALUE!</v>
      </c>
      <c r="I12" s="789" t="e">
        <f t="shared" si="1"/>
        <v>#VALUE!</v>
      </c>
      <c r="J12" s="789" t="e">
        <f t="shared" si="1"/>
        <v>#VALUE!</v>
      </c>
      <c r="K12" s="789" t="e">
        <f t="shared" si="1"/>
        <v>#VALUE!</v>
      </c>
      <c r="L12" s="789" t="e">
        <f t="shared" si="1"/>
        <v>#VALUE!</v>
      </c>
      <c r="M12" s="789" t="e">
        <f t="shared" si="1"/>
        <v>#VALUE!</v>
      </c>
      <c r="N12" s="789" t="e">
        <f t="shared" si="1"/>
        <v>#VALUE!</v>
      </c>
      <c r="O12" s="790">
        <v>5.5</v>
      </c>
      <c r="P12" s="790">
        <v>1.8</v>
      </c>
      <c r="Q12" s="789" t="e">
        <f t="shared" ref="Q12:Z12" si="2">IF($E12&lt;=$E5,Q5,IF(AND($E12&gt;$E5,$E12&lt;=$E6),Q5+(Q6-Q5)/($E6-$E5)*($E12-$E5),IF(AND($E12&gt;$E6,$E12&lt;=$E7),Q6+(Q7-Q6)/($E7-$E6)*($E12-$E6),IF(AND($E12&gt;$E7,$E12&lt;=$E8),Q7+(Q8-Q7)/($E8-$E7)*($E12-$E7),IF($E12&gt;$E8,Q8)))))</f>
        <v>#VALUE!</v>
      </c>
      <c r="R12" s="789" t="e">
        <f t="shared" si="2"/>
        <v>#VALUE!</v>
      </c>
      <c r="S12" s="789" t="e">
        <f t="shared" si="2"/>
        <v>#VALUE!</v>
      </c>
      <c r="T12" s="789" t="e">
        <f t="shared" si="2"/>
        <v>#VALUE!</v>
      </c>
      <c r="U12" s="789" t="e">
        <f t="shared" si="2"/>
        <v>#VALUE!</v>
      </c>
      <c r="V12" s="789" t="e">
        <f t="shared" si="2"/>
        <v>#VALUE!</v>
      </c>
      <c r="W12" s="789" t="e">
        <f t="shared" si="2"/>
        <v>#VALUE!</v>
      </c>
      <c r="X12" s="789" t="e">
        <f t="shared" si="2"/>
        <v>#VALUE!</v>
      </c>
      <c r="Y12" s="789" t="e">
        <f t="shared" si="2"/>
        <v>#VALUE!</v>
      </c>
      <c r="Z12" s="789" t="e">
        <f t="shared" si="2"/>
        <v>#VALUE!</v>
      </c>
      <c r="AA12" s="791" t="e">
        <f>+Z12*6.25</f>
        <v>#VALUE!</v>
      </c>
      <c r="AB12" s="789" t="e">
        <f t="shared" ref="AB12" si="3">IF($E12&lt;=$E5,AB5,IF(AND($E12&gt;$E5,$E12&lt;=$E6),AB5+(AB6-AB5)/($E6-$E5)*($E12-$E5),IF(AND($E12&gt;$E6,$E12&lt;=$E7),AB6+(AB7-AB6)/($E7-$E6)*($E12-$E6),IF(AND($E12&gt;$E7,$E12&lt;=$E8),AB7+(AB8-AB7)/($E8-$E7)*($E12-$E7),IF($E12&gt;$E8,AB8)))))</f>
        <v>#VALUE!</v>
      </c>
      <c r="AC12" s="791" t="e">
        <f>+AB12*6.25</f>
        <v>#VALUE!</v>
      </c>
      <c r="AD12" s="789" t="e">
        <f t="shared" ref="AD12" si="4">IF($E12&lt;=$E5,AD5,IF(AND($E12&gt;$E5,$E12&lt;=$E6),AD5+(AD6-AD5)/($E6-$E5)*($E12-$E5),IF(AND($E12&gt;$E6,$E12&lt;=$E7),AD6+(AD7-AD6)/($E7-$E6)*($E12-$E6),IF(AND($E12&gt;$E7,$E12&lt;=$E8),AD7+(AD8-AD7)/($E8-$E7)*($E12-$E7),IF($E12&gt;$E8,AD8)))))</f>
        <v>#VALUE!</v>
      </c>
      <c r="AE12" s="791" t="e">
        <f>+AD12*6.25</f>
        <v>#VALUE!</v>
      </c>
      <c r="AF12" s="791" t="e">
        <f>365/((D12-C12)/E12*1000)</f>
        <v>#VALUE!</v>
      </c>
      <c r="AG12" s="789" t="e">
        <f>IF($E12&lt;=$E5,AG5,IF(AND($E12&gt;$E5,$E12&lt;=$E6),AG5+(AG6-AG5)/($E6-$E5)*($E12-$E5),IF(AND($E12&gt;$E6,$E12&lt;=$E7),AG6+(AG7-AG6)/($E7-$E6)*($E12-$E6),IF(AND($E12&gt;$E7,$E12&lt;=$E8),AG7+(AG8-AG7)/($E8-$E7)*($E12-$E7),IF($E12&gt;$E8,AG8)))))</f>
        <v>#VALUE!</v>
      </c>
      <c r="AH12" s="791" t="e">
        <f>+AG12/AF12</f>
        <v>#VALUE!</v>
      </c>
      <c r="AI12" s="791" t="e">
        <f>+CONCATENATE(ROUND(AH12/(D12-C12),1)," : 1")</f>
        <v>#VALUE!</v>
      </c>
      <c r="AJ12" s="789" t="e">
        <f t="shared" ref="AJ12" si="5">IF($E12&lt;=$E5,AJ5,IF(AND($E12&gt;$E5,$E12&lt;=$E6),AJ5+(AJ6-AJ5)/($E6-$E5)*($E12-$E5),IF(AND($E12&gt;$E6,$E12&lt;=$E7),AJ6+(AJ7-AJ6)/($E7-$E6)*($E12-$E6),IF(AND($E12&gt;$E7,$E12&lt;=$E8),AJ7+(AJ8-AJ7)/($E8-$E7)*($E12-$E7),IF($E12&gt;$E8,AJ8)))))</f>
        <v>#VALUE!</v>
      </c>
      <c r="AK12" s="791" t="e">
        <f>+AJ12/2.291</f>
        <v>#VALUE!</v>
      </c>
      <c r="AL12" s="789" t="e">
        <f t="shared" ref="AL12" si="6">IF($E12&lt;=$E5,AL5,IF(AND($E12&gt;$E5,$E12&lt;=$E6),AL5+(AL6-AL5)/($E6-$E5)*($E12-$E5),IF(AND($E12&gt;$E6,$E12&lt;=$E7),AL6+(AL7-AL6)/($E7-$E6)*($E12-$E6),IF(AND($E12&gt;$E7,$E12&lt;=$E8),AL7+(AL8-AL7)/($E8-$E7)*($E12-$E7),IF($E12&gt;$E8,AL8)))))</f>
        <v>#VALUE!</v>
      </c>
      <c r="AM12" s="791" t="e">
        <f>+AL12/2.291</f>
        <v>#VALUE!</v>
      </c>
      <c r="AN12" s="789" t="e">
        <f t="shared" ref="AN12" si="7">IF($E12&lt;=$E5,AN5,IF(AND($E12&gt;$E5,$E12&lt;=$E6),AN5+(AN6-AN5)/($E6-$E5)*($E12-$E5),IF(AND($E12&gt;$E6,$E12&lt;=$E7),AN6+(AN7-AN6)/($E7-$E6)*($E12-$E6),IF(AND($E12&gt;$E7,$E12&lt;=$E8),AN7+(AN8-AN7)/($E8-$E7)*($E12-$E7),IF($E12&gt;$E8,AN8)))))</f>
        <v>#VALUE!</v>
      </c>
      <c r="AO12" s="791" t="e">
        <f>+AN12/2.291</f>
        <v>#VALUE!</v>
      </c>
      <c r="AR12" s="779">
        <v>16</v>
      </c>
      <c r="AS12" s="780">
        <f>IF(OR($C$12=$AR12,$D$12=$AR12),Schweine_Werte!$C12*0.5,IF(OR($C$12&gt;$AR12,$D$12&lt;$AR12),0,Schweine_Werte!$C12))</f>
        <v>0</v>
      </c>
      <c r="AT12" s="780">
        <f>IF(OR($C$24=$AR12,$D$24=$AR12),Schweine_Werte!$C12*0.5,IF(OR($C$24&gt;$AR12,$D$24&lt;$AR12),0,Schweine_Werte!$C12))</f>
        <v>0</v>
      </c>
      <c r="AU12" s="780">
        <f>IF(OR($C$36=$AR12,$D$36=$AR12),Schweine_Werte!$C12*0.5,IF(OR($C$36&gt;$AR12,$D$36&lt;$AR12),0,Schweine_Werte!$C12))</f>
        <v>0</v>
      </c>
      <c r="AV12" s="780">
        <f>IF(OR($C$48=$AR12,$D$48=$AR12),Schweine_Werte!$C12*0.5,IF(OR($C$48&gt;$AR12,$D$48&lt;$AR12),0,Schweine_Werte!$C12))</f>
        <v>0</v>
      </c>
      <c r="AW12" s="780">
        <f>IF(OR($C$60=$AR12,$D$60=$AR12),Schweine_Werte!$C12*0.5,IF(OR($C$60&gt;$AR12,$D$60&lt;$AR12),0,Schweine_Werte!$C12))</f>
        <v>0</v>
      </c>
      <c r="AX12" s="780">
        <f>IF(OR($C$12=$AR12,$D$12=$AR12),Schweine_Werte!$E12*0.5,IF(OR($C$12&gt;$AR12,$D$12&lt;$AR12),0,Schweine_Werte!$E12))</f>
        <v>0</v>
      </c>
      <c r="AY12" s="780">
        <f>IF(OR($C$24=$AR12,$D$24=$AR12),Schweine_Werte!$E12*0.5,IF(OR($C$24&gt;$AR12,$D$24&lt;$AR12),0,Schweine_Werte!$E12))</f>
        <v>0</v>
      </c>
      <c r="AZ12" s="783">
        <f>IF(OR($C$36=$AR12,$D$36=$AR12),Schweine_Werte!$E12*0.5,IF(OR($C$36&gt;$AR12,$D$36&lt;$AR12),0,Schweine_Werte!$E12))</f>
        <v>0</v>
      </c>
      <c r="BA12" s="783">
        <f>IF(OR($C$48=$AR12,$D$48=$AR12),Schweine_Werte!$E12*0.5,IF(OR($C$48&gt;$AR12,$D$48&lt;$AR12),0,Schweine_Werte!$E12))</f>
        <v>0</v>
      </c>
      <c r="BB12" s="783">
        <f>IF(OR($C$60=$AR12,$D$60=$AR12),Schweine_Werte!$E12*0.5,IF(OR($C$60&gt;$AR12,$D$60&lt;$AR12),0,Schweine_Werte!$E12))</f>
        <v>0</v>
      </c>
      <c r="BC12" s="780">
        <f>IF(OR($C$12=$AR12,$D$12=$AR12),Schweine_Werte!$G12*0.5,IF(OR($C$12&gt;$AR12,$D$12&lt;$AR12),0,Schweine_Werte!$G12))</f>
        <v>0</v>
      </c>
      <c r="BD12" s="780">
        <f>IF(OR($C$24=$AR12,$D$24=$AR12),Schweine_Werte!$G12*0.5,IF(OR($C$24&gt;$AR12,$D$24&lt;$AR12),0,Schweine_Werte!$G12))</f>
        <v>0</v>
      </c>
      <c r="BE12" s="783">
        <f>IF(OR($C$36=$AR12,$D$36=$AR12),Schweine_Werte!$G12*0.5,IF(OR($C$36&gt;$AR12,$D$36&lt;$AR12),0,Schweine_Werte!$G12))</f>
        <v>0</v>
      </c>
      <c r="BF12" s="783">
        <f>IF(OR($C$48=$AR12,$D$48=$AR12),Schweine_Werte!$G12*0.5,IF(OR($C$48&gt;$AR12,$D$48&lt;$AR12),0,Schweine_Werte!$G12))</f>
        <v>0</v>
      </c>
      <c r="BG12" s="783">
        <f>IF(OR($C$60=$AR12,$D$60=$AR12),Schweine_Werte!$G12*0.5,IF(OR($C$60&gt;$AR12,$D$60&lt;$AR12),0,Schweine_Werte!$G12))</f>
        <v>0</v>
      </c>
      <c r="BH12" s="780">
        <f>IF(OR($C$12=$AR12,$D$12=$AR12),Schweine_Werte!$I12*0.5,IF(OR($C$12&gt;$AR12,$D$12&lt;$AR12),0,Schweine_Werte!$I12))</f>
        <v>0</v>
      </c>
      <c r="BI12" s="780">
        <f>IF(OR($C$24=$AR12,$D$24=$AR12),Schweine_Werte!$I12*0.5,IF(OR($C$24&gt;$AR12,$D$24&lt;$AR12),0,Schweine_Werte!$I12))</f>
        <v>0</v>
      </c>
      <c r="BJ12" s="783">
        <f>IF(OR($C$36=$AR12,$D$36=$AR12),Schweine_Werte!$I12*0.5,IF(OR($C$36&gt;$AR12,$D$36&lt;$AR12),0,Schweine_Werte!$I12))</f>
        <v>0</v>
      </c>
      <c r="BK12" s="783">
        <f>IF(OR($C$48=$AR12,$D$48=$AR12),Schweine_Werte!$I12*0.5,IF(OR($C$48&gt;$AR12,$D$48&lt;$AR12),0,Schweine_Werte!$I12))</f>
        <v>0</v>
      </c>
      <c r="BL12" s="783">
        <f>IF(OR($C$60=$AR12,$D$60=$AR12),Schweine_Werte!$I12*0.5,IF(OR($C$60&gt;$AR12,$D$60&lt;$AR12),0,Schweine_Werte!$I12))</f>
        <v>0</v>
      </c>
      <c r="BM12" s="780"/>
      <c r="BN12" s="780"/>
      <c r="BO12" s="783"/>
      <c r="BP12" s="783"/>
      <c r="BQ12" s="783"/>
      <c r="BR12" s="781">
        <f>IF(OR($C$74=$AR12,$D$74=$AR12),Schweine_Werte!$M12*0.5,IF(OR($C$74&gt;$AR12,$D$74&lt;$AR12),0,Schweine_Werte!$M12))</f>
        <v>0</v>
      </c>
      <c r="BS12" s="781">
        <f>IF(OR($C$83=$AR12,$D$83=$AR12),Schweine_Werte!$M12*0.5,IF(OR($C$83&gt;$AR12,$D$83&lt;$AR12),0,Schweine_Werte!$M12))</f>
        <v>0</v>
      </c>
      <c r="BT12" s="716">
        <f>IF(OR($C$92=$AR12,$D$92=$AR12),Schweine_Werte!$M12*0.5,IF(OR($C$92&gt;$AR12,$D$92&lt;$AR12),0,Schweine_Werte!$M12))</f>
        <v>0</v>
      </c>
      <c r="BU12" s="716">
        <f>IF(OR($C$101=$AR12,$D$101=$AR12),Schweine_Werte!$M12*0.5,IF(OR($C$101&gt;$AR12,$D$101&lt;$AR12),0,Schweine_Werte!$M12))</f>
        <v>0</v>
      </c>
      <c r="BV12" s="716">
        <f>IF(OR($C$110=$AR12,$D$110=$AR12),Schweine_Werte!$M12*0.5,IF(OR($C$110&gt;$AR12,$D$110&lt;$AR12),0,Schweine_Werte!$M12))</f>
        <v>0</v>
      </c>
      <c r="BW12" s="716">
        <f>IF(OR(8=$AR12,$E$127=$AR12),Schweine_Werte!$M12*0.5,IF(OR(8&gt;$AR12,$E$127&lt;$AR12),0,Schweine_Werte!$M12))</f>
        <v>2.2565030036209643</v>
      </c>
      <c r="BX12" s="716">
        <f>IF(OR(8=$AR12,$E$145=$AR12),Schweine_Werte!$M12*0.5,IF(OR(8&gt;$AR12,$E$145&lt;$AR12),0,Schweine_Werte!$M12))</f>
        <v>2.2565030036209643</v>
      </c>
      <c r="BY12" s="781">
        <f>IF(OR($C$74=$AR12,$D$74=$AR12),Schweine_Werte!$O12*0.5,IF(OR($C$74&gt;$AR12,$D$74&lt;$AR12),0,Schweine_Werte!$O12))</f>
        <v>0</v>
      </c>
      <c r="BZ12" s="781">
        <f>IF(OR($C$83=$AR12,$D$83=$AR12),Schweine_Werte!$O12*0.5,IF(OR($C$83&gt;$AR12,$D$83&lt;$AR12),0,Schweine_Werte!$O12))</f>
        <v>0</v>
      </c>
      <c r="CA12" s="716">
        <f>IF(OR($C$92=$AR12,$D$92=$AR12),Schweine_Werte!$O12*0.5,IF(OR($C$92&gt;$AR12,$D$92&lt;$AR12),0,Schweine_Werte!$O12))</f>
        <v>0</v>
      </c>
      <c r="CB12" s="716">
        <f>IF(OR($C$101=$AR12,$D$101=$AR12),Schweine_Werte!$O12*0.5,IF(OR($C$101&gt;$AR12,$D$101&lt;$AR12),0,Schweine_Werte!$O12))</f>
        <v>0</v>
      </c>
      <c r="CC12" s="716">
        <f>IF(OR($C$110=$AR12,$D$110=$AR12),Schweine_Werte!$O12*0.5,IF(OR($C$110&gt;$AR12,$D$110&lt;$AR12),0,Schweine_Werte!$O12))</f>
        <v>0</v>
      </c>
    </row>
    <row r="13" spans="1:303" ht="15" x14ac:dyDescent="0.25">
      <c r="C13" s="1600" t="s">
        <v>7711</v>
      </c>
      <c r="D13" s="1600"/>
      <c r="AR13" s="779">
        <v>17</v>
      </c>
      <c r="AS13" s="780">
        <f>IF(OR($C$12=$AR13,$D$12=$AR13),Schweine_Werte!$C13*0.5,IF(OR($C$12&gt;$AR13,$D$12&lt;$AR13),0,Schweine_Werte!$C13))</f>
        <v>0</v>
      </c>
      <c r="AT13" s="780">
        <f>IF(OR($C$24=$AR13,$D$24=$AR13),Schweine_Werte!$C13*0.5,IF(OR($C$24&gt;$AR13,$D$24&lt;$AR13),0,Schweine_Werte!$C13))</f>
        <v>0</v>
      </c>
      <c r="AU13" s="780">
        <f>IF(OR($C$36=$AR13,$D$36=$AR13),Schweine_Werte!$C13*0.5,IF(OR($C$36&gt;$AR13,$D$36&lt;$AR13),0,Schweine_Werte!$C13))</f>
        <v>0</v>
      </c>
      <c r="AV13" s="780">
        <f>IF(OR($C$48=$AR13,$D$48=$AR13),Schweine_Werte!$C13*0.5,IF(OR($C$48&gt;$AR13,$D$48&lt;$AR13),0,Schweine_Werte!$C13))</f>
        <v>0</v>
      </c>
      <c r="AW13" s="780">
        <f>IF(OR($C$60=$AR13,$D$60=$AR13),Schweine_Werte!$C13*0.5,IF(OR($C$60&gt;$AR13,$D$60&lt;$AR13),0,Schweine_Werte!$C13))</f>
        <v>0</v>
      </c>
      <c r="AX13" s="780">
        <f>IF(OR($C$12=$AR13,$D$12=$AR13),Schweine_Werte!$E13*0.5,IF(OR($C$12&gt;$AR13,$D$12&lt;$AR13),0,Schweine_Werte!$E13))</f>
        <v>0</v>
      </c>
      <c r="AY13" s="780">
        <f>IF(OR($C$24=$AR13,$D$24=$AR13),Schweine_Werte!$E13*0.5,IF(OR($C$24&gt;$AR13,$D$24&lt;$AR13),0,Schweine_Werte!$E13))</f>
        <v>0</v>
      </c>
      <c r="AZ13" s="783">
        <f>IF(OR($C$36=$AR13,$D$36=$AR13),Schweine_Werte!$E13*0.5,IF(OR($C$36&gt;$AR13,$D$36&lt;$AR13),0,Schweine_Werte!$E13))</f>
        <v>0</v>
      </c>
      <c r="BA13" s="783">
        <f>IF(OR($C$48=$AR13,$D$48=$AR13),Schweine_Werte!$E13*0.5,IF(OR($C$48&gt;$AR13,$D$48&lt;$AR13),0,Schweine_Werte!$E13))</f>
        <v>0</v>
      </c>
      <c r="BB13" s="783">
        <f>IF(OR($C$60=$AR13,$D$60=$AR13),Schweine_Werte!$E13*0.5,IF(OR($C$60&gt;$AR13,$D$60&lt;$AR13),0,Schweine_Werte!$E13))</f>
        <v>0</v>
      </c>
      <c r="BC13" s="780">
        <f>IF(OR($C$12=$AR13,$D$12=$AR13),Schweine_Werte!$G13*0.5,IF(OR($C$12&gt;$AR13,$D$12&lt;$AR13),0,Schweine_Werte!$G13))</f>
        <v>0</v>
      </c>
      <c r="BD13" s="780">
        <f>IF(OR($C$24=$AR13,$D$24=$AR13),Schweine_Werte!$G13*0.5,IF(OR($C$24&gt;$AR13,$D$24&lt;$AR13),0,Schweine_Werte!$G13))</f>
        <v>0</v>
      </c>
      <c r="BE13" s="783">
        <f>IF(OR($C$36=$AR13,$D$36=$AR13),Schweine_Werte!$G13*0.5,IF(OR($C$36&gt;$AR13,$D$36&lt;$AR13),0,Schweine_Werte!$G13))</f>
        <v>0</v>
      </c>
      <c r="BF13" s="783">
        <f>IF(OR($C$48=$AR13,$D$48=$AR13),Schweine_Werte!$G13*0.5,IF(OR($C$48&gt;$AR13,$D$48&lt;$AR13),0,Schweine_Werte!$G13))</f>
        <v>0</v>
      </c>
      <c r="BG13" s="783">
        <f>IF(OR($C$60=$AR13,$D$60=$AR13),Schweine_Werte!$G13*0.5,IF(OR($C$60&gt;$AR13,$D$60&lt;$AR13),0,Schweine_Werte!$G13))</f>
        <v>0</v>
      </c>
      <c r="BH13" s="780">
        <f>IF(OR($C$12=$AR13,$D$12=$AR13),Schweine_Werte!$I13*0.5,IF(OR($C$12&gt;$AR13,$D$12&lt;$AR13),0,Schweine_Werte!$I13))</f>
        <v>0</v>
      </c>
      <c r="BI13" s="780">
        <f>IF(OR($C$24=$AR13,$D$24=$AR13),Schweine_Werte!$I13*0.5,IF(OR($C$24&gt;$AR13,$D$24&lt;$AR13),0,Schweine_Werte!$I13))</f>
        <v>0</v>
      </c>
      <c r="BJ13" s="783">
        <f>IF(OR($C$36=$AR13,$D$36=$AR13),Schweine_Werte!$I13*0.5,IF(OR($C$36&gt;$AR13,$D$36&lt;$AR13),0,Schweine_Werte!$I13))</f>
        <v>0</v>
      </c>
      <c r="BK13" s="783">
        <f>IF(OR($C$48=$AR13,$D$48=$AR13),Schweine_Werte!$I13*0.5,IF(OR($C$48&gt;$AR13,$D$48&lt;$AR13),0,Schweine_Werte!$I13))</f>
        <v>0</v>
      </c>
      <c r="BL13" s="783">
        <f>IF(OR($C$60=$AR13,$D$60=$AR13),Schweine_Werte!$I13*0.5,IF(OR($C$60&gt;$AR13,$D$60&lt;$AR13),0,Schweine_Werte!$I13))</f>
        <v>0</v>
      </c>
      <c r="BM13" s="780"/>
      <c r="BN13" s="780"/>
      <c r="BO13" s="783"/>
      <c r="BP13" s="783"/>
      <c r="BQ13" s="783"/>
      <c r="BR13" s="781">
        <f>IF(OR($C$74=$AR13,$D$74=$AR13),Schweine_Werte!$M13*0.5,IF(OR($C$74&gt;$AR13,$D$74&lt;$AR13),0,Schweine_Werte!$M13))</f>
        <v>0</v>
      </c>
      <c r="BS13" s="781">
        <f>IF(OR($C$83=$AR13,$D$83=$AR13),Schweine_Werte!$M13*0.5,IF(OR($C$83&gt;$AR13,$D$83&lt;$AR13),0,Schweine_Werte!$M13))</f>
        <v>0</v>
      </c>
      <c r="BT13" s="716">
        <f>IF(OR($C$92=$AR13,$D$92=$AR13),Schweine_Werte!$M13*0.5,IF(OR($C$92&gt;$AR13,$D$92&lt;$AR13),0,Schweine_Werte!$M13))</f>
        <v>0</v>
      </c>
      <c r="BU13" s="716">
        <f>IF(OR($C$101=$AR13,$D$101=$AR13),Schweine_Werte!$M13*0.5,IF(OR($C$101&gt;$AR13,$D$101&lt;$AR13),0,Schweine_Werte!$M13))</f>
        <v>0</v>
      </c>
      <c r="BV13" s="716">
        <f>IF(OR($C$110=$AR13,$D$110=$AR13),Schweine_Werte!$M13*0.5,IF(OR($C$110&gt;$AR13,$D$110&lt;$AR13),0,Schweine_Werte!$M13))</f>
        <v>0</v>
      </c>
      <c r="BW13" s="716">
        <f>IF(OR(8=$AR13,$E$127=$AR13),Schweine_Werte!$M13*0.5,IF(OR(8&gt;$AR13,$E$127&lt;$AR13),0,Schweine_Werte!$M13))</f>
        <v>2.174168851366757</v>
      </c>
      <c r="BX13" s="716">
        <f>IF(OR(8=$AR13,$E$145=$AR13),Schweine_Werte!$M13*0.5,IF(OR(8&gt;$AR13,$E$145&lt;$AR13),0,Schweine_Werte!$M13))</f>
        <v>2.174168851366757</v>
      </c>
      <c r="BY13" s="781">
        <f>IF(OR($C$74=$AR13,$D$74=$AR13),Schweine_Werte!$O13*0.5,IF(OR($C$74&gt;$AR13,$D$74&lt;$AR13),0,Schweine_Werte!$O13))</f>
        <v>0</v>
      </c>
      <c r="BZ13" s="781">
        <f>IF(OR($C$83=$AR13,$D$83=$AR13),Schweine_Werte!$O13*0.5,IF(OR($C$83&gt;$AR13,$D$83&lt;$AR13),0,Schweine_Werte!$O13))</f>
        <v>0</v>
      </c>
      <c r="CA13" s="716">
        <f>IF(OR($C$92=$AR13,$D$92=$AR13),Schweine_Werte!$O13*0.5,IF(OR($C$92&gt;$AR13,$D$92&lt;$AR13),0,Schweine_Werte!$O13))</f>
        <v>0</v>
      </c>
      <c r="CB13" s="716">
        <f>IF(OR($C$101=$AR13,$D$101=$AR13),Schweine_Werte!$O13*0.5,IF(OR($C$101&gt;$AR13,$D$101&lt;$AR13),0,Schweine_Werte!$O13))</f>
        <v>0</v>
      </c>
      <c r="CC13" s="716">
        <f>IF(OR($C$110=$AR13,$D$110=$AR13),Schweine_Werte!$O13*0.5,IF(OR($C$110&gt;$AR13,$D$110&lt;$AR13),0,Schweine_Werte!$O13))</f>
        <v>0</v>
      </c>
    </row>
    <row r="14" spans="1:303" ht="18.75" x14ac:dyDescent="0.3">
      <c r="H14" s="770"/>
      <c r="I14" s="770"/>
      <c r="L14" s="804"/>
      <c r="W14" s="1587" t="s">
        <v>7662</v>
      </c>
      <c r="X14" s="1587"/>
      <c r="Y14" s="1587"/>
      <c r="AR14" s="779">
        <v>18</v>
      </c>
      <c r="AS14" s="780">
        <f>IF(OR($C$12=$AR14,$D$12=$AR14),Schweine_Werte!$C14*0.5,IF(OR($C$12&gt;$AR14,$D$12&lt;$AR14),0,Schweine_Werte!$C14))</f>
        <v>0</v>
      </c>
      <c r="AT14" s="780">
        <f>IF(OR($C$24=$AR14,$D$24=$AR14),Schweine_Werte!$C14*0.5,IF(OR($C$24&gt;$AR14,$D$24&lt;$AR14),0,Schweine_Werte!$C14))</f>
        <v>0</v>
      </c>
      <c r="AU14" s="780">
        <f>IF(OR($C$36=$AR14,$D$36=$AR14),Schweine_Werte!$C14*0.5,IF(OR($C$36&gt;$AR14,$D$36&lt;$AR14),0,Schweine_Werte!$C14))</f>
        <v>0</v>
      </c>
      <c r="AV14" s="780">
        <f>IF(OR($C$48=$AR14,$D$48=$AR14),Schweine_Werte!$C14*0.5,IF(OR($C$48&gt;$AR14,$D$48&lt;$AR14),0,Schweine_Werte!$C14))</f>
        <v>0</v>
      </c>
      <c r="AW14" s="780">
        <f>IF(OR($C$60=$AR14,$D$60=$AR14),Schweine_Werte!$C14*0.5,IF(OR($C$60&gt;$AR14,$D$60&lt;$AR14),0,Schweine_Werte!$C14))</f>
        <v>0</v>
      </c>
      <c r="AX14" s="780">
        <f>IF(OR($C$12=$AR14,$D$12=$AR14),Schweine_Werte!$E14*0.5,IF(OR($C$12&gt;$AR14,$D$12&lt;$AR14),0,Schweine_Werte!$E14))</f>
        <v>0</v>
      </c>
      <c r="AY14" s="780">
        <f>IF(OR($C$24=$AR14,$D$24=$AR14),Schweine_Werte!$E14*0.5,IF(OR($C$24&gt;$AR14,$D$24&lt;$AR14),0,Schweine_Werte!$E14))</f>
        <v>0</v>
      </c>
      <c r="AZ14" s="783">
        <f>IF(OR($C$36=$AR14,$D$36=$AR14),Schweine_Werte!$E14*0.5,IF(OR($C$36&gt;$AR14,$D$36&lt;$AR14),0,Schweine_Werte!$E14))</f>
        <v>0</v>
      </c>
      <c r="BA14" s="783">
        <f>IF(OR($C$48=$AR14,$D$48=$AR14),Schweine_Werte!$E14*0.5,IF(OR($C$48&gt;$AR14,$D$48&lt;$AR14),0,Schweine_Werte!$E14))</f>
        <v>0</v>
      </c>
      <c r="BB14" s="783">
        <f>IF(OR($C$60=$AR14,$D$60=$AR14),Schweine_Werte!$E14*0.5,IF(OR($C$60&gt;$AR14,$D$60&lt;$AR14),0,Schweine_Werte!$E14))</f>
        <v>0</v>
      </c>
      <c r="BC14" s="780">
        <f>IF(OR($C$12=$AR14,$D$12=$AR14),Schweine_Werte!$G14*0.5,IF(OR($C$12&gt;$AR14,$D$12&lt;$AR14),0,Schweine_Werte!$G14))</f>
        <v>0</v>
      </c>
      <c r="BD14" s="780">
        <f>IF(OR($C$24=$AR14,$D$24=$AR14),Schweine_Werte!$G14*0.5,IF(OR($C$24&gt;$AR14,$D$24&lt;$AR14),0,Schweine_Werte!$G14))</f>
        <v>0</v>
      </c>
      <c r="BE14" s="783">
        <f>IF(OR($C$36=$AR14,$D$36=$AR14),Schweine_Werte!$G14*0.5,IF(OR($C$36&gt;$AR14,$D$36&lt;$AR14),0,Schweine_Werte!$G14))</f>
        <v>0</v>
      </c>
      <c r="BF14" s="783">
        <f>IF(OR($C$48=$AR14,$D$48=$AR14),Schweine_Werte!$G14*0.5,IF(OR($C$48&gt;$AR14,$D$48&lt;$AR14),0,Schweine_Werte!$G14))</f>
        <v>0</v>
      </c>
      <c r="BG14" s="783">
        <f>IF(OR($C$60=$AR14,$D$60=$AR14),Schweine_Werte!$G14*0.5,IF(OR($C$60&gt;$AR14,$D$60&lt;$AR14),0,Schweine_Werte!$G14))</f>
        <v>0</v>
      </c>
      <c r="BH14" s="780">
        <f>IF(OR($C$12=$AR14,$D$12=$AR14),Schweine_Werte!$I14*0.5,IF(OR($C$12&gt;$AR14,$D$12&lt;$AR14),0,Schweine_Werte!$I14))</f>
        <v>0</v>
      </c>
      <c r="BI14" s="780">
        <f>IF(OR($C$24=$AR14,$D$24=$AR14),Schweine_Werte!$I14*0.5,IF(OR($C$24&gt;$AR14,$D$24&lt;$AR14),0,Schweine_Werte!$I14))</f>
        <v>0</v>
      </c>
      <c r="BJ14" s="783">
        <f>IF(OR($C$36=$AR14,$D$36=$AR14),Schweine_Werte!$I14*0.5,IF(OR($C$36&gt;$AR14,$D$36&lt;$AR14),0,Schweine_Werte!$I14))</f>
        <v>0</v>
      </c>
      <c r="BK14" s="783">
        <f>IF(OR($C$48=$AR14,$D$48=$AR14),Schweine_Werte!$I14*0.5,IF(OR($C$48&gt;$AR14,$D$48&lt;$AR14),0,Schweine_Werte!$I14))</f>
        <v>0</v>
      </c>
      <c r="BL14" s="783">
        <f>IF(OR($C$60=$AR14,$D$60=$AR14),Schweine_Werte!$I14*0.5,IF(OR($C$60&gt;$AR14,$D$60&lt;$AR14),0,Schweine_Werte!$I14))</f>
        <v>0</v>
      </c>
      <c r="BM14" s="780"/>
      <c r="BN14" s="780"/>
      <c r="BO14" s="783"/>
      <c r="BP14" s="783"/>
      <c r="BQ14" s="783"/>
      <c r="BR14" s="781">
        <f>IF(OR($C$74=$AR14,$D$74=$AR14),Schweine_Werte!$M14*0.5,IF(OR($C$74&gt;$AR14,$D$74&lt;$AR14),0,Schweine_Werte!$M14))</f>
        <v>0</v>
      </c>
      <c r="BS14" s="781">
        <f>IF(OR($C$83=$AR14,$D$83=$AR14),Schweine_Werte!$M14*0.5,IF(OR($C$83&gt;$AR14,$D$83&lt;$AR14),0,Schweine_Werte!$M14))</f>
        <v>0</v>
      </c>
      <c r="BT14" s="716">
        <f>IF(OR($C$92=$AR14,$D$92=$AR14),Schweine_Werte!$M14*0.5,IF(OR($C$92&gt;$AR14,$D$92&lt;$AR14),0,Schweine_Werte!$M14))</f>
        <v>0</v>
      </c>
      <c r="BU14" s="716">
        <f>IF(OR($C$101=$AR14,$D$101=$AR14),Schweine_Werte!$M14*0.5,IF(OR($C$101&gt;$AR14,$D$101&lt;$AR14),0,Schweine_Werte!$M14))</f>
        <v>0</v>
      </c>
      <c r="BV14" s="716">
        <f>IF(OR($C$110=$AR14,$D$110=$AR14),Schweine_Werte!$M14*0.5,IF(OR($C$110&gt;$AR14,$D$110&lt;$AR14),0,Schweine_Werte!$M14))</f>
        <v>0</v>
      </c>
      <c r="BW14" s="716">
        <f>IF(OR(8=$AR14,$E$127=$AR14),Schweine_Werte!$M14*0.5,IF(OR(8&gt;$AR14,$E$127&lt;$AR14),0,Schweine_Werte!$M14))</f>
        <v>2.0988182677263927</v>
      </c>
      <c r="BX14" s="716">
        <f>IF(OR(8=$AR14,$E$145=$AR14),Schweine_Werte!$M14*0.5,IF(OR(8&gt;$AR14,$E$145&lt;$AR14),0,Schweine_Werte!$M14))</f>
        <v>2.0988182677263927</v>
      </c>
      <c r="BY14" s="781">
        <f>IF(OR($C$74=$AR14,$D$74=$AR14),Schweine_Werte!$O14*0.5,IF(OR($C$74&gt;$AR14,$D$74&lt;$AR14),0,Schweine_Werte!$O14))</f>
        <v>0</v>
      </c>
      <c r="BZ14" s="781">
        <f>IF(OR($C$83=$AR14,$D$83=$AR14),Schweine_Werte!$O14*0.5,IF(OR($C$83&gt;$AR14,$D$83&lt;$AR14),0,Schweine_Werte!$O14))</f>
        <v>0</v>
      </c>
      <c r="CA14" s="716">
        <f>IF(OR($C$92=$AR14,$D$92=$AR14),Schweine_Werte!$O14*0.5,IF(OR($C$92&gt;$AR14,$D$92&lt;$AR14),0,Schweine_Werte!$O14))</f>
        <v>0</v>
      </c>
      <c r="CB14" s="716">
        <f>IF(OR($C$101=$AR14,$D$101=$AR14),Schweine_Werte!$O14*0.5,IF(OR($C$101&gt;$AR14,$D$101&lt;$AR14),0,Schweine_Werte!$O14))</f>
        <v>0</v>
      </c>
      <c r="CC14" s="716">
        <f>IF(OR($C$110=$AR14,$D$110=$AR14),Schweine_Werte!$O14*0.5,IF(OR($C$110&gt;$AR14,$D$110&lt;$AR14),0,Schweine_Werte!$O14))</f>
        <v>0</v>
      </c>
    </row>
    <row r="15" spans="1:303" ht="14.45" customHeight="1" x14ac:dyDescent="0.3">
      <c r="B15" s="774"/>
      <c r="C15" s="774"/>
      <c r="D15" s="774"/>
      <c r="E15" s="774"/>
      <c r="F15" s="774"/>
      <c r="G15" s="774"/>
      <c r="H15" s="775"/>
      <c r="L15" s="125" t="s">
        <v>253</v>
      </c>
      <c r="Q15" s="1587" t="s">
        <v>7768</v>
      </c>
      <c r="R15" s="1587"/>
      <c r="S15" s="1587"/>
      <c r="T15" s="1587" t="s">
        <v>7769</v>
      </c>
      <c r="U15" s="1587"/>
      <c r="V15" s="1587"/>
      <c r="W15" t="s">
        <v>7675</v>
      </c>
      <c r="X15" t="s">
        <v>7676</v>
      </c>
      <c r="Y15" t="s">
        <v>7677</v>
      </c>
      <c r="Z15" t="s">
        <v>7770</v>
      </c>
      <c r="AG15" t="s">
        <v>7771</v>
      </c>
      <c r="AJ15" t="s">
        <v>7772</v>
      </c>
      <c r="AR15" s="779">
        <v>19</v>
      </c>
      <c r="AS15" s="780">
        <f>IF(OR($C$12=$AR15,$D$12=$AR15),Schweine_Werte!$C15*0.5,IF(OR($C$12&gt;$AR15,$D$12&lt;$AR15),0,Schweine_Werte!$C15))</f>
        <v>0</v>
      </c>
      <c r="AT15" s="780">
        <f>IF(OR($C$24=$AR15,$D$24=$AR15),Schweine_Werte!$C15*0.5,IF(OR($C$24&gt;$AR15,$D$24&lt;$AR15),0,Schweine_Werte!$C15))</f>
        <v>0</v>
      </c>
      <c r="AU15" s="780">
        <f>IF(OR($C$36=$AR15,$D$36=$AR15),Schweine_Werte!$C15*0.5,IF(OR($C$36&gt;$AR15,$D$36&lt;$AR15),0,Schweine_Werte!$C15))</f>
        <v>0</v>
      </c>
      <c r="AV15" s="780">
        <f>IF(OR($C$48=$AR15,$D$48=$AR15),Schweine_Werte!$C15*0.5,IF(OR($C$48&gt;$AR15,$D$48&lt;$AR15),0,Schweine_Werte!$C15))</f>
        <v>0</v>
      </c>
      <c r="AW15" s="780">
        <f>IF(OR($C$60=$AR15,$D$60=$AR15),Schweine_Werte!$C15*0.5,IF(OR($C$60&gt;$AR15,$D$60&lt;$AR15),0,Schweine_Werte!$C15))</f>
        <v>0</v>
      </c>
      <c r="AX15" s="780">
        <f>IF(OR($C$12=$AR15,$D$12=$AR15),Schweine_Werte!$E15*0.5,IF(OR($C$12&gt;$AR15,$D$12&lt;$AR15),0,Schweine_Werte!$E15))</f>
        <v>0</v>
      </c>
      <c r="AY15" s="780">
        <f>IF(OR($C$24=$AR15,$D$24=$AR15),Schweine_Werte!$E15*0.5,IF(OR($C$24&gt;$AR15,$D$24&lt;$AR15),0,Schweine_Werte!$E15))</f>
        <v>0</v>
      </c>
      <c r="AZ15" s="783">
        <f>IF(OR($C$36=$AR15,$D$36=$AR15),Schweine_Werte!$E15*0.5,IF(OR($C$36&gt;$AR15,$D$36&lt;$AR15),0,Schweine_Werte!$E15))</f>
        <v>0</v>
      </c>
      <c r="BA15" s="783">
        <f>IF(OR($C$48=$AR15,$D$48=$AR15),Schweine_Werte!$E15*0.5,IF(OR($C$48&gt;$AR15,$D$48&lt;$AR15),0,Schweine_Werte!$E15))</f>
        <v>0</v>
      </c>
      <c r="BB15" s="783">
        <f>IF(OR($C$60=$AR15,$D$60=$AR15),Schweine_Werte!$E15*0.5,IF(OR($C$60&gt;$AR15,$D$60&lt;$AR15),0,Schweine_Werte!$E15))</f>
        <v>0</v>
      </c>
      <c r="BC15" s="780">
        <f>IF(OR($C$12=$AR15,$D$12=$AR15),Schweine_Werte!$G15*0.5,IF(OR($C$12&gt;$AR15,$D$12&lt;$AR15),0,Schweine_Werte!$G15))</f>
        <v>0</v>
      </c>
      <c r="BD15" s="780">
        <f>IF(OR($C$24=$AR15,$D$24=$AR15),Schweine_Werte!$G15*0.5,IF(OR($C$24&gt;$AR15,$D$24&lt;$AR15),0,Schweine_Werte!$G15))</f>
        <v>0</v>
      </c>
      <c r="BE15" s="783">
        <f>IF(OR($C$36=$AR15,$D$36=$AR15),Schweine_Werte!$G15*0.5,IF(OR($C$36&gt;$AR15,$D$36&lt;$AR15),0,Schweine_Werte!$G15))</f>
        <v>0</v>
      </c>
      <c r="BF15" s="783">
        <f>IF(OR($C$48=$AR15,$D$48=$AR15),Schweine_Werte!$G15*0.5,IF(OR($C$48&gt;$AR15,$D$48&lt;$AR15),0,Schweine_Werte!$G15))</f>
        <v>0</v>
      </c>
      <c r="BG15" s="783">
        <f>IF(OR($C$60=$AR15,$D$60=$AR15),Schweine_Werte!$G15*0.5,IF(OR($C$60&gt;$AR15,$D$60&lt;$AR15),0,Schweine_Werte!$G15))</f>
        <v>0</v>
      </c>
      <c r="BH15" s="780">
        <f>IF(OR($C$12=$AR15,$D$12=$AR15),Schweine_Werte!$I15*0.5,IF(OR($C$12&gt;$AR15,$D$12&lt;$AR15),0,Schweine_Werte!$I15))</f>
        <v>0</v>
      </c>
      <c r="BI15" s="780">
        <f>IF(OR($C$24=$AR15,$D$24=$AR15),Schweine_Werte!$I15*0.5,IF(OR($C$24&gt;$AR15,$D$24&lt;$AR15),0,Schweine_Werte!$I15))</f>
        <v>0</v>
      </c>
      <c r="BJ15" s="783">
        <f>IF(OR($C$36=$AR15,$D$36=$AR15),Schweine_Werte!$I15*0.5,IF(OR($C$36&gt;$AR15,$D$36&lt;$AR15),0,Schweine_Werte!$I15))</f>
        <v>0</v>
      </c>
      <c r="BK15" s="783">
        <f>IF(OR($C$48=$AR15,$D$48=$AR15),Schweine_Werte!$I15*0.5,IF(OR($C$48&gt;$AR15,$D$48&lt;$AR15),0,Schweine_Werte!$I15))</f>
        <v>0</v>
      </c>
      <c r="BL15" s="783">
        <f>IF(OR($C$60=$AR15,$D$60=$AR15),Schweine_Werte!$I15*0.5,IF(OR($C$60&gt;$AR15,$D$60&lt;$AR15),0,Schweine_Werte!$I15))</f>
        <v>0</v>
      </c>
      <c r="BM15" s="780"/>
      <c r="BN15" s="780"/>
      <c r="BO15" s="783"/>
      <c r="BP15" s="783"/>
      <c r="BQ15" s="783"/>
      <c r="BR15" s="781">
        <f>IF(OR($C$74=$AR15,$D$74=$AR15),Schweine_Werte!$M15*0.5,IF(OR($C$74&gt;$AR15,$D$74&lt;$AR15),0,Schweine_Werte!$M15))</f>
        <v>0</v>
      </c>
      <c r="BS15" s="781">
        <f>IF(OR($C$83=$AR15,$D$83=$AR15),Schweine_Werte!$M15*0.5,IF(OR($C$83&gt;$AR15,$D$83&lt;$AR15),0,Schweine_Werte!$M15))</f>
        <v>0</v>
      </c>
      <c r="BT15" s="716">
        <f>IF(OR($C$92=$AR15,$D$92=$AR15),Schweine_Werte!$M15*0.5,IF(OR($C$92&gt;$AR15,$D$92&lt;$AR15),0,Schweine_Werte!$M15))</f>
        <v>0</v>
      </c>
      <c r="BU15" s="716">
        <f>IF(OR($C$101=$AR15,$D$101=$AR15),Schweine_Werte!$M15*0.5,IF(OR($C$101&gt;$AR15,$D$101&lt;$AR15),0,Schweine_Werte!$M15))</f>
        <v>0</v>
      </c>
      <c r="BV15" s="716">
        <f>IF(OR($C$110=$AR15,$D$110=$AR15),Schweine_Werte!$M15*0.5,IF(OR($C$110&gt;$AR15,$D$110&lt;$AR15),0,Schweine_Werte!$M15))</f>
        <v>0</v>
      </c>
      <c r="BW15" s="716">
        <f>IF(OR(8=$AR15,$E$127=$AR15),Schweine_Werte!$M15*0.5,IF(OR(8&gt;$AR15,$E$127&lt;$AR15),0,Schweine_Werte!$M15))</f>
        <v>2.0329975728926217</v>
      </c>
      <c r="BX15" s="716">
        <f>IF(OR(8=$AR15,$E$145=$AR15),Schweine_Werte!$M15*0.5,IF(OR(8&gt;$AR15,$E$145&lt;$AR15),0,Schweine_Werte!$M15))</f>
        <v>2.0329975728926217</v>
      </c>
      <c r="BY15" s="781">
        <f>IF(OR($C$74=$AR15,$D$74=$AR15),Schweine_Werte!$O15*0.5,IF(OR($C$74&gt;$AR15,$D$74&lt;$AR15),0,Schweine_Werte!$O15))</f>
        <v>0</v>
      </c>
      <c r="BZ15" s="781">
        <f>IF(OR($C$83=$AR15,$D$83=$AR15),Schweine_Werte!$O15*0.5,IF(OR($C$83&gt;$AR15,$D$83&lt;$AR15),0,Schweine_Werte!$O15))</f>
        <v>0</v>
      </c>
      <c r="CA15" s="716">
        <f>IF(OR($C$92=$AR15,$D$92=$AR15),Schweine_Werte!$O15*0.5,IF(OR($C$92&gt;$AR15,$D$92&lt;$AR15),0,Schweine_Werte!$O15))</f>
        <v>0</v>
      </c>
      <c r="CB15" s="716">
        <f>IF(OR($C$101=$AR15,$D$101=$AR15),Schweine_Werte!$O15*0.5,IF(OR($C$101&gt;$AR15,$D$101&lt;$AR15),0,Schweine_Werte!$O15))</f>
        <v>0</v>
      </c>
      <c r="CC15" s="716">
        <f>IF(OR($C$110=$AR15,$D$110=$AR15),Schweine_Werte!$O15*0.5,IF(OR($C$110&gt;$AR15,$D$110&lt;$AR15),0,Schweine_Werte!$O15))</f>
        <v>0</v>
      </c>
    </row>
    <row r="16" spans="1:303" x14ac:dyDescent="0.2">
      <c r="B16" t="s">
        <v>7687</v>
      </c>
      <c r="E16" t="s">
        <v>7688</v>
      </c>
      <c r="F16" t="s">
        <v>196</v>
      </c>
      <c r="G16" t="s">
        <v>7689</v>
      </c>
      <c r="H16" t="s">
        <v>7690</v>
      </c>
      <c r="I16" t="s">
        <v>7691</v>
      </c>
      <c r="J16" t="s">
        <v>589</v>
      </c>
      <c r="K16" t="s">
        <v>7692</v>
      </c>
      <c r="L16" s="125" t="s">
        <v>7693</v>
      </c>
      <c r="M16" t="s">
        <v>7694</v>
      </c>
      <c r="N16" t="s">
        <v>7695</v>
      </c>
      <c r="O16" t="s">
        <v>7696</v>
      </c>
      <c r="P16" t="s">
        <v>7697</v>
      </c>
      <c r="Q16" t="s">
        <v>39</v>
      </c>
      <c r="R16" t="s">
        <v>40</v>
      </c>
      <c r="S16" t="s">
        <v>41</v>
      </c>
      <c r="T16" t="s">
        <v>39</v>
      </c>
      <c r="U16" t="s">
        <v>40</v>
      </c>
      <c r="V16" t="s">
        <v>41</v>
      </c>
      <c r="AR16" s="792">
        <v>20</v>
      </c>
      <c r="AS16" s="781">
        <f>IF(OR($C$12=$AR16,$D$12=$AR16),Schweine_Werte!$C16*0.5,IF(OR($C$12&gt;$AR16,$D$12&lt;$AR16),0,Schweine_Werte!$C16))</f>
        <v>0</v>
      </c>
      <c r="AT16" s="716">
        <f>IF(OR($C$24=$AR16,$D$24=$AR16),Schweine_Werte!$C16*0.5,IF(OR($C$24&gt;$AR16,$D$24&lt;$AR16),0,Schweine_Werte!$C16))</f>
        <v>0</v>
      </c>
      <c r="AU16" s="781">
        <f>IF(OR($C$36=$AR16,$D$36=$AR16),Schweine_Werte!$C16*0.5,IF(OR($C$36&gt;$AR16,$D$36&lt;$AR16),0,Schweine_Werte!$C16))</f>
        <v>0</v>
      </c>
      <c r="AV16" s="781">
        <f>IF(OR($C$48=$AR16,$D$48=$AR16),Schweine_Werte!$C16*0.5,IF(OR($C$48&gt;$AR16,$D$48&lt;$AR16),0,Schweine_Werte!$C16))</f>
        <v>0</v>
      </c>
      <c r="AW16" s="781">
        <f>IF(OR($C$60=$AR16,$D$60=$AR16),Schweine_Werte!$C16*0.5,IF(OR($C$60&gt;$AR16,$D$60&lt;$AR16),0,Schweine_Werte!$C16))</f>
        <v>0</v>
      </c>
      <c r="AX16" s="781">
        <f>IF(OR($C$12=$AR16,$D$12=$AR16),Schweine_Werte!$E16*0.5,IF(OR($C$12&gt;$AR16,$D$12&lt;$AR16),0,Schweine_Werte!$E16))</f>
        <v>0</v>
      </c>
      <c r="AY16" s="716">
        <f>IF(OR($C$24=$AR16,$D$24=$AR16),Schweine_Werte!$E16*0.5,IF(OR($C$24&gt;$AR16,$D$24&lt;$AR16),0,Schweine_Werte!$E16))</f>
        <v>0</v>
      </c>
      <c r="AZ16" s="716">
        <f>IF(OR($C$36=$AR16,$D$36=$AR16),Schweine_Werte!$E16*0.5,IF(OR($C$36&gt;$AR16,$D$36&lt;$AR16),0,Schweine_Werte!$E16))</f>
        <v>0</v>
      </c>
      <c r="BA16" s="716">
        <f>IF(OR($C$48=$AR16,$D$48=$AR16),Schweine_Werte!$E16*0.5,IF(OR($C$48&gt;$AR16,$D$48&lt;$AR16),0,Schweine_Werte!$E16))</f>
        <v>0</v>
      </c>
      <c r="BB16" s="716">
        <f>IF(OR($C$60=$AR16,$D$60=$AR16),Schweine_Werte!$E16*0.5,IF(OR($C$60&gt;$AR16,$D$60&lt;$AR16),0,Schweine_Werte!$E16))</f>
        <v>0</v>
      </c>
      <c r="BC16" s="781">
        <f>IF(OR($C$12=$AR16,$D$12=$AR16),Schweine_Werte!$G16*0.5,IF(OR($C$12&gt;$AR16,$D$12&lt;$AR16),0,Schweine_Werte!$G16))</f>
        <v>0</v>
      </c>
      <c r="BD16" s="716">
        <f>IF(OR($C$24=$AR16,$D$24=$AR16),Schweine_Werte!$G16*0.5,IF(OR($C$24&gt;$AR16,$D$24&lt;$AR16),0,Schweine_Werte!$G16))</f>
        <v>0</v>
      </c>
      <c r="BE16" s="716">
        <f>IF(OR($C$36=$AR16,$D$36=$AR16),Schweine_Werte!$G16*0.5,IF(OR($C$36&gt;$AR16,$D$36&lt;$AR16),0,Schweine_Werte!$G16))</f>
        <v>0</v>
      </c>
      <c r="BF16" s="716">
        <f>IF(OR($C$48=$AR16,$D$48=$AR16),Schweine_Werte!$G16*0.5,IF(OR($C$48&gt;$AR16,$D$48&lt;$AR16),0,Schweine_Werte!$G16))</f>
        <v>0</v>
      </c>
      <c r="BG16" s="716">
        <f>IF(OR($C$60=$AR16,$D$60=$AR16),Schweine_Werte!$G16*0.5,IF(OR($C$60&gt;$AR16,$D$60&lt;$AR16),0,Schweine_Werte!$G16))</f>
        <v>0</v>
      </c>
      <c r="BH16" s="781">
        <f>IF(OR($C$12=$AR16,$D$12=$AR16),Schweine_Werte!$I16*0.5,IF(OR($C$12&gt;$AR16,$D$12&lt;$AR16),0,Schweine_Werte!$I16))</f>
        <v>0</v>
      </c>
      <c r="BI16" s="716">
        <f>IF(OR($C$24=$AR16,$D$24=$AR16),Schweine_Werte!$I16*0.5,IF(OR($C$24&gt;$AR16,$D$24&lt;$AR16),0,Schweine_Werte!$I16))</f>
        <v>0</v>
      </c>
      <c r="BJ16" s="716">
        <f>IF(OR($C$36=$AR16,$D$36=$AR16),Schweine_Werte!$I16*0.5,IF(OR($C$36&gt;$AR16,$D$36&lt;$AR16),0,Schweine_Werte!$I16))</f>
        <v>0</v>
      </c>
      <c r="BK16" s="716">
        <f>IF(OR($C$48=$AR16,$D$48=$AR16),Schweine_Werte!$I16*0.5,IF(OR($C$48&gt;$AR16,$D$48&lt;$AR16),0,Schweine_Werte!$I16))</f>
        <v>0</v>
      </c>
      <c r="BL16" s="716">
        <f>IF(OR($C$60=$AR16,$D$60=$AR16),Schweine_Werte!$I16*0.5,IF(OR($C$60&gt;$AR16,$D$60&lt;$AR16),0,Schweine_Werte!$I16))</f>
        <v>0</v>
      </c>
      <c r="BM16" s="781"/>
      <c r="BN16" s="716"/>
      <c r="BO16" s="716"/>
      <c r="BP16" s="716"/>
      <c r="BQ16" s="716"/>
      <c r="BR16" s="781">
        <f>IF(OR($C$74=$AR16,$D$74=$AR16),Schweine_Werte!$M16*0.5,IF(OR($C$74&gt;$AR16,$D$74&lt;$AR16),0,Schweine_Werte!$M16))</f>
        <v>0</v>
      </c>
      <c r="BS16" s="781">
        <f>IF(OR($C$83=$AR16,$D$83=$AR16),Schweine_Werte!$M16*0.5,IF(OR($C$83&gt;$AR16,$D$83&lt;$AR16),0,Schweine_Werte!$M16))</f>
        <v>0</v>
      </c>
      <c r="BT16" s="716">
        <f>IF(OR($C$92=$AR16,$D$92=$AR16),Schweine_Werte!$M16*0.5,IF(OR($C$92&gt;$AR16,$D$92&lt;$AR16),0,Schweine_Werte!$M16))</f>
        <v>0</v>
      </c>
      <c r="BU16" s="716">
        <f>IF(OR($C$101=$AR16,$D$101=$AR16),Schweine_Werte!$M16*0.5,IF(OR($C$101&gt;$AR16,$D$101&lt;$AR16),0,Schweine_Werte!$M16))</f>
        <v>0</v>
      </c>
      <c r="BV16" s="716">
        <f>IF(OR($C$110=$AR16,$D$110=$AR16),Schweine_Werte!$M16*0.5,IF(OR($C$110&gt;$AR16,$D$110&lt;$AR16),0,Schweine_Werte!$M16))</f>
        <v>0</v>
      </c>
      <c r="BW16" s="716">
        <f>IF(OR(8=$AR16,$E$127=$AR16),Schweine_Werte!$M16*0.5,IF(OR(8&gt;$AR16,$E$127&lt;$AR16),0,Schweine_Werte!$M16))</f>
        <v>1.9726458822816806</v>
      </c>
      <c r="BX16" s="716">
        <f>IF(OR(8=$AR16,$E$145=$AR16),Schweine_Werte!$M16*0.5,IF(OR(8&gt;$AR16,$E$145&lt;$AR16),0,Schweine_Werte!$M16))</f>
        <v>1.9726458822816806</v>
      </c>
      <c r="BY16" s="781">
        <f>IF(OR($C$74=$AR16,$D$74=$AR16),Schweine_Werte!$O16*0.5,IF(OR($C$74&gt;$AR16,$D$74&lt;$AR16),0,Schweine_Werte!$O16))</f>
        <v>0</v>
      </c>
      <c r="BZ16" s="781">
        <f>IF(OR($C$83=$AR16,$D$83=$AR16),Schweine_Werte!$O16*0.5,IF(OR($C$83&gt;$AR16,$D$83&lt;$AR16),0,Schweine_Werte!$O16))</f>
        <v>0</v>
      </c>
      <c r="CA16" s="716">
        <f>IF(OR($C$92=$AR16,$D$92=$AR16),Schweine_Werte!$O16*0.5,IF(OR($C$92&gt;$AR16,$D$92&lt;$AR16),0,Schweine_Werte!$O16))</f>
        <v>0</v>
      </c>
      <c r="CB16" s="716">
        <f>IF(OR($C$101=$AR16,$D$101=$AR16),Schweine_Werte!$O16*0.5,IF(OR($C$101&gt;$AR16,$D$101&lt;$AR16),0,Schweine_Werte!$O16))</f>
        <v>0</v>
      </c>
      <c r="CC16" s="716">
        <f>IF(OR($C$110=$AR16,$D$110=$AR16),Schweine_Werte!$O16*0.5,IF(OR($C$110&gt;$AR16,$D$110&lt;$AR16),0,Schweine_Werte!$O16))</f>
        <v>0</v>
      </c>
    </row>
    <row r="17" spans="1:81" x14ac:dyDescent="0.2">
      <c r="B17" s="691">
        <v>700</v>
      </c>
      <c r="D17" s="716"/>
      <c r="E17" s="716" t="e">
        <f>($D24-$C24)*1000/SUM($AT$4:$AT$146)</f>
        <v>#VALUE!</v>
      </c>
      <c r="F17" s="716" t="e">
        <f>SUMPRODUCT($AT$4:$AT$146,Schweine_Werte!$Q$4:$Q$146)/SUM($AT$4:$AT$146)</f>
        <v>#DIV/0!</v>
      </c>
      <c r="G17" s="716" t="e">
        <f>IF($B24=$A$8,SUMPRODUCT($AT$4:$AT$146,Schweine_Werte!EH$4:EH$146)/SUM($AT$4:$AT$146),IF($B24=$A$7,SUMPRODUCT($AT$4:$AT$146,Schweine_Werte!DB$4:DB$146)/SUM($AT$4:$AT$146),IF($B24=$A$6,SUMPRODUCT($AT$4:$AT$146,Schweine_Werte!BV$4:BV$146)/SUM($AT$4:$AT$146),SUMPRODUCT($AT$4:$AT$146,Schweine_Werte!AP$4:AP$146)/SUM($AT$4:$AT$146))))</f>
        <v>#DIV/0!</v>
      </c>
      <c r="H17" s="716" t="e">
        <f>IF($B24=$A$8,SUMPRODUCT($AT$4:$AT$146,Schweine_Werte!EI$4:EI$146)/SUM($AT$4:$AT$146),IF($B24=$A$7,SUMPRODUCT($AT$4:$AT$146,Schweine_Werte!DC$4:DC$146)/SUM($AT$4:$AT$146),IF($B24=$A$6,SUMPRODUCT($AT$4:$AT$146,Schweine_Werte!BW$4:BW$146)/SUM($AT$4:$AT$146),SUMPRODUCT($AT$4:$AT$146,Schweine_Werte!AQ$4:AQ$146)/SUM($AT$4:$AT$146))))</f>
        <v>#DIV/0!</v>
      </c>
      <c r="I17" s="716" t="e">
        <f>IF($B24=$A$8,SUMPRODUCT($AT$4:$AT$146,Schweine_Werte!EJ$4:EJ$146)/SUM($AT$4:$AT$146),IF($B24=$A$7,SUMPRODUCT($AT$4:$AT$146,Schweine_Werte!DD$4:DD$146)/SUM($AT$4:$AT$146),IF($B24=$A$6,SUMPRODUCT($AT$4:$AT$146,Schweine_Werte!BX$4:BX$146)/SUM($AT$4:$AT$146),SUMPRODUCT($AT$4:$AT$146,Schweine_Werte!AR$4:AR$146)/SUM($AT$4:$AT$146))))</f>
        <v>#DIV/0!</v>
      </c>
      <c r="J17" s="716" t="e">
        <f>SUMPRODUCT($AT$4:$AT$146,Schweine_Werte!$Y$4:$Y$146)/SUM($AT$4:$AT$146)</f>
        <v>#DIV/0!</v>
      </c>
      <c r="K17" s="716" t="e">
        <f>SUMPRODUCT($AT$4:$AT$146,Schweine_Werte!$AG$4:$AG$146)/SUM($AT$4:$AT$146)</f>
        <v>#DIV/0!</v>
      </c>
      <c r="L17" s="804" t="e">
        <f>T17*$F17*365/1000+$J17-$K17</f>
        <v>#DIV/0!</v>
      </c>
      <c r="M17" s="716" t="e">
        <f>U17*$F17*365/1000+$J17-$K17/2</f>
        <v>#DIV/0!</v>
      </c>
      <c r="N17" s="716" t="e">
        <f>V17*$F17*365/1000+$J17</f>
        <v>#DIV/0!</v>
      </c>
      <c r="O17" s="716">
        <f>IF($C24&lt;28,SUM($AT$4:$AT$23)+IF($D24&gt;28,$AT$24*0.5,$AT$24),0)</f>
        <v>0</v>
      </c>
      <c r="P17" s="716">
        <f>IF($D24&gt;28,SUM($AT$25:$AT$146)+IF($C24&lt;28,$AT$24*0.5,$AT$24),0)</f>
        <v>0</v>
      </c>
      <c r="Q17" s="716" t="e">
        <f t="shared" ref="Q17:S20" si="8">+T17*$F17</f>
        <v>#DIV/0!</v>
      </c>
      <c r="R17" s="716" t="e">
        <f t="shared" si="8"/>
        <v>#DIV/0!</v>
      </c>
      <c r="S17" s="716" t="e">
        <f t="shared" si="8"/>
        <v>#DIV/0!</v>
      </c>
      <c r="T17" s="716" t="e">
        <f>+($O17*Schweine_Werte!$HT$5+$P17*Schweine_Werte!$HU$5)/SUM($O17:$P17)</f>
        <v>#DIV/0!</v>
      </c>
      <c r="U17" s="716" t="e">
        <f>+($O17*Schweine_Werte!$HV$5+$P17*Schweine_Werte!$HW$5)/SUM($O17:$P17)</f>
        <v>#DIV/0!</v>
      </c>
      <c r="V17" s="716" t="e">
        <f>+($O17*Schweine_Werte!$HX$5+$P17*Schweine_Werte!$HY$5)/SUM($O17:$P17)</f>
        <v>#DIV/0!</v>
      </c>
      <c r="W17" s="771" t="e">
        <f>($J17*0.055+T17*0.365*0.86*$F17-$K17*0.018)/L17*100</f>
        <v>#DIV/0!</v>
      </c>
      <c r="X17" s="716" t="e">
        <f>($J17*0.055+U17*0.365*0.86*$F17-$K17*0.018/2)/M17*100</f>
        <v>#DIV/0!</v>
      </c>
      <c r="Y17" s="716" t="e">
        <f>($J17*0.055+V17*0.365*0.86*$F17)/N17*100</f>
        <v>#DIV/0!</v>
      </c>
      <c r="Z17" s="716"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16"/>
      <c r="AB17" s="716">
        <f>IF($B24=$A$8,SUMIF(Schweine_Werte!$AO$4:$AO$146,$C24,Schweine_Werte!$EL$4:$EL$146),IF($B24=$A$7,SUMIF(Schweine_Werte!$AO$4:$AO$146,$C24,Schweine_Werte!$DF$4:$DF$146),IF($B24=$A$6,SUMIF(Schweine_Werte!$AO$4:$AO$146,$C24,Schweine_Werte!$BZ$4:$BZ$146),SUMIF(Schweine_Werte!$AO$4:$AO$146,$C24,Schweine_Werte!$AT$4:$AT$146))))</f>
        <v>0</v>
      </c>
      <c r="AC17" s="716"/>
      <c r="AD17" s="716">
        <f>IF($B24=$A$8,SUMIF(Schweine_Werte!$AO$4:$AO$146,$D24,Schweine_Werte!$EL$4:$EL$146),IF($B24=$A$7,SUMIF(Schweine_Werte!$AO$4:$AO$146,$D24,Schweine_Werte!$DF$4:$DF$146),IF($B24=$A$6,SUMIF(Schweine_Werte!$AO$4:$AO$146,$D24,Schweine_Werte!$BZ$4:$BZ$146),SUMIF(Schweine_Werte!$AO$4:$AO$146,$D24,Schweine_Werte!$AT$4:$AT$146))))</f>
        <v>0</v>
      </c>
      <c r="AE17" s="716"/>
      <c r="AF17" s="716"/>
      <c r="AG17" s="716" t="e">
        <f>IF($B24=$A$8,SUMPRODUCT($AT$4:$AT$146,Schweine_Werte!$EK$4:$EK$146)/SUM($AT$4:$AT$146),IF($B24=$A$7,SUMPRODUCT($AT$4:$AT$146,Schweine_Werte!$DE$4:$DE$146)/SUM($AT$4:$AT$146),IF($B24=$A$6,SUMPRODUCT($AT$4:$AT$146,Schweine_Werte!$BY$4:$BY$146)/SUM($AT$4:$AT$146),SUMPRODUCT($AT$4:$AT$146,Schweine_Werte!$AS$4:$AS$146)/SUM($AT$4:$AT$146))))</f>
        <v>#DIV/0!</v>
      </c>
      <c r="AH17" s="716"/>
      <c r="AI17" s="716"/>
      <c r="AJ17" s="716"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16"/>
      <c r="AL17" s="716">
        <f>IF($B24=$A$8,SUMIF(Schweine_Werte!$AO$4:$AO$146,$C24,Schweine_Werte!$EM$4:$EM$146),IF($B24=$A$7,SUMIF(Schweine_Werte!$AO$4:$AO$146,$C24,Schweine_Werte!$DG$4:$DG$146),IF($B24=$A$6,SUMIF(Schweine_Werte!$AO$4:$AO$146,$C24,Schweine_Werte!$CA$4:$CA$146),SUMIF(Schweine_Werte!$AO$4:$AO$146,$C24,Schweine_Werte!$AU$4:$AU$146))))</f>
        <v>0</v>
      </c>
      <c r="AM17" s="716"/>
      <c r="AN17" s="716">
        <f>IF($B24=$A$8,SUMIF(Schweine_Werte!$AO$4:$AO$146,$D24,Schweine_Werte!$EM$4:$EM$146),IF($B24=$A$7,SUMIF(Schweine_Werte!$AO$4:$AO$146,$D24,Schweine_Werte!$DG$4:$DG$146),IF($B24=$A$6,SUMIF(Schweine_Werte!$AO$4:$AO$146,$D24,Schweine_Werte!$CA$4:$CA$146),SUMIF(Schweine_Werte!$AO$4:$AO$146,$D24,Schweine_Werte!$AU$4:$AU$146))))</f>
        <v>0</v>
      </c>
      <c r="AO17" s="716"/>
      <c r="AR17" s="792">
        <v>21</v>
      </c>
      <c r="AS17" s="781">
        <f>IF(OR($C$12=$AR17,$D$12=$AR17),Schweine_Werte!$C17*0.5,IF(OR($C$12&gt;$AR17,$D$12&lt;$AR17),0,Schweine_Werte!$C17))</f>
        <v>0</v>
      </c>
      <c r="AT17" s="716">
        <f>IF(OR($C$24=$AR17,$D$24=$AR17),Schweine_Werte!$C17*0.5,IF(OR($C$24&gt;$AR17,$D$24&lt;$AR17),0,Schweine_Werte!$C17))</f>
        <v>0</v>
      </c>
      <c r="AU17" s="781">
        <f>IF(OR($C$36=$AR17,$D$36=$AR17),Schweine_Werte!$C17*0.5,IF(OR($C$36&gt;$AR17,$D$36&lt;$AR17),0,Schweine_Werte!$C17))</f>
        <v>0</v>
      </c>
      <c r="AV17" s="781">
        <f>IF(OR($C$48=$AR17,$D$48=$AR17),Schweine_Werte!$C17*0.5,IF(OR($C$48&gt;$AR17,$D$48&lt;$AR17),0,Schweine_Werte!$C17))</f>
        <v>0</v>
      </c>
      <c r="AW17" s="781">
        <f>IF(OR($C$60=$AR17,$D$60=$AR17),Schweine_Werte!$C17*0.5,IF(OR($C$60&gt;$AR17,$D$60&lt;$AR17),0,Schweine_Werte!$C17))</f>
        <v>0</v>
      </c>
      <c r="AX17" s="781">
        <f>IF(OR($C$12=$AR17,$D$12=$AR17),Schweine_Werte!$E17*0.5,IF(OR($C$12&gt;$AR17,$D$12&lt;$AR17),0,Schweine_Werte!$E17))</f>
        <v>0</v>
      </c>
      <c r="AY17" s="716">
        <f>IF(OR($C$24=$AR17,$D$24=$AR17),Schweine_Werte!$E17*0.5,IF(OR($C$24&gt;$AR17,$D$24&lt;$AR17),0,Schweine_Werte!$E17))</f>
        <v>0</v>
      </c>
      <c r="AZ17" s="716">
        <f>IF(OR($C$36=$AR17,$D$36=$AR17),Schweine_Werte!$E17*0.5,IF(OR($C$36&gt;$AR17,$D$36&lt;$AR17),0,Schweine_Werte!$E17))</f>
        <v>0</v>
      </c>
      <c r="BA17" s="716">
        <f>IF(OR($C$48=$AR17,$D$48=$AR17),Schweine_Werte!$E17*0.5,IF(OR($C$48&gt;$AR17,$D$48&lt;$AR17),0,Schweine_Werte!$E17))</f>
        <v>0</v>
      </c>
      <c r="BB17" s="716">
        <f>IF(OR($C$60=$AR17,$D$60=$AR17),Schweine_Werte!$E17*0.5,IF(OR($C$60&gt;$AR17,$D$60&lt;$AR17),0,Schweine_Werte!$E17))</f>
        <v>0</v>
      </c>
      <c r="BC17" s="781">
        <f>IF(OR($C$12=$AR17,$D$12=$AR17),Schweine_Werte!$G17*0.5,IF(OR($C$12&gt;$AR17,$D$12&lt;$AR17),0,Schweine_Werte!$G17))</f>
        <v>0</v>
      </c>
      <c r="BD17" s="716">
        <f>IF(OR($C$24=$AR17,$D$24=$AR17),Schweine_Werte!$G17*0.5,IF(OR($C$24&gt;$AR17,$D$24&lt;$AR17),0,Schweine_Werte!$G17))</f>
        <v>0</v>
      </c>
      <c r="BE17" s="716">
        <f>IF(OR($C$36=$AR17,$D$36=$AR17),Schweine_Werte!$G17*0.5,IF(OR($C$36&gt;$AR17,$D$36&lt;$AR17),0,Schweine_Werte!$G17))</f>
        <v>0</v>
      </c>
      <c r="BF17" s="716">
        <f>IF(OR($C$48=$AR17,$D$48=$AR17),Schweine_Werte!$G17*0.5,IF(OR($C$48&gt;$AR17,$D$48&lt;$AR17),0,Schweine_Werte!$G17))</f>
        <v>0</v>
      </c>
      <c r="BG17" s="716">
        <f>IF(OR($C$60=$AR17,$D$60=$AR17),Schweine_Werte!$G17*0.5,IF(OR($C$60&gt;$AR17,$D$60&lt;$AR17),0,Schweine_Werte!$G17))</f>
        <v>0</v>
      </c>
      <c r="BH17" s="781">
        <f>IF(OR($C$12=$AR17,$D$12=$AR17),Schweine_Werte!$I17*0.5,IF(OR($C$12&gt;$AR17,$D$12&lt;$AR17),0,Schweine_Werte!$I17))</f>
        <v>0</v>
      </c>
      <c r="BI17" s="716">
        <f>IF(OR($C$24=$AR17,$D$24=$AR17),Schweine_Werte!$I17*0.5,IF(OR($C$24&gt;$AR17,$D$24&lt;$AR17),0,Schweine_Werte!$I17))</f>
        <v>0</v>
      </c>
      <c r="BJ17" s="716">
        <f>IF(OR($C$36=$AR17,$D$36=$AR17),Schweine_Werte!$I17*0.5,IF(OR($C$36&gt;$AR17,$D$36&lt;$AR17),0,Schweine_Werte!$I17))</f>
        <v>0</v>
      </c>
      <c r="BK17" s="716">
        <f>IF(OR($C$48=$AR17,$D$48=$AR17),Schweine_Werte!$I17*0.5,IF(OR($C$48&gt;$AR17,$D$48&lt;$AR17),0,Schweine_Werte!$I17))</f>
        <v>0</v>
      </c>
      <c r="BL17" s="716">
        <f>IF(OR($C$60=$AR17,$D$60=$AR17),Schweine_Werte!$I17*0.5,IF(OR($C$60&gt;$AR17,$D$60&lt;$AR17),0,Schweine_Werte!$I17))</f>
        <v>0</v>
      </c>
      <c r="BM17" s="781"/>
      <c r="BN17" s="716"/>
      <c r="BO17" s="716"/>
      <c r="BP17" s="716"/>
      <c r="BQ17" s="716"/>
      <c r="BR17" s="781">
        <f>IF(OR($C$74=$AR17,$D$74=$AR17),Schweine_Werte!$M17*0.5,IF(OR($C$74&gt;$AR17,$D$74&lt;$AR17),0,Schweine_Werte!$M17))</f>
        <v>0</v>
      </c>
      <c r="BS17" s="781">
        <f>IF(OR($C$83=$AR17,$D$83=$AR17),Schweine_Werte!$M17*0.5,IF(OR($C$83&gt;$AR17,$D$83&lt;$AR17),0,Schweine_Werte!$M17))</f>
        <v>0</v>
      </c>
      <c r="BT17" s="716">
        <f>IF(OR($C$92=$AR17,$D$92=$AR17),Schweine_Werte!$M17*0.5,IF(OR($C$92&gt;$AR17,$D$92&lt;$AR17),0,Schweine_Werte!$M17))</f>
        <v>0</v>
      </c>
      <c r="BU17" s="716">
        <f>IF(OR($C$101=$AR17,$D$101=$AR17),Schweine_Werte!$M17*0.5,IF(OR($C$101&gt;$AR17,$D$101&lt;$AR17),0,Schweine_Werte!$M17))</f>
        <v>0</v>
      </c>
      <c r="BV17" s="716">
        <f>IF(OR($C$110=$AR17,$D$110=$AR17),Schweine_Werte!$M17*0.5,IF(OR($C$110&gt;$AR17,$D$110&lt;$AR17),0,Schweine_Werte!$M17))</f>
        <v>0</v>
      </c>
      <c r="BW17" s="716">
        <f>IF(OR(8=$AR17,$E$127=$AR17),Schweine_Werte!$M17*0.5,IF(OR(8&gt;$AR17,$E$127&lt;$AR17),0,Schweine_Werte!$M17))</f>
        <v>1.9171696517583841</v>
      </c>
      <c r="BX17" s="716">
        <f>IF(OR(8=$AR17,$E$145=$AR17),Schweine_Werte!$M17*0.5,IF(OR(8&gt;$AR17,$E$145&lt;$AR17),0,Schweine_Werte!$M17))</f>
        <v>1.9171696517583841</v>
      </c>
      <c r="BY17" s="781">
        <f>IF(OR($C$74=$AR17,$D$74=$AR17),Schweine_Werte!$O17*0.5,IF(OR($C$74&gt;$AR17,$D$74&lt;$AR17),0,Schweine_Werte!$O17))</f>
        <v>0</v>
      </c>
      <c r="BZ17" s="781">
        <f>IF(OR($C$83=$AR17,$D$83=$AR17),Schweine_Werte!$O17*0.5,IF(OR($C$83&gt;$AR17,$D$83&lt;$AR17),0,Schweine_Werte!$O17))</f>
        <v>0</v>
      </c>
      <c r="CA17" s="716">
        <f>IF(OR($C$92=$AR17,$D$92=$AR17),Schweine_Werte!$O17*0.5,IF(OR($C$92&gt;$AR17,$D$92&lt;$AR17),0,Schweine_Werte!$O17))</f>
        <v>0</v>
      </c>
      <c r="CB17" s="716">
        <f>IF(OR($C$101=$AR17,$D$101=$AR17),Schweine_Werte!$O17*0.5,IF(OR($C$101&gt;$AR17,$D$101&lt;$AR17),0,Schweine_Werte!$O17))</f>
        <v>0</v>
      </c>
      <c r="CC17" s="716">
        <f>IF(OR($C$110=$AR17,$D$110=$AR17),Schweine_Werte!$O17*0.5,IF(OR($C$110&gt;$AR17,$D$110&lt;$AR17),0,Schweine_Werte!$O17))</f>
        <v>0</v>
      </c>
    </row>
    <row r="18" spans="1:81" x14ac:dyDescent="0.2">
      <c r="B18" s="691">
        <v>750</v>
      </c>
      <c r="D18" s="784"/>
      <c r="E18" s="716" t="e">
        <f>($D24-$C24)*1000/SUM($AY$4:$AY$146)</f>
        <v>#VALUE!</v>
      </c>
      <c r="F18" s="716" t="e">
        <f>SUMPRODUCT($AY$4:$AY$146,Schweine_Werte!$R$4:$R$146)/SUM($AY$4:$AY$146)</f>
        <v>#DIV/0!</v>
      </c>
      <c r="G18" s="716" t="e">
        <f>IF($B24=$A$8,SUMPRODUCT($AY$4:$AY$146,Schweine_Werte!EN$4:EN$146)/SUM($AY$4:$AY$146),IF($B24=$A$7,SUMPRODUCT($AY$4:$AY$146,Schweine_Werte!DH$4:DH$146)/SUM($AY$4:$AY$146),IF($B24=$A$6,SUMPRODUCT($AY$4:$AY$146,Schweine_Werte!CB$4:CB$146)/SUM($AY$4:$AY$146),SUMPRODUCT($AY$4:$AY$146,Schweine_Werte!AV$4:AV$146)/SUM($AY$4:$AY$146))))</f>
        <v>#DIV/0!</v>
      </c>
      <c r="H18" s="716" t="e">
        <f>IF($B24=$A$8,SUMPRODUCT($AY$4:$AY$146,Schweine_Werte!EO$4:EO$146)/SUM($AY$4:$AY$146),IF($B24=$A$7,SUMPRODUCT($AY$4:$AY$146,Schweine_Werte!DI$4:DI$146)/SUM($AY$4:$AY$146),IF($B24=$A$6,SUMPRODUCT($AY$4:$AY$146,Schweine_Werte!CC$4:CC$146)/SUM($AY$4:$AY$146),SUMPRODUCT($AY$4:$AY$146,Schweine_Werte!AW$4:AW$146)/SUM($AY$4:$AY$146))))</f>
        <v>#DIV/0!</v>
      </c>
      <c r="I18" s="716" t="e">
        <f>IF($B24=$A$8,SUMPRODUCT($AY$4:$AY$146,Schweine_Werte!EP$4:EP$146)/SUM($AY$4:$AY$146),IF($B24=$A$7,SUMPRODUCT($AY$4:$AY$146,Schweine_Werte!DJ$4:DJ$146)/SUM($AY$4:$AY$146),IF($B24=$A$6,SUMPRODUCT($AY$4:$AY$146,Schweine_Werte!CD$4:CD$146)/SUM($AY$4:$AY$146),SUMPRODUCT($AY$4:$AY$146,Schweine_Werte!AX$4:AX$146)/SUM($AY$4:$AY$146))))</f>
        <v>#DIV/0!</v>
      </c>
      <c r="J18" s="716" t="e">
        <f>SUMPRODUCT($AY$4:$AY$146,Schweine_Werte!$Z$4:$Z$146)/SUM($AY$4:$AY$146)</f>
        <v>#DIV/0!</v>
      </c>
      <c r="K18" s="716" t="e">
        <f>SUMPRODUCT($AY$4:$AY$146,Schweine_Werte!$AH$4:$AH$146)/SUM($AY$4:$AY$146)</f>
        <v>#DIV/0!</v>
      </c>
      <c r="L18" s="804" t="e">
        <f>T18*$F18*365/1000+$J18-$K18</f>
        <v>#DIV/0!</v>
      </c>
      <c r="M18" s="716" t="e">
        <f>U18*$F18*365/1000+$J18-$K18/2</f>
        <v>#DIV/0!</v>
      </c>
      <c r="N18" s="716" t="e">
        <f>V18*$F18*365/1000+$J18</f>
        <v>#DIV/0!</v>
      </c>
      <c r="O18" s="716">
        <f>IF($C24&lt;28,SUM($AY$4:$AY$23)+IF($D24&gt;28,$AY$24*0.5,$AY$24),0)</f>
        <v>0</v>
      </c>
      <c r="P18" s="716">
        <f>IF($D24&gt;28,SUM($AY$25:$AY$146)+IF($C24&lt;28,$AY$24*0.5,$AY$24),0)</f>
        <v>0</v>
      </c>
      <c r="Q18" s="716" t="e">
        <f t="shared" si="8"/>
        <v>#DIV/0!</v>
      </c>
      <c r="R18" s="716" t="e">
        <f t="shared" si="8"/>
        <v>#DIV/0!</v>
      </c>
      <c r="S18" s="716" t="e">
        <f t="shared" si="8"/>
        <v>#DIV/0!</v>
      </c>
      <c r="T18" s="716" t="e">
        <f>+($O18*Schweine_Werte!$HT$6+$P18*Schweine_Werte!$HU$6)/SUM($O18:$P18)</f>
        <v>#DIV/0!</v>
      </c>
      <c r="U18" s="716" t="e">
        <f>+($O18*Schweine_Werte!$HV$6+$P18*Schweine_Werte!$HW$6)/SUM($O18:$P18)</f>
        <v>#DIV/0!</v>
      </c>
      <c r="V18" s="716" t="e">
        <f>+($O18*Schweine_Werte!$HX$6+$P18*Schweine_Werte!$HY$6)/SUM($O18:$P18)</f>
        <v>#DIV/0!</v>
      </c>
      <c r="W18" s="771" t="e">
        <f>($J18*0.055+T18*0.365*0.86*$F18-$K18*0.018)/L18*100</f>
        <v>#DIV/0!</v>
      </c>
      <c r="X18" s="716" t="e">
        <f>($J18*0.055+U18*0.365*0.86*$F18-$K18*0.018/2)/M18*100</f>
        <v>#DIV/0!</v>
      </c>
      <c r="Y18" s="716" t="e">
        <f>($J18*0.055+V18*0.365*0.86*$F18)/N18*100</f>
        <v>#DIV/0!</v>
      </c>
      <c r="Z18" s="716"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16"/>
      <c r="AB18" s="716">
        <f>IF($B24=$A$8,SUMIF(Schweine_Werte!$AO$4:$AO$146,$C24,Schweine_Werte!$ER$4:$ER$146),IF($B24=$A$7,SUMIF(Schweine_Werte!$AO$4:$AO$146,$C24,Schweine_Werte!$DL$4:$DL$146),IF($B24=$A$6,SUMIF(Schweine_Werte!$AO$4:$AO$146,$C24,Schweine_Werte!$CF$4:$CF$146),SUMIF(Schweine_Werte!$AO$4:$AO$146,$C24,Schweine_Werte!$AZ$4:$AZ$146))))</f>
        <v>0</v>
      </c>
      <c r="AC18" s="716"/>
      <c r="AD18" s="716">
        <f>IF($B24=$A$8,SUMIF(Schweine_Werte!$AO$4:$AO$146,$D24,Schweine_Werte!$ER$4:$ER$146),IF($B24=$A$7,SUMIF(Schweine_Werte!$AO$4:$AO$146,$D24,Schweine_Werte!$DL$4:$DL$146),IF($B24=$A$6,SUMIF(Schweine_Werte!$AO$4:$AO$146,$D24,Schweine_Werte!$CF$4:$CF$146),SUMIF(Schweine_Werte!$AO$4:$AO$146,$D24,Schweine_Werte!$AZ$4:$AZ$146))))</f>
        <v>0</v>
      </c>
      <c r="AE18" s="716"/>
      <c r="AF18" s="716"/>
      <c r="AG18" s="716" t="e">
        <f>IF($B24=$A$8,SUMPRODUCT($AY$4:$AY$146,Schweine_Werte!$EQ$4:$EQ$146)/SUM($AY$4:$AY$146),IF($B24=$A$7,SUMPRODUCT($AY$4:$AY$146,Schweine_Werte!$DK$4:$DK$146)/SUM($AY$4:$AY$146),IF($B24=$A$6,SUMPRODUCT($AY$4:$AY$146,Schweine_Werte!$CE$4:$CE$146)/SUM($AY$4:$AY$146),SUMPRODUCT($AY$4:$AY$146,Schweine_Werte!$AY$4:$AY$146)/SUM($AY$4:$AY$146))))</f>
        <v>#DIV/0!</v>
      </c>
      <c r="AH18" s="716"/>
      <c r="AI18" s="716"/>
      <c r="AJ18" s="716"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16"/>
      <c r="AL18" s="716">
        <f>IF($B24=$A$8,SUMIF(Schweine_Werte!$AO$4:$AO$146,$C24,Schweine_Werte!$ES$4:$ES$146),IF($B24=$A$7,SUMIF(Schweine_Werte!$AO$4:$AO$146,$C24,Schweine_Werte!$DM$4:$DM$146),IF($B24=$A$6,SUMIF(Schweine_Werte!$AO$4:$AO$146,$C24,Schweine_Werte!$CG$4:$CG$146),SUMIF(Schweine_Werte!$AO$4:$AO$146,$C24,Schweine_Werte!$BA$4:$BA$146))))</f>
        <v>0</v>
      </c>
      <c r="AM18" s="716"/>
      <c r="AN18" s="716">
        <f>IF($B24=$A$8,SUMIF(Schweine_Werte!$AO$4:$AO$146,$D24,Schweine_Werte!$ES$4:$ES$146),IF($B24=$A$7,SUMIF(Schweine_Werte!$AO$4:$AO$146,$D24,Schweine_Werte!$DM$4:$DM$146),IF($B24=$A$6,SUMIF(Schweine_Werte!$AO$4:$AO$146,$D24,Schweine_Werte!$CG$4:$CG$146),SUMIF(Schweine_Werte!$AO$4:$AO$146,$D24,Schweine_Werte!$BA$4:$BA$146))))</f>
        <v>0</v>
      </c>
      <c r="AO18" s="716"/>
      <c r="AR18" s="792">
        <v>22</v>
      </c>
      <c r="AS18" s="781">
        <f>IF(OR($C$12=$AR18,$D$12=$AR18),Schweine_Werte!$C18*0.5,IF(OR($C$12&gt;$AR18,$D$12&lt;$AR18),0,Schweine_Werte!$C18))</f>
        <v>0</v>
      </c>
      <c r="AT18" s="716">
        <f>IF(OR($C$24=$AR18,$D$24=$AR18),Schweine_Werte!$C18*0.5,IF(OR($C$24&gt;$AR18,$D$24&lt;$AR18),0,Schweine_Werte!$C18))</f>
        <v>0</v>
      </c>
      <c r="AU18" s="781">
        <f>IF(OR($C$36=$AR18,$D$36=$AR18),Schweine_Werte!$C18*0.5,IF(OR($C$36&gt;$AR18,$D$36&lt;$AR18),0,Schweine_Werte!$C18))</f>
        <v>0</v>
      </c>
      <c r="AV18" s="781">
        <f>IF(OR($C$48=$AR18,$D$48=$AR18),Schweine_Werte!$C18*0.5,IF(OR($C$48&gt;$AR18,$D$48&lt;$AR18),0,Schweine_Werte!$C18))</f>
        <v>0</v>
      </c>
      <c r="AW18" s="781">
        <f>IF(OR($C$60=$AR18,$D$60=$AR18),Schweine_Werte!$C18*0.5,IF(OR($C$60&gt;$AR18,$D$60&lt;$AR18),0,Schweine_Werte!$C18))</f>
        <v>0</v>
      </c>
      <c r="AX18" s="781">
        <f>IF(OR($C$12=$AR18,$D$12=$AR18),Schweine_Werte!$E18*0.5,IF(OR($C$12&gt;$AR18,$D$12&lt;$AR18),0,Schweine_Werte!$E18))</f>
        <v>0</v>
      </c>
      <c r="AY18" s="716">
        <f>IF(OR($C$24=$AR18,$D$24=$AR18),Schweine_Werte!$E18*0.5,IF(OR($C$24&gt;$AR18,$D$24&lt;$AR18),0,Schweine_Werte!$E18))</f>
        <v>0</v>
      </c>
      <c r="AZ18" s="716">
        <f>IF(OR($C$36=$AR18,$D$36=$AR18),Schweine_Werte!$E18*0.5,IF(OR($C$36&gt;$AR18,$D$36&lt;$AR18),0,Schweine_Werte!$E18))</f>
        <v>0</v>
      </c>
      <c r="BA18" s="716">
        <f>IF(OR($C$48=$AR18,$D$48=$AR18),Schweine_Werte!$E18*0.5,IF(OR($C$48&gt;$AR18,$D$48&lt;$AR18),0,Schweine_Werte!$E18))</f>
        <v>0</v>
      </c>
      <c r="BB18" s="716">
        <f>IF(OR($C$60=$AR18,$D$60=$AR18),Schweine_Werte!$E18*0.5,IF(OR($C$60&gt;$AR18,$D$60&lt;$AR18),0,Schweine_Werte!$E18))</f>
        <v>0</v>
      </c>
      <c r="BC18" s="781">
        <f>IF(OR($C$12=$AR18,$D$12=$AR18),Schweine_Werte!$G18*0.5,IF(OR($C$12&gt;$AR18,$D$12&lt;$AR18),0,Schweine_Werte!$G18))</f>
        <v>0</v>
      </c>
      <c r="BD18" s="716">
        <f>IF(OR($C$24=$AR18,$D$24=$AR18),Schweine_Werte!$G18*0.5,IF(OR($C$24&gt;$AR18,$D$24&lt;$AR18),0,Schweine_Werte!$G18))</f>
        <v>0</v>
      </c>
      <c r="BE18" s="716">
        <f>IF(OR($C$36=$AR18,$D$36=$AR18),Schweine_Werte!$G18*0.5,IF(OR($C$36&gt;$AR18,$D$36&lt;$AR18),0,Schweine_Werte!$G18))</f>
        <v>0</v>
      </c>
      <c r="BF18" s="716">
        <f>IF(OR($C$48=$AR18,$D$48=$AR18),Schweine_Werte!$G18*0.5,IF(OR($C$48&gt;$AR18,$D$48&lt;$AR18),0,Schweine_Werte!$G18))</f>
        <v>0</v>
      </c>
      <c r="BG18" s="716">
        <f>IF(OR($C$60=$AR18,$D$60=$AR18),Schweine_Werte!$G18*0.5,IF(OR($C$60&gt;$AR18,$D$60&lt;$AR18),0,Schweine_Werte!$G18))</f>
        <v>0</v>
      </c>
      <c r="BH18" s="781">
        <f>IF(OR($C$12=$AR18,$D$12=$AR18),Schweine_Werte!$I18*0.5,IF(OR($C$12&gt;$AR18,$D$12&lt;$AR18),0,Schweine_Werte!$I18))</f>
        <v>0</v>
      </c>
      <c r="BI18" s="716">
        <f>IF(OR($C$24=$AR18,$D$24=$AR18),Schweine_Werte!$I18*0.5,IF(OR($C$24&gt;$AR18,$D$24&lt;$AR18),0,Schweine_Werte!$I18))</f>
        <v>0</v>
      </c>
      <c r="BJ18" s="716">
        <f>IF(OR($C$36=$AR18,$D$36=$AR18),Schweine_Werte!$I18*0.5,IF(OR($C$36&gt;$AR18,$D$36&lt;$AR18),0,Schweine_Werte!$I18))</f>
        <v>0</v>
      </c>
      <c r="BK18" s="716">
        <f>IF(OR($C$48=$AR18,$D$48=$AR18),Schweine_Werte!$I18*0.5,IF(OR($C$48&gt;$AR18,$D$48&lt;$AR18),0,Schweine_Werte!$I18))</f>
        <v>0</v>
      </c>
      <c r="BL18" s="716">
        <f>IF(OR($C$60=$AR18,$D$60=$AR18),Schweine_Werte!$I18*0.5,IF(OR($C$60&gt;$AR18,$D$60&lt;$AR18),0,Schweine_Werte!$I18))</f>
        <v>0</v>
      </c>
      <c r="BM18" s="781"/>
      <c r="BN18" s="716"/>
      <c r="BO18" s="716"/>
      <c r="BP18" s="716"/>
      <c r="BQ18" s="716"/>
      <c r="BR18" s="781">
        <f>IF(OR($C$74=$AR18,$D$74=$AR18),Schweine_Werte!$M18*0.5,IF(OR($C$74&gt;$AR18,$D$74&lt;$AR18),0,Schweine_Werte!$M18))</f>
        <v>0</v>
      </c>
      <c r="BS18" s="781">
        <f>IF(OR($C$83=$AR18,$D$83=$AR18),Schweine_Werte!$M18*0.5,IF(OR($C$83&gt;$AR18,$D$83&lt;$AR18),0,Schweine_Werte!$M18))</f>
        <v>0</v>
      </c>
      <c r="BT18" s="716">
        <f>IF(OR($C$92=$AR18,$D$92=$AR18),Schweine_Werte!$M18*0.5,IF(OR($C$92&gt;$AR18,$D$92&lt;$AR18),0,Schweine_Werte!$M18))</f>
        <v>0</v>
      </c>
      <c r="BU18" s="716">
        <f>IF(OR($C$101=$AR18,$D$101=$AR18),Schweine_Werte!$M18*0.5,IF(OR($C$101&gt;$AR18,$D$101&lt;$AR18),0,Schweine_Werte!$M18))</f>
        <v>0</v>
      </c>
      <c r="BV18" s="716">
        <f>IF(OR($C$110=$AR18,$D$110=$AR18),Schweine_Werte!$M18*0.5,IF(OR($C$110&gt;$AR18,$D$110&lt;$AR18),0,Schweine_Werte!$M18))</f>
        <v>0</v>
      </c>
      <c r="BW18" s="716">
        <f>IF(OR(8=$AR18,$E$127=$AR18),Schweine_Werte!$M18*0.5,IF(OR(8&gt;$AR18,$E$127&lt;$AR18),0,Schweine_Werte!$M18))</f>
        <v>1.8660590635640175</v>
      </c>
      <c r="BX18" s="716">
        <f>IF(OR(8=$AR18,$E$145=$AR18),Schweine_Werte!$M18*0.5,IF(OR(8&gt;$AR18,$E$145&lt;$AR18),0,Schweine_Werte!$M18))</f>
        <v>1.8660590635640175</v>
      </c>
      <c r="BY18" s="781">
        <f>IF(OR($C$74=$AR18,$D$74=$AR18),Schweine_Werte!$O18*0.5,IF(OR($C$74&gt;$AR18,$D$74&lt;$AR18),0,Schweine_Werte!$O18))</f>
        <v>0</v>
      </c>
      <c r="BZ18" s="781">
        <f>IF(OR($C$83=$AR18,$D$83=$AR18),Schweine_Werte!$O18*0.5,IF(OR($C$83&gt;$AR18,$D$83&lt;$AR18),0,Schweine_Werte!$O18))</f>
        <v>0</v>
      </c>
      <c r="CA18" s="716">
        <f>IF(OR($C$92=$AR18,$D$92=$AR18),Schweine_Werte!$O18*0.5,IF(OR($C$92&gt;$AR18,$D$92&lt;$AR18),0,Schweine_Werte!$O18))</f>
        <v>0</v>
      </c>
      <c r="CB18" s="716">
        <f>IF(OR($C$101=$AR18,$D$101=$AR18),Schweine_Werte!$O18*0.5,IF(OR($C$101&gt;$AR18,$D$101&lt;$AR18),0,Schweine_Werte!$O18))</f>
        <v>0</v>
      </c>
      <c r="CC18" s="716">
        <f>IF(OR($C$110=$AR18,$D$110=$AR18),Schweine_Werte!$O18*0.5,IF(OR($C$110&gt;$AR18,$D$110&lt;$AR18),0,Schweine_Werte!$O18))</f>
        <v>0</v>
      </c>
    </row>
    <row r="19" spans="1:81" x14ac:dyDescent="0.2">
      <c r="B19" s="691">
        <v>850</v>
      </c>
      <c r="D19" s="716"/>
      <c r="E19" s="716" t="e">
        <f>($D24-$C24)*1000/SUM($BD$4:$BD$146)</f>
        <v>#VALUE!</v>
      </c>
      <c r="F19" s="716" t="e">
        <f>SUMPRODUCT($BD$4:$BD$146,Schweine_Werte!$S$4:$S$146)/SUM($BD$4:$BD$146)</f>
        <v>#DIV/0!</v>
      </c>
      <c r="G19" s="716" t="e">
        <f>IF($B24=$A$8,SUMPRODUCT($BD$4:$BD$146,Schweine_Werte!ET$4:ET$146)/SUM($BD$4:$BD$146),IF($B24=$A$7,SUMPRODUCT($BD$4:$BD$146,Schweine_Werte!DN$4:DN$146)/SUM($BD$4:$BD$146),IF($B24=$A$6,SUMPRODUCT($BD$4:$BD$146,Schweine_Werte!CH$4:CH$146)/SUM($BD$4:$BD$146),SUMPRODUCT($BD$4:$BD$146,Schweine_Werte!BB$4:BB$146)/SUM($BD$4:$BD$146))))</f>
        <v>#DIV/0!</v>
      </c>
      <c r="H19" s="716" t="e">
        <f>IF($B24=$A$8,SUMPRODUCT($BD$4:$BD$146,Schweine_Werte!EU$4:EU$146)/SUM($BD$4:$BD$146),IF($B24=$A$7,SUMPRODUCT($BD$4:$BD$146,Schweine_Werte!DO$4:DO$146)/SUM($BD$4:$BD$146),IF($B24=$A$6,SUMPRODUCT($BD$4:$BD$146,Schweine_Werte!CI$4:CI$146)/SUM($BD$4:$BD$146),SUMPRODUCT($BD$4:$BD$146,Schweine_Werte!BC$4:BC$146)/SUM($BD$4:$BD$146))))</f>
        <v>#DIV/0!</v>
      </c>
      <c r="I19" s="716" t="e">
        <f>IF($B24=$A$8,SUMPRODUCT($BD$4:$BD$146,Schweine_Werte!EV$4:EV$146)/SUM($BD$4:$BD$146),IF($B24=$A$7,SUMPRODUCT($BD$4:$BD$146,Schweine_Werte!DP$4:DP$146)/SUM($BD$4:$BD$146),IF($B24=$A$6,SUMPRODUCT($BD$4:$BD$146,Schweine_Werte!CJ$4:CJ$146)/SUM($BD$4:$BD$146),SUMPRODUCT($BD$4:$BD$146,Schweine_Werte!BD$4:BD$146)/SUM($BD$4:$BD$146))))</f>
        <v>#DIV/0!</v>
      </c>
      <c r="J19" s="716" t="e">
        <f>SUMPRODUCT($BD$4:$BD$146,Schweine_Werte!$AA$4:$AA$146)/SUM($BD$4:$BD$146)</f>
        <v>#DIV/0!</v>
      </c>
      <c r="K19" s="716" t="e">
        <f>SUMPRODUCT($BD$4:$BD$146,Schweine_Werte!$AI$4:$AI$146)/SUM($BD$4:$BD$146)</f>
        <v>#DIV/0!</v>
      </c>
      <c r="L19" s="804" t="e">
        <f>T19*$F19*365/1000+$J19-$K19</f>
        <v>#DIV/0!</v>
      </c>
      <c r="M19" s="716" t="e">
        <f>U19*$F19*365/1000+$J19-$K19/2</f>
        <v>#DIV/0!</v>
      </c>
      <c r="N19" s="716" t="e">
        <f>V19*$F19*365/1000+$J19</f>
        <v>#DIV/0!</v>
      </c>
      <c r="O19" s="716">
        <f>IF($C24&lt;28,SUM($BD$4:$BD$23)+IF($D24&gt;28,$BD$24*0.5,$BD$24),0)</f>
        <v>0</v>
      </c>
      <c r="P19" s="716">
        <f>IF($D24&gt;28,SUM($BD$25:$BD$146)+IF($C24&lt;28,$BD$24*0.5,$BD$24),0)</f>
        <v>0</v>
      </c>
      <c r="Q19" s="716" t="e">
        <f t="shared" si="8"/>
        <v>#DIV/0!</v>
      </c>
      <c r="R19" s="716" t="e">
        <f t="shared" si="8"/>
        <v>#DIV/0!</v>
      </c>
      <c r="S19" s="716" t="e">
        <f t="shared" si="8"/>
        <v>#DIV/0!</v>
      </c>
      <c r="T19" s="716" t="e">
        <f>+($O19*Schweine_Werte!$HT$7+$P19*Schweine_Werte!$HU$7)/SUM($O19:$P19)</f>
        <v>#DIV/0!</v>
      </c>
      <c r="U19" s="716" t="e">
        <f>+($O19*Schweine_Werte!$HV$7+$P19*Schweine_Werte!$HW$7)/SUM($O19:$P19)</f>
        <v>#DIV/0!</v>
      </c>
      <c r="V19" s="716" t="e">
        <f>+($O19*Schweine_Werte!$HX$7+$P19*Schweine_Werte!$HY$7)/SUM($O19:$P19)</f>
        <v>#DIV/0!</v>
      </c>
      <c r="W19" s="716" t="e">
        <f>($J19*0.055+T19*0.365*0.86*$F19-$K19*0.018)/L19*100</f>
        <v>#DIV/0!</v>
      </c>
      <c r="X19" s="716" t="e">
        <f>($J19*0.055+U19*0.365*0.86*$F19-$K19*0.018/2)/M19*100</f>
        <v>#DIV/0!</v>
      </c>
      <c r="Y19" s="716" t="e">
        <f>($J19*0.055+V19*0.365*0.86*$F19)/N19*100</f>
        <v>#DIV/0!</v>
      </c>
      <c r="Z19" s="716"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16"/>
      <c r="AB19" s="716">
        <f>IF($B24=$A$8,SUMIF(Schweine_Werte!$AO$4:$AO$146,$C24,Schweine_Werte!$EX$4:$EX$146),IF($B24=$A$7,SUMIF(Schweine_Werte!$AO$4:$AO$146,$C24,Schweine_Werte!$DR$4:$DR$146),IF($B24=$A$6,SUMIF(Schweine_Werte!$AO$4:$AO$146,$C24,Schweine_Werte!$CL$4:$CL$146),SUMIF(Schweine_Werte!$AO$4:$AO$146,$C24,Schweine_Werte!$BF$4:$BF$146))))</f>
        <v>0</v>
      </c>
      <c r="AC19" s="716"/>
      <c r="AD19" s="716">
        <f>IF($B24=$A$8,SUMIF(Schweine_Werte!$AO$4:$AO$146,$D24,Schweine_Werte!$EX$4:$EX$146),IF($B24=$A$7,SUMIF(Schweine_Werte!$AO$4:$AO$146,$D24,Schweine_Werte!$DR$4:$DR$146),IF($B24=$A$6,SUMIF(Schweine_Werte!$AO$4:$AO$146,$D24,Schweine_Werte!$CL$4:$CL$146),SUMIF(Schweine_Werte!$AO$4:$AO$146,$D24,Schweine_Werte!$BF$4:$BF$146))))</f>
        <v>0</v>
      </c>
      <c r="AE19" s="716"/>
      <c r="AF19" s="716"/>
      <c r="AG19" s="716" t="e">
        <f>IF($B24=$A$8,SUMPRODUCT($BD$4:$BD$146,Schweine_Werte!$EW$4:$EW$146)/SUM($BD$4:$BD$146),IF($B24=$A$7,SUMPRODUCT($BD$4:$BD$146,Schweine_Werte!$DQ$4:$DQ$146)/SUM($BD$4:$BD$146),IF($B24=$A$6,SUMPRODUCT($BD$4:$BD$146,Schweine_Werte!$CK$4:$CK$146)/SUM($BD$4:$BD$146),SUMPRODUCT($BD$4:$BD$146,Schweine_Werte!$BE$4:$BE$146)/SUM($BD$4:$BD$146))))</f>
        <v>#DIV/0!</v>
      </c>
      <c r="AH19" s="716"/>
      <c r="AI19" s="716"/>
      <c r="AJ19" s="716"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16"/>
      <c r="AL19" s="716">
        <f>IF($B24=$A$8,SUMIF(Schweine_Werte!$AO$4:$AO$146,$C24,Schweine_Werte!$EY$4:$EY$146),IF($B24=$A$7,SUMIF(Schweine_Werte!$AO$4:$AO$146,$C24,Schweine_Werte!$DS$4:$DS$146),IF($B24=$A$6,SUMIF(Schweine_Werte!$AO$4:$AO$146,$C24,Schweine_Werte!$CM$4:$CM$146),SUMIF(Schweine_Werte!$AO$4:$AO$146,$C24,Schweine_Werte!$BG$4:$BG$146))))</f>
        <v>0</v>
      </c>
      <c r="AM19" s="716"/>
      <c r="AN19" s="716">
        <f>IF($B24=$A$8,SUMIF(Schweine_Werte!$AO$4:$AO$146,$D24,Schweine_Werte!$EY$4:$EY$146),IF($B24=$A$7,SUMIF(Schweine_Werte!$AO$4:$AO$146,$D24,Schweine_Werte!$DS$4:$DS$146),IF($B24=$A$6,SUMIF(Schweine_Werte!$AO$4:$AO$146,$D24,Schweine_Werte!$CM$4:$CM$146),SUMIF(Schweine_Werte!$AO$4:$AO$146,$D24,Schweine_Werte!$BG$4:$BG$146))))</f>
        <v>0</v>
      </c>
      <c r="AO19" s="716"/>
      <c r="AR19" s="792">
        <v>23</v>
      </c>
      <c r="AS19" s="781">
        <f>IF(OR($C$12=$AR19,$D$12=$AR19),Schweine_Werte!$C19*0.5,IF(OR($C$12&gt;$AR19,$D$12&lt;$AR19),0,Schweine_Werte!$C19))</f>
        <v>0</v>
      </c>
      <c r="AT19" s="716">
        <f>IF(OR($C$24=$AR19,$D$24=$AR19),Schweine_Werte!$C19*0.5,IF(OR($C$24&gt;$AR19,$D$24&lt;$AR19),0,Schweine_Werte!$C19))</f>
        <v>0</v>
      </c>
      <c r="AU19" s="781">
        <f>IF(OR($C$36=$AR19,$D$36=$AR19),Schweine_Werte!$C19*0.5,IF(OR($C$36&gt;$AR19,$D$36&lt;$AR19),0,Schweine_Werte!$C19))</f>
        <v>0</v>
      </c>
      <c r="AV19" s="781">
        <f>IF(OR($C$48=$AR19,$D$48=$AR19),Schweine_Werte!$C19*0.5,IF(OR($C$48&gt;$AR19,$D$48&lt;$AR19),0,Schweine_Werte!$C19))</f>
        <v>0</v>
      </c>
      <c r="AW19" s="781">
        <f>IF(OR($C$60=$AR19,$D$60=$AR19),Schweine_Werte!$C19*0.5,IF(OR($C$60&gt;$AR19,$D$60&lt;$AR19),0,Schweine_Werte!$C19))</f>
        <v>0</v>
      </c>
      <c r="AX19" s="781">
        <f>IF(OR($C$12=$AR19,$D$12=$AR19),Schweine_Werte!$E19*0.5,IF(OR($C$12&gt;$AR19,$D$12&lt;$AR19),0,Schweine_Werte!$E19))</f>
        <v>0</v>
      </c>
      <c r="AY19" s="716">
        <f>IF(OR($C$24=$AR19,$D$24=$AR19),Schweine_Werte!$E19*0.5,IF(OR($C$24&gt;$AR19,$D$24&lt;$AR19),0,Schweine_Werte!$E19))</f>
        <v>0</v>
      </c>
      <c r="AZ19" s="716">
        <f>IF(OR($C$36=$AR19,$D$36=$AR19),Schweine_Werte!$E19*0.5,IF(OR($C$36&gt;$AR19,$D$36&lt;$AR19),0,Schweine_Werte!$E19))</f>
        <v>0</v>
      </c>
      <c r="BA19" s="716">
        <f>IF(OR($C$48=$AR19,$D$48=$AR19),Schweine_Werte!$E19*0.5,IF(OR($C$48&gt;$AR19,$D$48&lt;$AR19),0,Schweine_Werte!$E19))</f>
        <v>0</v>
      </c>
      <c r="BB19" s="716">
        <f>IF(OR($C$60=$AR19,$D$60=$AR19),Schweine_Werte!$E19*0.5,IF(OR($C$60&gt;$AR19,$D$60&lt;$AR19),0,Schweine_Werte!$E19))</f>
        <v>0</v>
      </c>
      <c r="BC19" s="781">
        <f>IF(OR($C$12=$AR19,$D$12=$AR19),Schweine_Werte!$G19*0.5,IF(OR($C$12&gt;$AR19,$D$12&lt;$AR19),0,Schweine_Werte!$G19))</f>
        <v>0</v>
      </c>
      <c r="BD19" s="716">
        <f>IF(OR($C$24=$AR19,$D$24=$AR19),Schweine_Werte!$G19*0.5,IF(OR($C$24&gt;$AR19,$D$24&lt;$AR19),0,Schweine_Werte!$G19))</f>
        <v>0</v>
      </c>
      <c r="BE19" s="716">
        <f>IF(OR($C$36=$AR19,$D$36=$AR19),Schweine_Werte!$G19*0.5,IF(OR($C$36&gt;$AR19,$D$36&lt;$AR19),0,Schweine_Werte!$G19))</f>
        <v>0</v>
      </c>
      <c r="BF19" s="716">
        <f>IF(OR($C$48=$AR19,$D$48=$AR19),Schweine_Werte!$G19*0.5,IF(OR($C$48&gt;$AR19,$D$48&lt;$AR19),0,Schweine_Werte!$G19))</f>
        <v>0</v>
      </c>
      <c r="BG19" s="716">
        <f>IF(OR($C$60=$AR19,$D$60=$AR19),Schweine_Werte!$G19*0.5,IF(OR($C$60&gt;$AR19,$D$60&lt;$AR19),0,Schweine_Werte!$G19))</f>
        <v>0</v>
      </c>
      <c r="BH19" s="781">
        <f>IF(OR($C$12=$AR19,$D$12=$AR19),Schweine_Werte!$I19*0.5,IF(OR($C$12&gt;$AR19,$D$12&lt;$AR19),0,Schweine_Werte!$I19))</f>
        <v>0</v>
      </c>
      <c r="BI19" s="716">
        <f>IF(OR($C$24=$AR19,$D$24=$AR19),Schweine_Werte!$I19*0.5,IF(OR($C$24&gt;$AR19,$D$24&lt;$AR19),0,Schweine_Werte!$I19))</f>
        <v>0</v>
      </c>
      <c r="BJ19" s="716">
        <f>IF(OR($C$36=$AR19,$D$36=$AR19),Schweine_Werte!$I19*0.5,IF(OR($C$36&gt;$AR19,$D$36&lt;$AR19),0,Schweine_Werte!$I19))</f>
        <v>0</v>
      </c>
      <c r="BK19" s="716">
        <f>IF(OR($C$48=$AR19,$D$48=$AR19),Schweine_Werte!$I19*0.5,IF(OR($C$48&gt;$AR19,$D$48&lt;$AR19),0,Schweine_Werte!$I19))</f>
        <v>0</v>
      </c>
      <c r="BL19" s="716">
        <f>IF(OR($C$60=$AR19,$D$60=$AR19),Schweine_Werte!$I19*0.5,IF(OR($C$60&gt;$AR19,$D$60&lt;$AR19),0,Schweine_Werte!$I19))</f>
        <v>0</v>
      </c>
      <c r="BM19" s="781"/>
      <c r="BN19" s="716"/>
      <c r="BO19" s="716"/>
      <c r="BP19" s="716"/>
      <c r="BQ19" s="716"/>
      <c r="BR19" s="781">
        <f>IF(OR($C$74=$AR19,$D$74=$AR19),Schweine_Werte!$M19*0.5,IF(OR($C$74&gt;$AR19,$D$74&lt;$AR19),0,Schweine_Werte!$M19))</f>
        <v>0</v>
      </c>
      <c r="BS19" s="781">
        <f>IF(OR($C$83=$AR19,$D$83=$AR19),Schweine_Werte!$M19*0.5,IF(OR($C$83&gt;$AR19,$D$83&lt;$AR19),0,Schweine_Werte!$M19))</f>
        <v>0</v>
      </c>
      <c r="BT19" s="716">
        <f>IF(OR($C$92=$AR19,$D$92=$AR19),Schweine_Werte!$M19*0.5,IF(OR($C$92&gt;$AR19,$D$92&lt;$AR19),0,Schweine_Werte!$M19))</f>
        <v>0</v>
      </c>
      <c r="BU19" s="716">
        <f>IF(OR($C$101=$AR19,$D$101=$AR19),Schweine_Werte!$M19*0.5,IF(OR($C$101&gt;$AR19,$D$101&lt;$AR19),0,Schweine_Werte!$M19))</f>
        <v>0</v>
      </c>
      <c r="BV19" s="716">
        <f>IF(OR($C$110=$AR19,$D$110=$AR19),Schweine_Werte!$M19*0.5,IF(OR($C$110&gt;$AR19,$D$110&lt;$AR19),0,Schweine_Werte!$M19))</f>
        <v>0</v>
      </c>
      <c r="BW19" s="716">
        <f>IF(OR(8=$AR19,$E$127=$AR19),Schweine_Werte!$M19*0.5,IF(OR(8&gt;$AR19,$E$127&lt;$AR19),0,Schweine_Werte!$M19))</f>
        <v>1.8188737966224373</v>
      </c>
      <c r="BX19" s="716">
        <f>IF(OR(8=$AR19,$E$145=$AR19),Schweine_Werte!$M19*0.5,IF(OR(8&gt;$AR19,$E$145&lt;$AR19),0,Schweine_Werte!$M19))</f>
        <v>1.8188737966224373</v>
      </c>
      <c r="BY19" s="781">
        <f>IF(OR($C$74=$AR19,$D$74=$AR19),Schweine_Werte!$O19*0.5,IF(OR($C$74&gt;$AR19,$D$74&lt;$AR19),0,Schweine_Werte!$O19))</f>
        <v>0</v>
      </c>
      <c r="BZ19" s="781">
        <f>IF(OR($C$83=$AR19,$D$83=$AR19),Schweine_Werte!$O19*0.5,IF(OR($C$83&gt;$AR19,$D$83&lt;$AR19),0,Schweine_Werte!$O19))</f>
        <v>0</v>
      </c>
      <c r="CA19" s="716">
        <f>IF(OR($C$92=$AR19,$D$92=$AR19),Schweine_Werte!$O19*0.5,IF(OR($C$92&gt;$AR19,$D$92&lt;$AR19),0,Schweine_Werte!$O19))</f>
        <v>0</v>
      </c>
      <c r="CB19" s="716">
        <f>IF(OR($C$101=$AR19,$D$101=$AR19),Schweine_Werte!$O19*0.5,IF(OR($C$101&gt;$AR19,$D$101&lt;$AR19),0,Schweine_Werte!$O19))</f>
        <v>0</v>
      </c>
      <c r="CC19" s="716">
        <f>IF(OR($C$110=$AR19,$D$110=$AR19),Schweine_Werte!$O19*0.5,IF(OR($C$110&gt;$AR19,$D$110&lt;$AR19),0,Schweine_Werte!$O19))</f>
        <v>0</v>
      </c>
    </row>
    <row r="20" spans="1:81" x14ac:dyDescent="0.2">
      <c r="B20" s="691">
        <v>950</v>
      </c>
      <c r="D20" s="716"/>
      <c r="E20" s="716" t="e">
        <f>($D24-$C24)*1000/SUM($BI$4:$BI$146)</f>
        <v>#VALUE!</v>
      </c>
      <c r="F20" s="716" t="e">
        <f>SUMPRODUCT($BI$4:$BI$146,Schweine_Werte!$T$4:$T$146)/SUM($BI$4:$BI$146)</f>
        <v>#DIV/0!</v>
      </c>
      <c r="G20" s="716" t="e">
        <f>IF($B24=$A$8,SUMPRODUCT($BI$4:$BI$146,Schweine_Werte!EZ$4:EZ$146)/SUM($BI$4:$BI$146),IF($B24=$A$7,SUMPRODUCT($BI$4:$BI$146,Schweine_Werte!DT$4:DT$146)/SUM($BI$4:$BI$146),IF($B24=$A$6,SUMPRODUCT($BI$4:$BI$146,Schweine_Werte!CN$4:CN$146)/SUM($BI$4:$BI$146),SUMPRODUCT($BI$4:$BI$146,Schweine_Werte!BH$4:BH$146)/SUM($BI$4:$BI$146))))</f>
        <v>#DIV/0!</v>
      </c>
      <c r="H20" s="716" t="e">
        <f>IF($B24=$A$8,SUMPRODUCT($BI$4:$BI$146,Schweine_Werte!FA$4:FA$146)/SUM($BI$4:$BI$146),IF($B24=$A$7,SUMPRODUCT($BI$4:$BI$146,Schweine_Werte!DU$4:DU$146)/SUM($BI$4:$BI$146),IF($B24=$A$6,SUMPRODUCT($BI$4:$BI$146,Schweine_Werte!CO$4:CO$146)/SUM($BI$4:$BI$146),SUMPRODUCT($BI$4:$BI$146,Schweine_Werte!BI$4:BI$146)/SUM($BI$4:$BI$146))))</f>
        <v>#DIV/0!</v>
      </c>
      <c r="I20" s="716" t="e">
        <f>IF($B24=$A$8,SUMPRODUCT($BI$4:$BI$146,Schweine_Werte!FB$4:FB$146)/SUM($BI$4:$BI$146),IF($B24=$A$7,SUMPRODUCT($BI$4:$BI$146,Schweine_Werte!DV$4:DV$146)/SUM($BI$4:$BI$146),IF($B24=$A$6,SUMPRODUCT($BI$4:$BI$146,Schweine_Werte!CP$4:CP$146)/SUM($BI$4:$BI$146),SUMPRODUCT($BI$4:$BI$146,Schweine_Werte!BJ$4:BJ$146)/SUM($BI$4:$BI$146))))</f>
        <v>#DIV/0!</v>
      </c>
      <c r="J20" s="716" t="e">
        <f>SUMPRODUCT($BI$4:$BI$146,Schweine_Werte!$AB$4:$AB$146)/SUM($BI$4:$BI$146)</f>
        <v>#DIV/0!</v>
      </c>
      <c r="K20" s="716" t="e">
        <f>SUMPRODUCT($BI$4:$BI$146,Schweine_Werte!$AJ$4:$AJ$146)/SUM($BI$4:$BI$146)</f>
        <v>#DIV/0!</v>
      </c>
      <c r="L20" s="804" t="e">
        <f>T20*$F20*365/1000+$J20-$K20</f>
        <v>#DIV/0!</v>
      </c>
      <c r="M20" s="716" t="e">
        <f>U20*$F20*365/1000+$J20-$K20/2</f>
        <v>#DIV/0!</v>
      </c>
      <c r="N20" s="716" t="e">
        <f>V20*$F20*365/1000+$J20</f>
        <v>#DIV/0!</v>
      </c>
      <c r="O20" s="716">
        <f>IF($C24&lt;28,SUM($BI$4:$BI$23)+IF($D24&gt;28,$BI$24*0.5,$BI$24),0)</f>
        <v>0</v>
      </c>
      <c r="P20" s="716">
        <f>IF($D24&gt;28,SUM($BI$25:$BI$146)+IF($C24&lt;28,$BI$24*0.5,$BI$24),0)</f>
        <v>0</v>
      </c>
      <c r="Q20" s="716" t="e">
        <f t="shared" si="8"/>
        <v>#DIV/0!</v>
      </c>
      <c r="R20" s="716" t="e">
        <f t="shared" si="8"/>
        <v>#DIV/0!</v>
      </c>
      <c r="S20" s="716" t="e">
        <f t="shared" si="8"/>
        <v>#DIV/0!</v>
      </c>
      <c r="T20" s="716" t="e">
        <f>+($O20*Schweine_Werte!$HT$8+$P20*Schweine_Werte!$HU$8)/SUM($O20:$P20)</f>
        <v>#DIV/0!</v>
      </c>
      <c r="U20" s="716" t="e">
        <f>+($O20*Schweine_Werte!$HV$8+$P20*Schweine_Werte!$HW$8)/SUM($O20:$P20)</f>
        <v>#DIV/0!</v>
      </c>
      <c r="V20" s="716" t="e">
        <f>+($O20*Schweine_Werte!$HX$8+$P20*Schweine_Werte!$HY$8)/SUM($O20:$P20)</f>
        <v>#DIV/0!</v>
      </c>
      <c r="W20" s="771" t="e">
        <f>($J20*0.055+T20*0.365*0.86*$F20-$K20*0.018)/L20*100</f>
        <v>#DIV/0!</v>
      </c>
      <c r="X20" s="716" t="e">
        <f>($J20*0.055+U20*0.365*0.86*$F20-$K20*0.018/2)/M20*100</f>
        <v>#DIV/0!</v>
      </c>
      <c r="Y20" s="716" t="e">
        <f>($J20*0.055+V20*0.365*0.86*$F20)/N20*100</f>
        <v>#DIV/0!</v>
      </c>
      <c r="Z20" s="716"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16"/>
      <c r="AB20" s="716">
        <f>IF($B24=$A$8,SUMIF(Schweine_Werte!$AO$4:$AO$146,$C24,Schweine_Werte!$FD$4:$FD$146),IF($B24=$A$7,SUMIF(Schweine_Werte!$AO$4:$AO$146,$C24,Schweine_Werte!$DX$4:$DX$146),IF($B24=$A$6,SUMIF(Schweine_Werte!$AO$4:$AO$146,$C24,Schweine_Werte!$CR$4:$CR$146),SUMIF(Schweine_Werte!$AO$4:$AO$146,$C24,Schweine_Werte!$BL$4:$BL$146))))</f>
        <v>0</v>
      </c>
      <c r="AC20" s="716"/>
      <c r="AD20" s="716">
        <f>IF($B24=$A$8,SUMIF(Schweine_Werte!$AO$4:$AO$146,$D24,Schweine_Werte!$FD$4:$FD$146),IF($B24=$A$7,SUMIF(Schweine_Werte!$AO$4:$AO$146,$D24,Schweine_Werte!$DX$4:$DX$146),IF($B24=$A$6,SUMIF(Schweine_Werte!$AO$4:$AO$146,$D24,Schweine_Werte!$CR$4:$CR$146),SUMIF(Schweine_Werte!$AO$4:$AO$146,$D24,Schweine_Werte!$BL$4:$BL$146))))</f>
        <v>0</v>
      </c>
      <c r="AE20" s="716"/>
      <c r="AF20" s="716"/>
      <c r="AG20" s="716" t="e">
        <f>IF($B24=$A$8,SUMPRODUCT($BI$4:$BI$146,Schweine_Werte!$FC$4:$FC$146)/SUM($BI$4:$BI$146),IF($B24=$A$7,SUMPRODUCT($BI$4:$BI$146,Schweine_Werte!$DW$4:$DW$146)/SUM($BI$4:$BI$146),IF($B24=$A$6,SUMPRODUCT($BI$4:$BI$146,Schweine_Werte!$CQ$4:$CQ$146)/SUM($BI$4:$BI$146),SUMPRODUCT($BI$4:$BI$146,Schweine_Werte!$BK$4:$BK$146)/SUM($BI$4:$BI$146))))</f>
        <v>#DIV/0!</v>
      </c>
      <c r="AH20" s="716"/>
      <c r="AI20" s="716"/>
      <c r="AJ20" s="716"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16"/>
      <c r="AL20" s="716">
        <f>IF($B24=$A$8,SUMIF(Schweine_Werte!$AO$4:$AO$146,$C24,Schweine_Werte!$FE$4:$FE$146),IF($B24=$A$7,SUMIF(Schweine_Werte!$AO$4:$AO$146,$C24,Schweine_Werte!$DY$4:$DY$146),IF($B24=$A$6,SUMIF(Schweine_Werte!$AO$4:$AO$146,$C24,Schweine_Werte!$CS$4:$CS$146),SUMIF(Schweine_Werte!$AO$4:$AO$146,$C24,Schweine_Werte!$BM$4:$BM$146))))</f>
        <v>0</v>
      </c>
      <c r="AM20" s="716"/>
      <c r="AN20" s="716">
        <f>IF($B24=$A$8,SUMIF(Schweine_Werte!$AO$4:$AO$146,$D24,Schweine_Werte!$FE$4:$FE$146),IF($B24=$A$7,SUMIF(Schweine_Werte!$AO$4:$AO$146,$D24,Schweine_Werte!$DY$4:$DY$146),IF($B24=$A$6,SUMIF(Schweine_Werte!$AO$4:$AO$146,$D24,Schweine_Werte!$CS$4:$CS$146),SUMIF(Schweine_Werte!$AO$4:$AO$146,$D24,Schweine_Werte!$BM$4:$BM$146))))</f>
        <v>0</v>
      </c>
      <c r="AO20" s="716"/>
      <c r="AR20" s="792">
        <v>24</v>
      </c>
      <c r="AS20" s="781">
        <f>IF(OR($C$12=$AR20,$D$12=$AR20),Schweine_Werte!$C20*0.5,IF(OR($C$12&gt;$AR20,$D$12&lt;$AR20),0,Schweine_Werte!$C20))</f>
        <v>0</v>
      </c>
      <c r="AT20" s="716">
        <f>IF(OR($C$24=$AR20,$D$24=$AR20),Schweine_Werte!$C20*0.5,IF(OR($C$24&gt;$AR20,$D$24&lt;$AR20),0,Schweine_Werte!$C20))</f>
        <v>0</v>
      </c>
      <c r="AU20" s="781">
        <f>IF(OR($C$36=$AR20,$D$36=$AR20),Schweine_Werte!$C20*0.5,IF(OR($C$36&gt;$AR20,$D$36&lt;$AR20),0,Schweine_Werte!$C20))</f>
        <v>0</v>
      </c>
      <c r="AV20" s="781">
        <f>IF(OR($C$48=$AR20,$D$48=$AR20),Schweine_Werte!$C20*0.5,IF(OR($C$48&gt;$AR20,$D$48&lt;$AR20),0,Schweine_Werte!$C20))</f>
        <v>0</v>
      </c>
      <c r="AW20" s="781">
        <f>IF(OR($C$60=$AR20,$D$60=$AR20),Schweine_Werte!$C20*0.5,IF(OR($C$60&gt;$AR20,$D$60&lt;$AR20),0,Schweine_Werte!$C20))</f>
        <v>0</v>
      </c>
      <c r="AX20" s="781">
        <f>IF(OR($C$12=$AR20,$D$12=$AR20),Schweine_Werte!$E20*0.5,IF(OR($C$12&gt;$AR20,$D$12&lt;$AR20),0,Schweine_Werte!$E20))</f>
        <v>0</v>
      </c>
      <c r="AY20" s="716">
        <f>IF(OR($C$24=$AR20,$D$24=$AR20),Schweine_Werte!$E20*0.5,IF(OR($C$24&gt;$AR20,$D$24&lt;$AR20),0,Schweine_Werte!$E20))</f>
        <v>0</v>
      </c>
      <c r="AZ20" s="716">
        <f>IF(OR($C$36=$AR20,$D$36=$AR20),Schweine_Werte!$E20*0.5,IF(OR($C$36&gt;$AR20,$D$36&lt;$AR20),0,Schweine_Werte!$E20))</f>
        <v>0</v>
      </c>
      <c r="BA20" s="716">
        <f>IF(OR($C$48=$AR20,$D$48=$AR20),Schweine_Werte!$E20*0.5,IF(OR($C$48&gt;$AR20,$D$48&lt;$AR20),0,Schweine_Werte!$E20))</f>
        <v>0</v>
      </c>
      <c r="BB20" s="716">
        <f>IF(OR($C$60=$AR20,$D$60=$AR20),Schweine_Werte!$E20*0.5,IF(OR($C$60&gt;$AR20,$D$60&lt;$AR20),0,Schweine_Werte!$E20))</f>
        <v>0</v>
      </c>
      <c r="BC20" s="781">
        <f>IF(OR($C$12=$AR20,$D$12=$AR20),Schweine_Werte!$G20*0.5,IF(OR($C$12&gt;$AR20,$D$12&lt;$AR20),0,Schweine_Werte!$G20))</f>
        <v>0</v>
      </c>
      <c r="BD20" s="716">
        <f>IF(OR($C$24=$AR20,$D$24=$AR20),Schweine_Werte!$G20*0.5,IF(OR($C$24&gt;$AR20,$D$24&lt;$AR20),0,Schweine_Werte!$G20))</f>
        <v>0</v>
      </c>
      <c r="BE20" s="716">
        <f>IF(OR($C$36=$AR20,$D$36=$AR20),Schweine_Werte!$G20*0.5,IF(OR($C$36&gt;$AR20,$D$36&lt;$AR20),0,Schweine_Werte!$G20))</f>
        <v>0</v>
      </c>
      <c r="BF20" s="716">
        <f>IF(OR($C$48=$AR20,$D$48=$AR20),Schweine_Werte!$G20*0.5,IF(OR($C$48&gt;$AR20,$D$48&lt;$AR20),0,Schweine_Werte!$G20))</f>
        <v>0</v>
      </c>
      <c r="BG20" s="716">
        <f>IF(OR($C$60=$AR20,$D$60=$AR20),Schweine_Werte!$G20*0.5,IF(OR($C$60&gt;$AR20,$D$60&lt;$AR20),0,Schweine_Werte!$G20))</f>
        <v>0</v>
      </c>
      <c r="BH20" s="781">
        <f>IF(OR($C$12=$AR20,$D$12=$AR20),Schweine_Werte!$I20*0.5,IF(OR($C$12&gt;$AR20,$D$12&lt;$AR20),0,Schweine_Werte!$I20))</f>
        <v>0</v>
      </c>
      <c r="BI20" s="716">
        <f>IF(OR($C$24=$AR20,$D$24=$AR20),Schweine_Werte!$I20*0.5,IF(OR($C$24&gt;$AR20,$D$24&lt;$AR20),0,Schweine_Werte!$I20))</f>
        <v>0</v>
      </c>
      <c r="BJ20" s="716">
        <f>IF(OR($C$36=$AR20,$D$36=$AR20),Schweine_Werte!$I20*0.5,IF(OR($C$36&gt;$AR20,$D$36&lt;$AR20),0,Schweine_Werte!$I20))</f>
        <v>0</v>
      </c>
      <c r="BK20" s="716">
        <f>IF(OR($C$48=$AR20,$D$48=$AR20),Schweine_Werte!$I20*0.5,IF(OR($C$48&gt;$AR20,$D$48&lt;$AR20),0,Schweine_Werte!$I20))</f>
        <v>0</v>
      </c>
      <c r="BL20" s="716">
        <f>IF(OR($C$60=$AR20,$D$60=$AR20),Schweine_Werte!$I20*0.5,IF(OR($C$60&gt;$AR20,$D$60&lt;$AR20),0,Schweine_Werte!$I20))</f>
        <v>0</v>
      </c>
      <c r="BM20" s="781"/>
      <c r="BN20" s="716"/>
      <c r="BO20" s="716"/>
      <c r="BP20" s="716"/>
      <c r="BQ20" s="716"/>
      <c r="BR20" s="781">
        <f>IF(OR($C$74=$AR20,$D$74=$AR20),Schweine_Werte!$M20*0.5,IF(OR($C$74&gt;$AR20,$D$74&lt;$AR20),0,Schweine_Werte!$M20))</f>
        <v>0</v>
      </c>
      <c r="BS20" s="781">
        <f>IF(OR($C$83=$AR20,$D$83=$AR20),Schweine_Werte!$M20*0.5,IF(OR($C$83&gt;$AR20,$D$83&lt;$AR20),0,Schweine_Werte!$M20))</f>
        <v>0</v>
      </c>
      <c r="BT20" s="716">
        <f>IF(OR($C$92=$AR20,$D$92=$AR20),Schweine_Werte!$M20*0.5,IF(OR($C$92&gt;$AR20,$D$92&lt;$AR20),0,Schweine_Werte!$M20))</f>
        <v>0</v>
      </c>
      <c r="BU20" s="716">
        <f>IF(OR($C$101=$AR20,$D$101=$AR20),Schweine_Werte!$M20*0.5,IF(OR($C$101&gt;$AR20,$D$101&lt;$AR20),0,Schweine_Werte!$M20))</f>
        <v>0</v>
      </c>
      <c r="BV20" s="716">
        <f>IF(OR($C$110=$AR20,$D$110=$AR20),Schweine_Werte!$M20*0.5,IF(OR($C$110&gt;$AR20,$D$110&lt;$AR20),0,Schweine_Werte!$M20))</f>
        <v>0</v>
      </c>
      <c r="BW20" s="716">
        <f>IF(OR(8=$AR20,$E$127=$AR20),Schweine_Werte!$M20*0.5,IF(OR(8&gt;$AR20,$E$127&lt;$AR20),0,Schweine_Werte!$M20))</f>
        <v>1.7752316048769723</v>
      </c>
      <c r="BX20" s="716">
        <f>IF(OR(8=$AR20,$E$145=$AR20),Schweine_Werte!$M20*0.5,IF(OR(8&gt;$AR20,$E$145&lt;$AR20),0,Schweine_Werte!$M20))</f>
        <v>1.7752316048769723</v>
      </c>
      <c r="BY20" s="781">
        <f>IF(OR($C$74=$AR20,$D$74=$AR20),Schweine_Werte!$O20*0.5,IF(OR($C$74&gt;$AR20,$D$74&lt;$AR20),0,Schweine_Werte!$O20))</f>
        <v>0</v>
      </c>
      <c r="BZ20" s="781">
        <f>IF(OR($C$83=$AR20,$D$83=$AR20),Schweine_Werte!$O20*0.5,IF(OR($C$83&gt;$AR20,$D$83&lt;$AR20),0,Schweine_Werte!$O20))</f>
        <v>0</v>
      </c>
      <c r="CA20" s="716">
        <f>IF(OR($C$92=$AR20,$D$92=$AR20),Schweine_Werte!$O20*0.5,IF(OR($C$92&gt;$AR20,$D$92&lt;$AR20),0,Schweine_Werte!$O20))</f>
        <v>0</v>
      </c>
      <c r="CB20" s="716">
        <f>IF(OR($C$101=$AR20,$D$101=$AR20),Schweine_Werte!$O20*0.5,IF(OR($C$101&gt;$AR20,$D$101&lt;$AR20),0,Schweine_Werte!$O20))</f>
        <v>0</v>
      </c>
      <c r="CC20" s="716">
        <f>IF(OR($C$110=$AR20,$D$110=$AR20),Schweine_Werte!$O20*0.5,IF(OR($C$110&gt;$AR20,$D$110&lt;$AR20),0,Schweine_Werte!$O20))</f>
        <v>0</v>
      </c>
    </row>
    <row r="21" spans="1:81" x14ac:dyDescent="0.2">
      <c r="B21" s="691"/>
      <c r="D21" s="716"/>
      <c r="E21" s="716"/>
      <c r="F21" s="716"/>
      <c r="G21" s="716"/>
      <c r="H21" s="716"/>
      <c r="I21" s="716"/>
      <c r="J21" s="716"/>
      <c r="K21" s="716"/>
      <c r="L21" s="716"/>
      <c r="M21" s="716"/>
      <c r="N21" s="716"/>
      <c r="O21" s="716"/>
      <c r="P21" s="716"/>
      <c r="Q21" s="716"/>
      <c r="R21" s="716"/>
      <c r="S21" s="716"/>
      <c r="T21" s="716"/>
      <c r="U21" s="716"/>
      <c r="V21" s="716"/>
      <c r="W21" s="771"/>
      <c r="X21" s="716"/>
      <c r="Y21" s="716"/>
      <c r="Z21" s="716"/>
      <c r="AA21" s="716"/>
      <c r="AB21" s="716"/>
      <c r="AC21" s="716"/>
      <c r="AD21" s="716"/>
      <c r="AE21" s="716"/>
      <c r="AF21" s="716"/>
      <c r="AG21" s="716"/>
      <c r="AH21" s="716"/>
      <c r="AI21" s="716"/>
      <c r="AJ21" s="716"/>
      <c r="AK21" s="716"/>
      <c r="AL21" s="716"/>
      <c r="AM21" s="716"/>
      <c r="AN21" s="716"/>
      <c r="AO21" s="716"/>
      <c r="AR21" s="792">
        <v>25</v>
      </c>
      <c r="AS21" s="781">
        <f>IF(OR($C$12=$AR21,$D$12=$AR21),Schweine_Werte!$C21*0.5,IF(OR($C$12&gt;$AR21,$D$12&lt;$AR21),0,Schweine_Werte!$C21))</f>
        <v>0</v>
      </c>
      <c r="AT21" s="716">
        <f>IF(OR($C$24=$AR21,$D$24=$AR21),Schweine_Werte!$C21*0.5,IF(OR($C$24&gt;$AR21,$D$24&lt;$AR21),0,Schweine_Werte!$C21))</f>
        <v>0</v>
      </c>
      <c r="AU21" s="781">
        <f>IF(OR($C$36=$AR21,$D$36=$AR21),Schweine_Werte!$C21*0.5,IF(OR($C$36&gt;$AR21,$D$36&lt;$AR21),0,Schweine_Werte!$C21))</f>
        <v>0</v>
      </c>
      <c r="AV21" s="781">
        <f>IF(OR($C$48=$AR21,$D$48=$AR21),Schweine_Werte!$C21*0.5,IF(OR($C$48&gt;$AR21,$D$48&lt;$AR21),0,Schweine_Werte!$C21))</f>
        <v>0</v>
      </c>
      <c r="AW21" s="781">
        <f>IF(OR($C$60=$AR21,$D$60=$AR21),Schweine_Werte!$C21*0.5,IF(OR($C$60&gt;$AR21,$D$60&lt;$AR21),0,Schweine_Werte!$C21))</f>
        <v>0</v>
      </c>
      <c r="AX21" s="781">
        <f>IF(OR($C$12=$AR21,$D$12=$AR21),Schweine_Werte!$E21*0.5,IF(OR($C$12&gt;$AR21,$D$12&lt;$AR21),0,Schweine_Werte!$E21))</f>
        <v>0</v>
      </c>
      <c r="AY21" s="716">
        <f>IF(OR($C$24=$AR21,$D$24=$AR21),Schweine_Werte!$E21*0.5,IF(OR($C$24&gt;$AR21,$D$24&lt;$AR21),0,Schweine_Werte!$E21))</f>
        <v>0</v>
      </c>
      <c r="AZ21" s="716">
        <f>IF(OR($C$36=$AR21,$D$36=$AR21),Schweine_Werte!$E21*0.5,IF(OR($C$36&gt;$AR21,$D$36&lt;$AR21),0,Schweine_Werte!$E21))</f>
        <v>0</v>
      </c>
      <c r="BA21" s="716">
        <f>IF(OR($C$48=$AR21,$D$48=$AR21),Schweine_Werte!$E21*0.5,IF(OR($C$48&gt;$AR21,$D$48&lt;$AR21),0,Schweine_Werte!$E21))</f>
        <v>0</v>
      </c>
      <c r="BB21" s="716">
        <f>IF(OR($C$60=$AR21,$D$60=$AR21),Schweine_Werte!$E21*0.5,IF(OR($C$60&gt;$AR21,$D$60&lt;$AR21),0,Schweine_Werte!$E21))</f>
        <v>0</v>
      </c>
      <c r="BC21" s="781">
        <f>IF(OR($C$12=$AR21,$D$12=$AR21),Schweine_Werte!$G21*0.5,IF(OR($C$12&gt;$AR21,$D$12&lt;$AR21),0,Schweine_Werte!$G21))</f>
        <v>0</v>
      </c>
      <c r="BD21" s="716">
        <f>IF(OR($C$24=$AR21,$D$24=$AR21),Schweine_Werte!$G21*0.5,IF(OR($C$24&gt;$AR21,$D$24&lt;$AR21),0,Schweine_Werte!$G21))</f>
        <v>0</v>
      </c>
      <c r="BE21" s="716">
        <f>IF(OR($C$36=$AR21,$D$36=$AR21),Schweine_Werte!$G21*0.5,IF(OR($C$36&gt;$AR21,$D$36&lt;$AR21),0,Schweine_Werte!$G21))</f>
        <v>0</v>
      </c>
      <c r="BF21" s="716">
        <f>IF(OR($C$48=$AR21,$D$48=$AR21),Schweine_Werte!$G21*0.5,IF(OR($C$48&gt;$AR21,$D$48&lt;$AR21),0,Schweine_Werte!$G21))</f>
        <v>0</v>
      </c>
      <c r="BG21" s="716">
        <f>IF(OR($C$60=$AR21,$D$60=$AR21),Schweine_Werte!$G21*0.5,IF(OR($C$60&gt;$AR21,$D$60&lt;$AR21),0,Schweine_Werte!$G21))</f>
        <v>0</v>
      </c>
      <c r="BH21" s="781">
        <f>IF(OR($C$12=$AR21,$D$12=$AR21),Schweine_Werte!$I21*0.5,IF(OR($C$12&gt;$AR21,$D$12&lt;$AR21),0,Schweine_Werte!$I21))</f>
        <v>0</v>
      </c>
      <c r="BI21" s="716">
        <f>IF(OR($C$24=$AR21,$D$24=$AR21),Schweine_Werte!$I21*0.5,IF(OR($C$24&gt;$AR21,$D$24&lt;$AR21),0,Schweine_Werte!$I21))</f>
        <v>0</v>
      </c>
      <c r="BJ21" s="716">
        <f>IF(OR($C$36=$AR21,$D$36=$AR21),Schweine_Werte!$I21*0.5,IF(OR($C$36&gt;$AR21,$D$36&lt;$AR21),0,Schweine_Werte!$I21))</f>
        <v>0</v>
      </c>
      <c r="BK21" s="716">
        <f>IF(OR($C$48=$AR21,$D$48=$AR21),Schweine_Werte!$I21*0.5,IF(OR($C$48&gt;$AR21,$D$48&lt;$AR21),0,Schweine_Werte!$I21))</f>
        <v>0</v>
      </c>
      <c r="BL21" s="716">
        <f>IF(OR($C$60=$AR21,$D$60=$AR21),Schweine_Werte!$I21*0.5,IF(OR($C$60&gt;$AR21,$D$60&lt;$AR21),0,Schweine_Werte!$I21))</f>
        <v>0</v>
      </c>
      <c r="BM21" s="781"/>
      <c r="BN21" s="716"/>
      <c r="BO21" s="716"/>
      <c r="BP21" s="716"/>
      <c r="BQ21" s="716"/>
      <c r="BR21" s="781">
        <f>IF(OR($C$74=$AR21,$D$74=$AR21),Schweine_Werte!$M21*0.5,IF(OR($C$74&gt;$AR21,$D$74&lt;$AR21),0,Schweine_Werte!$M21))</f>
        <v>0</v>
      </c>
      <c r="BS21" s="781">
        <f>IF(OR($C$83=$AR21,$D$83=$AR21),Schweine_Werte!$M21*0.5,IF(OR($C$83&gt;$AR21,$D$83&lt;$AR21),0,Schweine_Werte!$M21))</f>
        <v>0</v>
      </c>
      <c r="BT21" s="716">
        <f>IF(OR($C$92=$AR21,$D$92=$AR21),Schweine_Werte!$M21*0.5,IF(OR($C$92&gt;$AR21,$D$92&lt;$AR21),0,Schweine_Werte!$M21))</f>
        <v>0</v>
      </c>
      <c r="BU21" s="716">
        <f>IF(OR($C$101=$AR21,$D$101=$AR21),Schweine_Werte!$M21*0.5,IF(OR($C$101&gt;$AR21,$D$101&lt;$AR21),0,Schweine_Werte!$M21))</f>
        <v>0</v>
      </c>
      <c r="BV21" s="716">
        <f>IF(OR($C$110=$AR21,$D$110=$AR21),Schweine_Werte!$M21*0.5,IF(OR($C$110&gt;$AR21,$D$110&lt;$AR21),0,Schweine_Werte!$M21))</f>
        <v>0</v>
      </c>
      <c r="BW21" s="716">
        <f>IF(OR(8=$AR21,$E$127=$AR21),Schweine_Werte!$M21*0.5,IF(OR(8&gt;$AR21,$E$127&lt;$AR21),0,Schweine_Werte!$M21))</f>
        <v>1.7347990778335918</v>
      </c>
      <c r="BX21" s="716">
        <f>IF(OR(8=$AR21,$E$145=$AR21),Schweine_Werte!$M21*0.5,IF(OR(8&gt;$AR21,$E$145&lt;$AR21),0,Schweine_Werte!$M21))</f>
        <v>1.7347990778335918</v>
      </c>
      <c r="BY21" s="781">
        <f>IF(OR($C$74=$AR21,$D$74=$AR21),Schweine_Werte!$O21*0.5,IF(OR($C$74&gt;$AR21,$D$74&lt;$AR21),0,Schweine_Werte!$O21))</f>
        <v>0</v>
      </c>
      <c r="BZ21" s="781">
        <f>IF(OR($C$83=$AR21,$D$83=$AR21),Schweine_Werte!$O21*0.5,IF(OR($C$83&gt;$AR21,$D$83&lt;$AR21),0,Schweine_Werte!$O21))</f>
        <v>0</v>
      </c>
      <c r="CA21" s="716">
        <f>IF(OR($C$92=$AR21,$D$92=$AR21),Schweine_Werte!$O21*0.5,IF(OR($C$92&gt;$AR21,$D$92&lt;$AR21),0,Schweine_Werte!$O21))</f>
        <v>0</v>
      </c>
      <c r="CB21" s="716">
        <f>IF(OR($C$101=$AR21,$D$101=$AR21),Schweine_Werte!$O21*0.5,IF(OR($C$101&gt;$AR21,$D$101&lt;$AR21),0,Schweine_Werte!$O21))</f>
        <v>0</v>
      </c>
      <c r="CC21" s="716">
        <f>IF(OR($C$110=$AR21,$D$110=$AR21),Schweine_Werte!$O21*0.5,IF(OR($C$110&gt;$AR21,$D$110&lt;$AR21),0,Schweine_Werte!$O21))</f>
        <v>0</v>
      </c>
    </row>
    <row r="22" spans="1:81" ht="15.75" x14ac:dyDescent="0.25">
      <c r="F22" s="352"/>
      <c r="G22" s="1588" t="s">
        <v>7701</v>
      </c>
      <c r="H22" s="1589"/>
      <c r="I22" s="1590"/>
      <c r="J22" s="973" t="s">
        <v>589</v>
      </c>
      <c r="K22" s="973" t="s">
        <v>224</v>
      </c>
      <c r="L22" s="1591" t="s">
        <v>7702</v>
      </c>
      <c r="M22" s="1592"/>
      <c r="N22" s="1593"/>
      <c r="O22" s="1591" t="s">
        <v>7703</v>
      </c>
      <c r="P22" s="1593"/>
      <c r="Q22" s="1591" t="s">
        <v>7758</v>
      </c>
      <c r="R22" s="1592"/>
      <c r="S22" s="1593"/>
      <c r="T22" s="1591" t="s">
        <v>7704</v>
      </c>
      <c r="U22" s="1592"/>
      <c r="V22" s="1593"/>
      <c r="W22" s="1591" t="s">
        <v>7785</v>
      </c>
      <c r="X22" s="1592"/>
      <c r="Y22" s="1593"/>
      <c r="Z22" s="1596" t="s">
        <v>7786</v>
      </c>
      <c r="AA22" s="1597"/>
      <c r="AB22" s="1596" t="s">
        <v>7787</v>
      </c>
      <c r="AC22" s="1597"/>
      <c r="AD22" s="1596" t="s">
        <v>7788</v>
      </c>
      <c r="AE22" s="1597"/>
      <c r="AF22" s="974" t="s">
        <v>7888</v>
      </c>
      <c r="AG22" s="1598" t="s">
        <v>7791</v>
      </c>
      <c r="AH22" s="1599"/>
      <c r="AI22" s="1081" t="s">
        <v>7889</v>
      </c>
      <c r="AJ22" s="1596" t="s">
        <v>7786</v>
      </c>
      <c r="AK22" s="1597"/>
      <c r="AL22" s="1596" t="s">
        <v>7787</v>
      </c>
      <c r="AM22" s="1597"/>
      <c r="AN22" s="1596" t="s">
        <v>7788</v>
      </c>
      <c r="AO22" s="1597"/>
      <c r="AR22" s="792">
        <v>26</v>
      </c>
      <c r="AS22" s="781">
        <f>IF(OR($C$12=$AR22,$D$12=$AR22),Schweine_Werte!$C22*0.5,IF(OR($C$12&gt;$AR22,$D$12&lt;$AR22),0,Schweine_Werte!$C22))</f>
        <v>0</v>
      </c>
      <c r="AT22" s="716">
        <f>IF(OR($C$24=$AR22,$D$24=$AR22),Schweine_Werte!$C22*0.5,IF(OR($C$24&gt;$AR22,$D$24&lt;$AR22),0,Schweine_Werte!$C22))</f>
        <v>0</v>
      </c>
      <c r="AU22" s="781">
        <f>IF(OR($C$36=$AR22,$D$36=$AR22),Schweine_Werte!$C22*0.5,IF(OR($C$36&gt;$AR22,$D$36&lt;$AR22),0,Schweine_Werte!$C22))</f>
        <v>0</v>
      </c>
      <c r="AV22" s="781">
        <f>IF(OR($C$48=$AR22,$D$48=$AR22),Schweine_Werte!$C22*0.5,IF(OR($C$48&gt;$AR22,$D$48&lt;$AR22),0,Schweine_Werte!$C22))</f>
        <v>0</v>
      </c>
      <c r="AW22" s="781">
        <f>IF(OR($C$60=$AR22,$D$60=$AR22),Schweine_Werte!$C22*0.5,IF(OR($C$60&gt;$AR22,$D$60&lt;$AR22),0,Schweine_Werte!$C22))</f>
        <v>0</v>
      </c>
      <c r="AX22" s="781">
        <f>IF(OR($C$12=$AR22,$D$12=$AR22),Schweine_Werte!$E22*0.5,IF(OR($C$12&gt;$AR22,$D$12&lt;$AR22),0,Schweine_Werte!$E22))</f>
        <v>0</v>
      </c>
      <c r="AY22" s="716">
        <f>IF(OR($C$24=$AR22,$D$24=$AR22),Schweine_Werte!$E22*0.5,IF(OR($C$24&gt;$AR22,$D$24&lt;$AR22),0,Schweine_Werte!$E22))</f>
        <v>0</v>
      </c>
      <c r="AZ22" s="716">
        <f>IF(OR($C$36=$AR22,$D$36=$AR22),Schweine_Werte!$E22*0.5,IF(OR($C$36&gt;$AR22,$D$36&lt;$AR22),0,Schweine_Werte!$E22))</f>
        <v>0</v>
      </c>
      <c r="BA22" s="716">
        <f>IF(OR($C$48=$AR22,$D$48=$AR22),Schweine_Werte!$E22*0.5,IF(OR($C$48&gt;$AR22,$D$48&lt;$AR22),0,Schweine_Werte!$E22))</f>
        <v>0</v>
      </c>
      <c r="BB22" s="716">
        <f>IF(OR($C$60=$AR22,$D$60=$AR22),Schweine_Werte!$E22*0.5,IF(OR($C$60&gt;$AR22,$D$60&lt;$AR22),0,Schweine_Werte!$E22))</f>
        <v>0</v>
      </c>
      <c r="BC22" s="781">
        <f>IF(OR($C$12=$AR22,$D$12=$AR22),Schweine_Werte!$G22*0.5,IF(OR($C$12&gt;$AR22,$D$12&lt;$AR22),0,Schweine_Werte!$G22))</f>
        <v>0</v>
      </c>
      <c r="BD22" s="716">
        <f>IF(OR($C$24=$AR22,$D$24=$AR22),Schweine_Werte!$G22*0.5,IF(OR($C$24&gt;$AR22,$D$24&lt;$AR22),0,Schweine_Werte!$G22))</f>
        <v>0</v>
      </c>
      <c r="BE22" s="716">
        <f>IF(OR($C$36=$AR22,$D$36=$AR22),Schweine_Werte!$G22*0.5,IF(OR($C$36&gt;$AR22,$D$36&lt;$AR22),0,Schweine_Werte!$G22))</f>
        <v>0</v>
      </c>
      <c r="BF22" s="716">
        <f>IF(OR($C$48=$AR22,$D$48=$AR22),Schweine_Werte!$G22*0.5,IF(OR($C$48&gt;$AR22,$D$48&lt;$AR22),0,Schweine_Werte!$G22))</f>
        <v>0</v>
      </c>
      <c r="BG22" s="716">
        <f>IF(OR($C$60=$AR22,$D$60=$AR22),Schweine_Werte!$G22*0.5,IF(OR($C$60&gt;$AR22,$D$60&lt;$AR22),0,Schweine_Werte!$G22))</f>
        <v>0</v>
      </c>
      <c r="BH22" s="781">
        <f>IF(OR($C$12=$AR22,$D$12=$AR22),Schweine_Werte!$I22*0.5,IF(OR($C$12&gt;$AR22,$D$12&lt;$AR22),0,Schweine_Werte!$I22))</f>
        <v>0</v>
      </c>
      <c r="BI22" s="716">
        <f>IF(OR($C$24=$AR22,$D$24=$AR22),Schweine_Werte!$I22*0.5,IF(OR($C$24&gt;$AR22,$D$24&lt;$AR22),0,Schweine_Werte!$I22))</f>
        <v>0</v>
      </c>
      <c r="BJ22" s="716">
        <f>IF(OR($C$36=$AR22,$D$36=$AR22),Schweine_Werte!$I22*0.5,IF(OR($C$36&gt;$AR22,$D$36&lt;$AR22),0,Schweine_Werte!$I22))</f>
        <v>0</v>
      </c>
      <c r="BK22" s="716">
        <f>IF(OR($C$48=$AR22,$D$48=$AR22),Schweine_Werte!$I22*0.5,IF(OR($C$48&gt;$AR22,$D$48&lt;$AR22),0,Schweine_Werte!$I22))</f>
        <v>0</v>
      </c>
      <c r="BL22" s="716">
        <f>IF(OR($C$60=$AR22,$D$60=$AR22),Schweine_Werte!$I22*0.5,IF(OR($C$60&gt;$AR22,$D$60&lt;$AR22),0,Schweine_Werte!$I22))</f>
        <v>0</v>
      </c>
      <c r="BM22" s="781"/>
      <c r="BN22" s="716"/>
      <c r="BO22" s="716"/>
      <c r="BP22" s="716"/>
      <c r="BQ22" s="716"/>
      <c r="BR22" s="781">
        <f>IF(OR($C$74=$AR22,$D$74=$AR22),Schweine_Werte!$M22*0.5,IF(OR($C$74&gt;$AR22,$D$74&lt;$AR22),0,Schweine_Werte!$M22))</f>
        <v>0</v>
      </c>
      <c r="BS22" s="781">
        <f>IF(OR($C$83=$AR22,$D$83=$AR22),Schweine_Werte!$M22*0.5,IF(OR($C$83&gt;$AR22,$D$83&lt;$AR22),0,Schweine_Werte!$M22))</f>
        <v>0</v>
      </c>
      <c r="BT22" s="716">
        <f>IF(OR($C$92=$AR22,$D$92=$AR22),Schweine_Werte!$M22*0.5,IF(OR($C$92&gt;$AR22,$D$92&lt;$AR22),0,Schweine_Werte!$M22))</f>
        <v>0</v>
      </c>
      <c r="BU22" s="716">
        <f>IF(OR($C$101=$AR22,$D$101=$AR22),Schweine_Werte!$M22*0.5,IF(OR($C$101&gt;$AR22,$D$101&lt;$AR22),0,Schweine_Werte!$M22))</f>
        <v>0</v>
      </c>
      <c r="BV22" s="716">
        <f>IF(OR($C$110=$AR22,$D$110=$AR22),Schweine_Werte!$M22*0.5,IF(OR($C$110&gt;$AR22,$D$110&lt;$AR22),0,Schweine_Werte!$M22))</f>
        <v>0</v>
      </c>
      <c r="BW22" s="716">
        <f>IF(OR(8=$AR22,$E$127=$AR22),Schweine_Werte!$M22*0.5,IF(OR(8&gt;$AR22,$E$127&lt;$AR22),0,Schweine_Werte!$M22))</f>
        <v>1.6972841119740132</v>
      </c>
      <c r="BX22" s="716">
        <f>IF(OR(8=$AR22,$E$145=$AR22),Schweine_Werte!$M22*0.5,IF(OR(8&gt;$AR22,$E$145&lt;$AR22),0,Schweine_Werte!$M22))</f>
        <v>1.6972841119740132</v>
      </c>
      <c r="BY22" s="781">
        <f>IF(OR($C$74=$AR22,$D$74=$AR22),Schweine_Werte!$O22*0.5,IF(OR($C$74&gt;$AR22,$D$74&lt;$AR22),0,Schweine_Werte!$O22))</f>
        <v>0</v>
      </c>
      <c r="BZ22" s="781">
        <f>IF(OR($C$83=$AR22,$D$83=$AR22),Schweine_Werte!$O22*0.5,IF(OR($C$83&gt;$AR22,$D$83&lt;$AR22),0,Schweine_Werte!$O22))</f>
        <v>0</v>
      </c>
      <c r="CA22" s="716">
        <f>IF(OR($C$92=$AR22,$D$92=$AR22),Schweine_Werte!$O22*0.5,IF(OR($C$92&gt;$AR22,$D$92&lt;$AR22),0,Schweine_Werte!$O22))</f>
        <v>0</v>
      </c>
      <c r="CB22" s="716">
        <f>IF(OR($C$101=$AR22,$D$101=$AR22),Schweine_Werte!$O22*0.5,IF(OR($C$101&gt;$AR22,$D$101&lt;$AR22),0,Schweine_Werte!$O22))</f>
        <v>0</v>
      </c>
      <c r="CC22" s="716">
        <f>IF(OR($C$110=$AR22,$D$110=$AR22),Schweine_Werte!$O22*0.5,IF(OR($C$110&gt;$AR22,$D$110&lt;$AR22),0,Schweine_Werte!$O22))</f>
        <v>0</v>
      </c>
    </row>
    <row r="23" spans="1:81" ht="14.45" customHeight="1" x14ac:dyDescent="0.2">
      <c r="B23" s="786" t="s">
        <v>7705</v>
      </c>
      <c r="C23" s="787" t="s">
        <v>7645</v>
      </c>
      <c r="D23" s="787" t="s">
        <v>7706</v>
      </c>
      <c r="E23" s="787" t="s">
        <v>7647</v>
      </c>
      <c r="F23" s="733" t="s">
        <v>196</v>
      </c>
      <c r="G23" s="662" t="s">
        <v>4</v>
      </c>
      <c r="H23" s="662" t="s">
        <v>7707</v>
      </c>
      <c r="I23" s="662" t="s">
        <v>7708</v>
      </c>
      <c r="J23" s="663" t="s">
        <v>7709</v>
      </c>
      <c r="K23" s="663" t="s">
        <v>7709</v>
      </c>
      <c r="L23" s="664" t="s">
        <v>39</v>
      </c>
      <c r="M23" s="664" t="s">
        <v>7710</v>
      </c>
      <c r="N23" s="664" t="s">
        <v>41</v>
      </c>
      <c r="O23" s="665" t="s">
        <v>0</v>
      </c>
      <c r="P23" s="665" t="s">
        <v>8</v>
      </c>
      <c r="Q23" s="664" t="s">
        <v>39</v>
      </c>
      <c r="R23" s="664" t="s">
        <v>40</v>
      </c>
      <c r="S23" s="664" t="s">
        <v>41</v>
      </c>
      <c r="T23" s="664" t="s">
        <v>39</v>
      </c>
      <c r="U23" s="664" t="s">
        <v>40</v>
      </c>
      <c r="V23" s="664" t="s">
        <v>41</v>
      </c>
      <c r="W23" s="663" t="s">
        <v>7684</v>
      </c>
      <c r="X23" s="663" t="s">
        <v>7685</v>
      </c>
      <c r="Y23" s="663" t="s">
        <v>7686</v>
      </c>
      <c r="Z23" s="788" t="s">
        <v>7789</v>
      </c>
      <c r="AA23" s="788" t="s">
        <v>7790</v>
      </c>
      <c r="AB23" s="788" t="s">
        <v>7789</v>
      </c>
      <c r="AC23" s="788" t="s">
        <v>7790</v>
      </c>
      <c r="AD23" s="788" t="s">
        <v>7789</v>
      </c>
      <c r="AE23" s="788" t="s">
        <v>7790</v>
      </c>
      <c r="AF23" s="788" t="s">
        <v>7890</v>
      </c>
      <c r="AG23" s="983" t="s">
        <v>7891</v>
      </c>
      <c r="AH23" s="788" t="s">
        <v>7892</v>
      </c>
      <c r="AI23" s="788"/>
      <c r="AJ23" s="788" t="s">
        <v>7765</v>
      </c>
      <c r="AK23" s="788" t="s">
        <v>7792</v>
      </c>
      <c r="AL23" s="788" t="s">
        <v>7793</v>
      </c>
      <c r="AM23" s="788" t="s">
        <v>7794</v>
      </c>
      <c r="AN23" s="788" t="s">
        <v>7793</v>
      </c>
      <c r="AO23" s="788" t="s">
        <v>7795</v>
      </c>
      <c r="AR23" s="792">
        <v>27</v>
      </c>
      <c r="AS23" s="781">
        <f>IF(OR($C$12=$AR23,$D$12=$AR23),Schweine_Werte!$C23*0.5,IF(OR($C$12&gt;$AR23,$D$12&lt;$AR23),0,Schweine_Werte!$C23))</f>
        <v>0</v>
      </c>
      <c r="AT23" s="716">
        <f>IF(OR($C$24=$AR23,$D$24=$AR23),Schweine_Werte!$C23*0.5,IF(OR($C$24&gt;$AR23,$D$24&lt;$AR23),0,Schweine_Werte!$C23))</f>
        <v>0</v>
      </c>
      <c r="AU23" s="781">
        <f>IF(OR($C$36=$AR23,$D$36=$AR23),Schweine_Werte!$C23*0.5,IF(OR($C$36&gt;$AR23,$D$36&lt;$AR23),0,Schweine_Werte!$C23))</f>
        <v>0</v>
      </c>
      <c r="AV23" s="781">
        <f>IF(OR($C$48=$AR23,$D$48=$AR23),Schweine_Werte!$C23*0.5,IF(OR($C$48&gt;$AR23,$D$48&lt;$AR23),0,Schweine_Werte!$C23))</f>
        <v>0</v>
      </c>
      <c r="AW23" s="781">
        <f>IF(OR($C$60=$AR23,$D$60=$AR23),Schweine_Werte!$C23*0.5,IF(OR($C$60&gt;$AR23,$D$60&lt;$AR23),0,Schweine_Werte!$C23))</f>
        <v>0</v>
      </c>
      <c r="AX23" s="781">
        <f>IF(OR($C$12=$AR23,$D$12=$AR23),Schweine_Werte!$E23*0.5,IF(OR($C$12&gt;$AR23,$D$12&lt;$AR23),0,Schweine_Werte!$E23))</f>
        <v>0</v>
      </c>
      <c r="AY23" s="716">
        <f>IF(OR($C$24=$AR23,$D$24=$AR23),Schweine_Werte!$E23*0.5,IF(OR($C$24&gt;$AR23,$D$24&lt;$AR23),0,Schweine_Werte!$E23))</f>
        <v>0</v>
      </c>
      <c r="AZ23" s="716">
        <f>IF(OR($C$36=$AR23,$D$36=$AR23),Schweine_Werte!$E23*0.5,IF(OR($C$36&gt;$AR23,$D$36&lt;$AR23),0,Schweine_Werte!$E23))</f>
        <v>0</v>
      </c>
      <c r="BA23" s="716">
        <f>IF(OR($C$48=$AR23,$D$48=$AR23),Schweine_Werte!$E23*0.5,IF(OR($C$48&gt;$AR23,$D$48&lt;$AR23),0,Schweine_Werte!$E23))</f>
        <v>0</v>
      </c>
      <c r="BB23" s="716">
        <f>IF(OR($C$60=$AR23,$D$60=$AR23),Schweine_Werte!$E23*0.5,IF(OR($C$60&gt;$AR23,$D$60&lt;$AR23),0,Schweine_Werte!$E23))</f>
        <v>0</v>
      </c>
      <c r="BC23" s="781">
        <f>IF(OR($C$12=$AR23,$D$12=$AR23),Schweine_Werte!$G23*0.5,IF(OR($C$12&gt;$AR23,$D$12&lt;$AR23),0,Schweine_Werte!$G23))</f>
        <v>0</v>
      </c>
      <c r="BD23" s="716">
        <f>IF(OR($C$24=$AR23,$D$24=$AR23),Schweine_Werte!$G23*0.5,IF(OR($C$24&gt;$AR23,$D$24&lt;$AR23),0,Schweine_Werte!$G23))</f>
        <v>0</v>
      </c>
      <c r="BE23" s="716">
        <f>IF(OR($C$36=$AR23,$D$36=$AR23),Schweine_Werte!$G23*0.5,IF(OR($C$36&gt;$AR23,$D$36&lt;$AR23),0,Schweine_Werte!$G23))</f>
        <v>0</v>
      </c>
      <c r="BF23" s="716">
        <f>IF(OR($C$48=$AR23,$D$48=$AR23),Schweine_Werte!$G23*0.5,IF(OR($C$48&gt;$AR23,$D$48&lt;$AR23),0,Schweine_Werte!$G23))</f>
        <v>0</v>
      </c>
      <c r="BG23" s="716">
        <f>IF(OR($C$60=$AR23,$D$60=$AR23),Schweine_Werte!$G23*0.5,IF(OR($C$60&gt;$AR23,$D$60&lt;$AR23),0,Schweine_Werte!$G23))</f>
        <v>0</v>
      </c>
      <c r="BH23" s="781">
        <f>IF(OR($C$12=$AR23,$D$12=$AR23),Schweine_Werte!$I23*0.5,IF(OR($C$12&gt;$AR23,$D$12&lt;$AR23),0,Schweine_Werte!$I23))</f>
        <v>0</v>
      </c>
      <c r="BI23" s="716">
        <f>IF(OR($C$24=$AR23,$D$24=$AR23),Schweine_Werte!$I23*0.5,IF(OR($C$24&gt;$AR23,$D$24&lt;$AR23),0,Schweine_Werte!$I23))</f>
        <v>0</v>
      </c>
      <c r="BJ23" s="716">
        <f>IF(OR($C$36=$AR23,$D$36=$AR23),Schweine_Werte!$I23*0.5,IF(OR($C$36&gt;$AR23,$D$36&lt;$AR23),0,Schweine_Werte!$I23))</f>
        <v>0</v>
      </c>
      <c r="BK23" s="716">
        <f>IF(OR($C$48=$AR23,$D$48=$AR23),Schweine_Werte!$I23*0.5,IF(OR($C$48&gt;$AR23,$D$48&lt;$AR23),0,Schweine_Werte!$I23))</f>
        <v>0</v>
      </c>
      <c r="BL23" s="716">
        <f>IF(OR($C$60=$AR23,$D$60=$AR23),Schweine_Werte!$I23*0.5,IF(OR($C$60&gt;$AR23,$D$60&lt;$AR23),0,Schweine_Werte!$I23))</f>
        <v>0</v>
      </c>
      <c r="BM23" s="781"/>
      <c r="BN23" s="716"/>
      <c r="BO23" s="716"/>
      <c r="BP23" s="716"/>
      <c r="BQ23" s="716"/>
      <c r="BR23" s="781">
        <f>IF(OR($C$74=$AR23,$D$74=$AR23),Schweine_Werte!$M23*0.5,IF(OR($C$74&gt;$AR23,$D$74&lt;$AR23),0,Schweine_Werte!$M23))</f>
        <v>0</v>
      </c>
      <c r="BS23" s="781">
        <f>IF(OR($C$83=$AR23,$D$83=$AR23),Schweine_Werte!$M23*0.5,IF(OR($C$83&gt;$AR23,$D$83&lt;$AR23),0,Schweine_Werte!$M23))</f>
        <v>0</v>
      </c>
      <c r="BT23" s="716">
        <f>IF(OR($C$92=$AR23,$D$92=$AR23),Schweine_Werte!$M23*0.5,IF(OR($C$92&gt;$AR23,$D$92&lt;$AR23),0,Schweine_Werte!$M23))</f>
        <v>0</v>
      </c>
      <c r="BU23" s="716">
        <f>IF(OR($C$101=$AR23,$D$101=$AR23),Schweine_Werte!$M23*0.5,IF(OR($C$101&gt;$AR23,$D$101&lt;$AR23),0,Schweine_Werte!$M23))</f>
        <v>0</v>
      </c>
      <c r="BV23" s="716">
        <f>IF(OR($C$110=$AR23,$D$110=$AR23),Schweine_Werte!$M23*0.5,IF(OR($C$110&gt;$AR23,$D$110&lt;$AR23),0,Schweine_Werte!$M23))</f>
        <v>0</v>
      </c>
      <c r="BW23" s="716">
        <f>IF(OR(8=$AR23,$E$127=$AR23),Schweine_Werte!$M23*0.5,IF(OR(8&gt;$AR23,$E$127&lt;$AR23),0,Schweine_Werte!$M23))</f>
        <v>1.6624297345718522</v>
      </c>
      <c r="BX23" s="716">
        <f>IF(OR(8=$AR23,$E$145=$AR23),Schweine_Werte!$M23*0.5,IF(OR(8&gt;$AR23,$E$145&lt;$AR23),0,Schweine_Werte!$M23))</f>
        <v>1.6624297345718522</v>
      </c>
      <c r="BY23" s="781">
        <f>IF(OR($C$74=$AR23,$D$74=$AR23),Schweine_Werte!$O23*0.5,IF(OR($C$74&gt;$AR23,$D$74&lt;$AR23),0,Schweine_Werte!$O23))</f>
        <v>0</v>
      </c>
      <c r="BZ23" s="781">
        <f>IF(OR($C$83=$AR23,$D$83=$AR23),Schweine_Werte!$O23*0.5,IF(OR($C$83&gt;$AR23,$D$83&lt;$AR23),0,Schweine_Werte!$O23))</f>
        <v>0</v>
      </c>
      <c r="CA23" s="716">
        <f>IF(OR($C$92=$AR23,$D$92=$AR23),Schweine_Werte!$O23*0.5,IF(OR($C$92&gt;$AR23,$D$92&lt;$AR23),0,Schweine_Werte!$O23))</f>
        <v>0</v>
      </c>
      <c r="CB23" s="716">
        <f>IF(OR($C$101=$AR23,$D$101=$AR23),Schweine_Werte!$O23*0.5,IF(OR($C$101&gt;$AR23,$D$101&lt;$AR23),0,Schweine_Werte!$O23))</f>
        <v>0</v>
      </c>
      <c r="CC23" s="716">
        <f>IF(OR($C$110=$AR23,$D$110=$AR23),Schweine_Werte!$O23*0.5,IF(OR($C$110&gt;$AR23,$D$110&lt;$AR23),0,Schweine_Werte!$O23))</f>
        <v>0</v>
      </c>
    </row>
    <row r="24" spans="1:81" ht="15" customHeight="1" x14ac:dyDescent="0.2">
      <c r="A24" t="s">
        <v>7774</v>
      </c>
      <c r="B24" s="756" t="str">
        <f>IF('Abweichende Werte'!W6=1,'Abweichende Werte'!F6,"")</f>
        <v/>
      </c>
      <c r="C24" s="666" t="str">
        <f>IF('Abweichende Werte'!W6=1,'Abweichende Werte'!J6,"")</f>
        <v/>
      </c>
      <c r="D24" s="666" t="str">
        <f>IF('Abweichende Werte'!W6=1,'Abweichende Werte'!M6,"")</f>
        <v/>
      </c>
      <c r="E24" s="801" t="str">
        <f>IF('Abweichende Werte'!W6=1,'Abweichende Werte'!P6,"")</f>
        <v/>
      </c>
      <c r="F24" s="789" t="e">
        <f>IF($E24&lt;=$E17,F17,IF(AND($E24&gt;$E17,$E24&lt;=$E18),F17+(F18-F17)/($E18-$E17)*($E24-$E17),IF(AND($E24&gt;$E18,$E24&lt;=$E19),F18+(F19-F18)/($E19-$E18)*($E24-$E18),IF(AND($E24&gt;$E19,$E24&lt;=$E20),F19+(F20-F19)/($E20-$E19)*($E24-$E19),IF($E24&gt;$E20,F20)))))</f>
        <v>#VALUE!</v>
      </c>
      <c r="G24" s="789" t="e">
        <f t="shared" ref="G24:N24" si="9">IF($E24&lt;=$E17,G17,IF(AND($E24&gt;$E17,$E24&lt;=$E18),G17+(G18-G17)/($E18-$E17)*($E24-$E17),IF(AND($E24&gt;$E18,$E24&lt;=$E19),G18+(G19-G18)/($E19-$E18)*($E24-$E18),IF(AND($E24&gt;$E19,$E24&lt;=$E20),G19+(G20-G19)/($E20-$E19)*($E24-$E19),IF($E24&gt;$E20,G20)))))</f>
        <v>#VALUE!</v>
      </c>
      <c r="H24" s="789" t="e">
        <f t="shared" si="9"/>
        <v>#VALUE!</v>
      </c>
      <c r="I24" s="789" t="e">
        <f t="shared" si="9"/>
        <v>#VALUE!</v>
      </c>
      <c r="J24" s="789" t="e">
        <f t="shared" si="9"/>
        <v>#VALUE!</v>
      </c>
      <c r="K24" s="789" t="e">
        <f t="shared" si="9"/>
        <v>#VALUE!</v>
      </c>
      <c r="L24" s="789" t="e">
        <f t="shared" si="9"/>
        <v>#VALUE!</v>
      </c>
      <c r="M24" s="789" t="e">
        <f t="shared" si="9"/>
        <v>#VALUE!</v>
      </c>
      <c r="N24" s="789" t="e">
        <f t="shared" si="9"/>
        <v>#VALUE!</v>
      </c>
      <c r="O24" s="790">
        <v>5.5</v>
      </c>
      <c r="P24" s="790">
        <v>1.8</v>
      </c>
      <c r="Q24" s="789" t="e">
        <f t="shared" ref="Q24:Z24" si="10">IF($E24&lt;=$E17,Q17,IF(AND($E24&gt;$E17,$E24&lt;=$E18),Q17+(Q18-Q17)/($E18-$E17)*($E24-$E17),IF(AND($E24&gt;$E18,$E24&lt;=$E19),Q18+(Q19-Q18)/($E19-$E18)*($E24-$E18),IF(AND($E24&gt;$E19,$E24&lt;=$E20),Q19+(Q20-Q19)/($E20-$E19)*($E24-$E19),IF($E24&gt;$E20,Q20)))))</f>
        <v>#VALUE!</v>
      </c>
      <c r="R24" s="789" t="e">
        <f t="shared" si="10"/>
        <v>#VALUE!</v>
      </c>
      <c r="S24" s="789" t="e">
        <f t="shared" si="10"/>
        <v>#VALUE!</v>
      </c>
      <c r="T24" s="789" t="e">
        <f t="shared" si="10"/>
        <v>#VALUE!</v>
      </c>
      <c r="U24" s="789" t="e">
        <f t="shared" si="10"/>
        <v>#VALUE!</v>
      </c>
      <c r="V24" s="789" t="e">
        <f t="shared" si="10"/>
        <v>#VALUE!</v>
      </c>
      <c r="W24" s="789" t="e">
        <f>IF($E24&lt;=$E17,W17,IF(AND($E24&gt;$E17,$E24&lt;=$E18),W17+(W18-W17)/($E18-$E17)*($E24-$E17),IF(AND($E24&gt;$E18,$E24&lt;=$E19),W18+(W19-W18)/($E19-$E18)*($E24-$E18),IF(AND($E24&gt;$E19,$E24&lt;=$E20),W19+(W20-W19)/($E20-$E19)*($E24-$E19),IF($E24&gt;$E20,W20)))))</f>
        <v>#VALUE!</v>
      </c>
      <c r="X24" s="789" t="e">
        <f t="shared" si="10"/>
        <v>#VALUE!</v>
      </c>
      <c r="Y24" s="789" t="e">
        <f t="shared" si="10"/>
        <v>#VALUE!</v>
      </c>
      <c r="Z24" s="789" t="e">
        <f t="shared" si="10"/>
        <v>#VALUE!</v>
      </c>
      <c r="AA24" s="791" t="e">
        <f>+Z24*6.25</f>
        <v>#VALUE!</v>
      </c>
      <c r="AB24" s="789" t="e">
        <f t="shared" ref="AB24" si="11">IF($E24&lt;=$E17,AB17,IF(AND($E24&gt;$E17,$E24&lt;=$E18),AB17+(AB18-AB17)/($E18-$E17)*($E24-$E17),IF(AND($E24&gt;$E18,$E24&lt;=$E19),AB18+(AB19-AB18)/($E19-$E18)*($E24-$E18),IF(AND($E24&gt;$E19,$E24&lt;=$E20),AB19+(AB20-AB19)/($E20-$E19)*($E24-$E19),IF($E24&gt;$E20,AB20)))))</f>
        <v>#VALUE!</v>
      </c>
      <c r="AC24" s="791" t="e">
        <f>+AB24*6.25</f>
        <v>#VALUE!</v>
      </c>
      <c r="AD24" s="789" t="e">
        <f t="shared" ref="AD24" si="12">IF($E24&lt;=$E17,AD17,IF(AND($E24&gt;$E17,$E24&lt;=$E18),AD17+(AD18-AD17)/($E18-$E17)*($E24-$E17),IF(AND($E24&gt;$E18,$E24&lt;=$E19),AD18+(AD19-AD18)/($E19-$E18)*($E24-$E18),IF(AND($E24&gt;$E19,$E24&lt;=$E20),AD19+(AD20-AD19)/($E20-$E19)*($E24-$E19),IF($E24&gt;$E20,AD20)))))</f>
        <v>#VALUE!</v>
      </c>
      <c r="AE24" s="791" t="e">
        <f>+AD24*6.25</f>
        <v>#VALUE!</v>
      </c>
      <c r="AF24" s="791" t="e">
        <f>365/((D24-C24)/E24*1000)</f>
        <v>#VALUE!</v>
      </c>
      <c r="AG24" s="789" t="e">
        <f>IF($E24&lt;=$E17,AG17,IF(AND($E24&gt;$E17,$E24&lt;=$E18),AG17+(AG18-AG17)/($E18-$E17)*($E24-$E17),IF(AND($E24&gt;$E18,$E24&lt;=$E19),AG18+(AG19-AG18)/($E19-$E18)*($E24-$E18),IF(AND($E24&gt;$E19,$E24&lt;=$E20),AG19+(AG20-AG19)/($E20-$E19)*($E24-$E19),IF($E24&gt;$E20,AG20)))))</f>
        <v>#VALUE!</v>
      </c>
      <c r="AH24" s="791" t="e">
        <f>+AG24/AF24</f>
        <v>#VALUE!</v>
      </c>
      <c r="AI24" s="791" t="e">
        <f>+CONCATENATE(ROUND(AH24/(D24-C24),1)," : 1")</f>
        <v>#VALUE!</v>
      </c>
      <c r="AJ24" s="789" t="e">
        <f t="shared" ref="AJ24" si="13">IF($E24&lt;=$E17,AJ17,IF(AND($E24&gt;$E17,$E24&lt;=$E18),AJ17+(AJ18-AJ17)/($E18-$E17)*($E24-$E17),IF(AND($E24&gt;$E18,$E24&lt;=$E19),AJ18+(AJ19-AJ18)/($E19-$E18)*($E24-$E18),IF(AND($E24&gt;$E19,$E24&lt;=$E20),AJ19+(AJ20-AJ19)/($E20-$E19)*($E24-$E19),IF($E24&gt;$E20,AJ20)))))</f>
        <v>#VALUE!</v>
      </c>
      <c r="AK24" s="791" t="e">
        <f>+AJ24/2.291</f>
        <v>#VALUE!</v>
      </c>
      <c r="AL24" s="789" t="e">
        <f t="shared" ref="AL24" si="14">IF($E24&lt;=$E17,AL17,IF(AND($E24&gt;$E17,$E24&lt;=$E18),AL17+(AL18-AL17)/($E18-$E17)*($E24-$E17),IF(AND($E24&gt;$E18,$E24&lt;=$E19),AL18+(AL19-AL18)/($E19-$E18)*($E24-$E18),IF(AND($E24&gt;$E19,$E24&lt;=$E20),AL19+(AL20-AL19)/($E20-$E19)*($E24-$E19),IF($E24&gt;$E20,AL20)))))</f>
        <v>#VALUE!</v>
      </c>
      <c r="AM24" s="791" t="e">
        <f>+AL24/2.291</f>
        <v>#VALUE!</v>
      </c>
      <c r="AN24" s="789" t="e">
        <f t="shared" ref="AN24" si="15">IF($E24&lt;=$E17,AN17,IF(AND($E24&gt;$E17,$E24&lt;=$E18),AN17+(AN18-AN17)/($E18-$E17)*($E24-$E17),IF(AND($E24&gt;$E18,$E24&lt;=$E19),AN18+(AN19-AN18)/($E19-$E18)*($E24-$E18),IF(AND($E24&gt;$E19,$E24&lt;=$E20),AN19+(AN20-AN19)/($E20-$E19)*($E24-$E19),IF($E24&gt;$E20,AN20)))))</f>
        <v>#VALUE!</v>
      </c>
      <c r="AO24" s="791" t="e">
        <f>+AN24/2.291</f>
        <v>#VALUE!</v>
      </c>
      <c r="AR24" s="792">
        <v>28</v>
      </c>
      <c r="AS24" s="781">
        <f>IF(OR($C$12=$AR24,$D$12=$AR24),Schweine_Werte!$C24*0.5,IF(OR($C$12&gt;$AR24,$D$12&lt;$AR24),0,Schweine_Werte!$C24))</f>
        <v>0</v>
      </c>
      <c r="AT24" s="716">
        <f>IF(OR($C$24=$AR24,$D$24=$AR24),Schweine_Werte!$C24*0.5,IF(OR($C$24&gt;$AR24,$D$24&lt;$AR24),0,Schweine_Werte!$C24))</f>
        <v>0</v>
      </c>
      <c r="AU24" s="781">
        <f>IF(OR($C$36=$AR24,$D$36=$AR24),Schweine_Werte!$C24*0.5,IF(OR($C$36&gt;$AR24,$D$36&lt;$AR24),0,Schweine_Werte!$C24))</f>
        <v>0</v>
      </c>
      <c r="AV24" s="781">
        <f>IF(OR($C$48=$AR24,$D$48=$AR24),Schweine_Werte!$C24*0.5,IF(OR($C$48&gt;$AR24,$D$48&lt;$AR24),0,Schweine_Werte!$C24))</f>
        <v>0</v>
      </c>
      <c r="AW24" s="781">
        <f>IF(OR($C$60=$AR24,$D$60=$AR24),Schweine_Werte!$C24*0.5,IF(OR($C$60&gt;$AR24,$D$60&lt;$AR24),0,Schweine_Werte!$C24))</f>
        <v>0</v>
      </c>
      <c r="AX24" s="781">
        <f>IF(OR($C$12=$AR24,$D$12=$AR24),Schweine_Werte!$E24*0.5,IF(OR($C$12&gt;$AR24,$D$12&lt;$AR24),0,Schweine_Werte!$E24))</f>
        <v>0</v>
      </c>
      <c r="AY24" s="716">
        <f>IF(OR($C$24=$AR24,$D$24=$AR24),Schweine_Werte!$E24*0.5,IF(OR($C$24&gt;$AR24,$D$24&lt;$AR24),0,Schweine_Werte!$E24))</f>
        <v>0</v>
      </c>
      <c r="AZ24" s="716">
        <f>IF(OR($C$36=$AR24,$D$36=$AR24),Schweine_Werte!$E24*0.5,IF(OR($C$36&gt;$AR24,$D$36&lt;$AR24),0,Schweine_Werte!$E24))</f>
        <v>0</v>
      </c>
      <c r="BA24" s="716">
        <f>IF(OR($C$48=$AR24,$D$48=$AR24),Schweine_Werte!$E24*0.5,IF(OR($C$48&gt;$AR24,$D$48&lt;$AR24),0,Schweine_Werte!$E24))</f>
        <v>0</v>
      </c>
      <c r="BB24" s="716">
        <f>IF(OR($C$60=$AR24,$D$60=$AR24),Schweine_Werte!$E24*0.5,IF(OR($C$60&gt;$AR24,$D$60&lt;$AR24),0,Schweine_Werte!$E24))</f>
        <v>0</v>
      </c>
      <c r="BC24" s="781">
        <f>IF(OR($C$12=$AR24,$D$12=$AR24),Schweine_Werte!$G24*0.5,IF(OR($C$12&gt;$AR24,$D$12&lt;$AR24),0,Schweine_Werte!$G24))</f>
        <v>0</v>
      </c>
      <c r="BD24" s="716">
        <f>IF(OR($C$24=$AR24,$D$24=$AR24),Schweine_Werte!$G24*0.5,IF(OR($C$24&gt;$AR24,$D$24&lt;$AR24),0,Schweine_Werte!$G24))</f>
        <v>0</v>
      </c>
      <c r="BE24" s="716">
        <f>IF(OR($C$36=$AR24,$D$36=$AR24),Schweine_Werte!$G24*0.5,IF(OR($C$36&gt;$AR24,$D$36&lt;$AR24),0,Schweine_Werte!$G24))</f>
        <v>0</v>
      </c>
      <c r="BF24" s="716">
        <f>IF(OR($C$48=$AR24,$D$48=$AR24),Schweine_Werte!$G24*0.5,IF(OR($C$48&gt;$AR24,$D$48&lt;$AR24),0,Schweine_Werte!$G24))</f>
        <v>0</v>
      </c>
      <c r="BG24" s="716">
        <f>IF(OR($C$60=$AR24,$D$60=$AR24),Schweine_Werte!$G24*0.5,IF(OR($C$60&gt;$AR24,$D$60&lt;$AR24),0,Schweine_Werte!$G24))</f>
        <v>0</v>
      </c>
      <c r="BH24" s="781">
        <f>IF(OR($C$12=$AR24,$D$12=$AR24),Schweine_Werte!$I24*0.5,IF(OR($C$12&gt;$AR24,$D$12&lt;$AR24),0,Schweine_Werte!$I24))</f>
        <v>0</v>
      </c>
      <c r="BI24" s="716">
        <f>IF(OR($C$24=$AR24,$D$24=$AR24),Schweine_Werte!$I24*0.5,IF(OR($C$24&gt;$AR24,$D$24&lt;$AR24),0,Schweine_Werte!$I24))</f>
        <v>0</v>
      </c>
      <c r="BJ24" s="716">
        <f>IF(OR($C$36=$AR24,$D$36=$AR24),Schweine_Werte!$I24*0.5,IF(OR($C$36&gt;$AR24,$D$36&lt;$AR24),0,Schweine_Werte!$I24))</f>
        <v>0</v>
      </c>
      <c r="BK24" s="716">
        <f>IF(OR($C$48=$AR24,$D$48=$AR24),Schweine_Werte!$I24*0.5,IF(OR($C$48&gt;$AR24,$D$48&lt;$AR24),0,Schweine_Werte!$I24))</f>
        <v>0</v>
      </c>
      <c r="BL24" s="716">
        <f>IF(OR($C$60=$AR24,$D$60=$AR24),Schweine_Werte!$I24*0.5,IF(OR($C$60&gt;$AR24,$D$60&lt;$AR24),0,Schweine_Werte!$I24))</f>
        <v>0</v>
      </c>
      <c r="BM24" s="781"/>
      <c r="BN24" s="716"/>
      <c r="BO24" s="716"/>
      <c r="BP24" s="716"/>
      <c r="BQ24" s="716"/>
      <c r="BR24" s="781">
        <f>IF(OR($C$74=$AR24,$D$74=$AR24),Schweine_Werte!$M24*0.5,IF(OR($C$74&gt;$AR24,$D$74&lt;$AR24),0,Schweine_Werte!$M24))</f>
        <v>0</v>
      </c>
      <c r="BS24" s="781">
        <f>IF(OR($C$83=$AR24,$D$83=$AR24),Schweine_Werte!$M24*0.5,IF(OR($C$83&gt;$AR24,$D$83&lt;$AR24),0,Schweine_Werte!$M24))</f>
        <v>0</v>
      </c>
      <c r="BT24" s="716">
        <f>IF(OR($C$92=$AR24,$D$92=$AR24),Schweine_Werte!$M24*0.5,IF(OR($C$92&gt;$AR24,$D$92&lt;$AR24),0,Schweine_Werte!$M24))</f>
        <v>0</v>
      </c>
      <c r="BU24" s="716">
        <f>IF(OR($C$101=$AR24,$D$101=$AR24),Schweine_Werte!$M24*0.5,IF(OR($C$101&gt;$AR24,$D$101&lt;$AR24),0,Schweine_Werte!$M24))</f>
        <v>0</v>
      </c>
      <c r="BV24" s="716">
        <f>IF(OR($C$110=$AR24,$D$110=$AR24),Schweine_Werte!$M24*0.5,IF(OR($C$110&gt;$AR24,$D$110&lt;$AR24),0,Schweine_Werte!$M24))</f>
        <v>0</v>
      </c>
      <c r="BW24" s="716">
        <f>IF(OR(8=$AR24,$E$127=$AR24),Schweine_Werte!$M24*0.5,IF(OR(8&gt;$AR24,$E$127&lt;$AR24),0,Schweine_Werte!$M24))</f>
        <v>1.6300090047913274</v>
      </c>
      <c r="BX24" s="716">
        <f>IF(OR(8=$AR24,$E$145=$AR24),Schweine_Werte!$M24*0.5,IF(OR(8&gt;$AR24,$E$145&lt;$AR24),0,Schweine_Werte!$M24))</f>
        <v>1.6300090047913274</v>
      </c>
      <c r="BY24" s="781">
        <f>IF(OR($C$74=$AR24,$D$74=$AR24),Schweine_Werte!$O24*0.5,IF(OR($C$74&gt;$AR24,$D$74&lt;$AR24),0,Schweine_Werte!$O24))</f>
        <v>0</v>
      </c>
      <c r="BZ24" s="781">
        <f>IF(OR($C$83=$AR24,$D$83=$AR24),Schweine_Werte!$O24*0.5,IF(OR($C$83&gt;$AR24,$D$83&lt;$AR24),0,Schweine_Werte!$O24))</f>
        <v>0</v>
      </c>
      <c r="CA24" s="716">
        <f>IF(OR($C$92=$AR24,$D$92=$AR24),Schweine_Werte!$O24*0.5,IF(OR($C$92&gt;$AR24,$D$92&lt;$AR24),0,Schweine_Werte!$O24))</f>
        <v>0</v>
      </c>
      <c r="CB24" s="716">
        <f>IF(OR($C$101=$AR24,$D$101=$AR24),Schweine_Werte!$O24*0.5,IF(OR($C$101&gt;$AR24,$D$101&lt;$AR24),0,Schweine_Werte!$O24))</f>
        <v>0</v>
      </c>
      <c r="CC24" s="716">
        <f>IF(OR($C$110=$AR24,$D$110=$AR24),Schweine_Werte!$O24*0.5,IF(OR($C$110&gt;$AR24,$D$110&lt;$AR24),0,Schweine_Werte!$O24))</f>
        <v>0</v>
      </c>
    </row>
    <row r="25" spans="1:81" x14ac:dyDescent="0.2">
      <c r="AR25" s="792">
        <v>29</v>
      </c>
      <c r="AS25" s="781">
        <f>IF(OR($C$12=$AR25,$D$12=$AR25),Schweine_Werte!$C25*0.5,IF(OR($C$12&gt;$AR25,$D$12&lt;$AR25),0,Schweine_Werte!$C25))</f>
        <v>0</v>
      </c>
      <c r="AT25" s="716">
        <f>IF(OR($C$24=$AR25,$D$24=$AR25),Schweine_Werte!$C25*0.5,IF(OR($C$24&gt;$AR25,$D$24&lt;$AR25),0,Schweine_Werte!$C25))</f>
        <v>0</v>
      </c>
      <c r="AU25" s="781">
        <f>IF(OR($C$36=$AR25,$D$36=$AR25),Schweine_Werte!$C25*0.5,IF(OR($C$36&gt;$AR25,$D$36&lt;$AR25),0,Schweine_Werte!$C25))</f>
        <v>0</v>
      </c>
      <c r="AV25" s="781">
        <f>IF(OR($C$48=$AR25,$D$48=$AR25),Schweine_Werte!$C25*0.5,IF(OR($C$48&gt;$AR25,$D$48&lt;$AR25),0,Schweine_Werte!$C25))</f>
        <v>0</v>
      </c>
      <c r="AW25" s="781">
        <f>IF(OR($C$60=$AR25,$D$60=$AR25),Schweine_Werte!$C25*0.5,IF(OR($C$60&gt;$AR25,$D$60&lt;$AR25),0,Schweine_Werte!$C25))</f>
        <v>0</v>
      </c>
      <c r="AX25" s="781">
        <f>IF(OR($C$12=$AR25,$D$12=$AR25),Schweine_Werte!$E25*0.5,IF(OR($C$12&gt;$AR25,$D$12&lt;$AR25),0,Schweine_Werte!$E25))</f>
        <v>0</v>
      </c>
      <c r="AY25" s="716">
        <f>IF(OR($C$24=$AR25,$D$24=$AR25),Schweine_Werte!$E25*0.5,IF(OR($C$24&gt;$AR25,$D$24&lt;$AR25),0,Schweine_Werte!$E25))</f>
        <v>0</v>
      </c>
      <c r="AZ25" s="716">
        <f>IF(OR($C$36=$AR25,$D$36=$AR25),Schweine_Werte!$E25*0.5,IF(OR($C$36&gt;$AR25,$D$36&lt;$AR25),0,Schweine_Werte!$E25))</f>
        <v>0</v>
      </c>
      <c r="BA25" s="716">
        <f>IF(OR($C$48=$AR25,$D$48=$AR25),Schweine_Werte!$E25*0.5,IF(OR($C$48&gt;$AR25,$D$48&lt;$AR25),0,Schweine_Werte!$E25))</f>
        <v>0</v>
      </c>
      <c r="BB25" s="716">
        <f>IF(OR($C$60=$AR25,$D$60=$AR25),Schweine_Werte!$E25*0.5,IF(OR($C$60&gt;$AR25,$D$60&lt;$AR25),0,Schweine_Werte!$E25))</f>
        <v>0</v>
      </c>
      <c r="BC25" s="781">
        <f>IF(OR($C$12=$AR25,$D$12=$AR25),Schweine_Werte!$G25*0.5,IF(OR($C$12&gt;$AR25,$D$12&lt;$AR25),0,Schweine_Werte!$G25))</f>
        <v>0</v>
      </c>
      <c r="BD25" s="716">
        <f>IF(OR($C$24=$AR25,$D$24=$AR25),Schweine_Werte!$G25*0.5,IF(OR($C$24&gt;$AR25,$D$24&lt;$AR25),0,Schweine_Werte!$G25))</f>
        <v>0</v>
      </c>
      <c r="BE25" s="716">
        <f>IF(OR($C$36=$AR25,$D$36=$AR25),Schweine_Werte!$G25*0.5,IF(OR($C$36&gt;$AR25,$D$36&lt;$AR25),0,Schweine_Werte!$G25))</f>
        <v>0</v>
      </c>
      <c r="BF25" s="716">
        <f>IF(OR($C$48=$AR25,$D$48=$AR25),Schweine_Werte!$G25*0.5,IF(OR($C$48&gt;$AR25,$D$48&lt;$AR25),0,Schweine_Werte!$G25))</f>
        <v>0</v>
      </c>
      <c r="BG25" s="716">
        <f>IF(OR($C$60=$AR25,$D$60=$AR25),Schweine_Werte!$G25*0.5,IF(OR($C$60&gt;$AR25,$D$60&lt;$AR25),0,Schweine_Werte!$G25))</f>
        <v>0</v>
      </c>
      <c r="BH25" s="781">
        <f>IF(OR($C$12=$AR25,$D$12=$AR25),Schweine_Werte!$I25*0.5,IF(OR($C$12&gt;$AR25,$D$12&lt;$AR25),0,Schweine_Werte!$I25))</f>
        <v>0</v>
      </c>
      <c r="BI25" s="716">
        <f>IF(OR($C$24=$AR25,$D$24=$AR25),Schweine_Werte!$I25*0.5,IF(OR($C$24&gt;$AR25,$D$24&lt;$AR25),0,Schweine_Werte!$I25))</f>
        <v>0</v>
      </c>
      <c r="BJ25" s="716">
        <f>IF(OR($C$36=$AR25,$D$36=$AR25),Schweine_Werte!$I25*0.5,IF(OR($C$36&gt;$AR25,$D$36&lt;$AR25),0,Schweine_Werte!$I25))</f>
        <v>0</v>
      </c>
      <c r="BK25" s="716">
        <f>IF(OR($C$48=$AR25,$D$48=$AR25),Schweine_Werte!$I25*0.5,IF(OR($C$48&gt;$AR25,$D$48&lt;$AR25),0,Schweine_Werte!$I25))</f>
        <v>0</v>
      </c>
      <c r="BL25" s="716">
        <f>IF(OR($C$60=$AR25,$D$60=$AR25),Schweine_Werte!$I25*0.5,IF(OR($C$60&gt;$AR25,$D$60&lt;$AR25),0,Schweine_Werte!$I25))</f>
        <v>0</v>
      </c>
      <c r="BM25" s="781"/>
      <c r="BN25" s="716"/>
      <c r="BO25" s="716"/>
      <c r="BP25" s="716"/>
      <c r="BQ25" s="716"/>
      <c r="BR25" s="781">
        <f>IF(OR($C$74=$AR25,$D$74=$AR25),Schweine_Werte!$M25*0.5,IF(OR($C$74&gt;$AR25,$D$74&lt;$AR25),0,Schweine_Werte!$M25))</f>
        <v>0</v>
      </c>
      <c r="BS25" s="781">
        <f>IF(OR($C$83=$AR25,$D$83=$AR25),Schweine_Werte!$M25*0.5,IF(OR($C$83&gt;$AR25,$D$83&lt;$AR25),0,Schweine_Werte!$M25))</f>
        <v>0</v>
      </c>
      <c r="BT25" s="716">
        <f>IF(OR($C$92=$AR25,$D$92=$AR25),Schweine_Werte!$M25*0.5,IF(OR($C$92&gt;$AR25,$D$92&lt;$AR25),0,Schweine_Werte!$M25))</f>
        <v>0</v>
      </c>
      <c r="BU25" s="716">
        <f>IF(OR($C$101=$AR25,$D$101=$AR25),Schweine_Werte!$M25*0.5,IF(OR($C$101&gt;$AR25,$D$101&lt;$AR25),0,Schweine_Werte!$M25))</f>
        <v>0</v>
      </c>
      <c r="BV25" s="716">
        <f>IF(OR($C$110=$AR25,$D$110=$AR25),Schweine_Werte!$M25*0.5,IF(OR($C$110&gt;$AR25,$D$110&lt;$AR25),0,Schweine_Werte!$M25))</f>
        <v>0</v>
      </c>
      <c r="BW25" s="716">
        <f>IF(OR(8=$AR25,$E$127=$AR25),Schweine_Werte!$M25*0.5,IF(OR(8&gt;$AR25,$E$127&lt;$AR25),0,Schweine_Werte!$M25))</f>
        <v>1.5964550424733612</v>
      </c>
      <c r="BX25" s="716">
        <f>IF(OR(8=$AR25,$E$145=$AR25),Schweine_Werte!$M25*0.5,IF(OR(8&gt;$AR25,$E$145&lt;$AR25),0,Schweine_Werte!$M25))</f>
        <v>1.5964550424733612</v>
      </c>
      <c r="BY25" s="781">
        <f>IF(OR($C$74=$AR25,$D$74=$AR25),Schweine_Werte!$O25*0.5,IF(OR($C$74&gt;$AR25,$D$74&lt;$AR25),0,Schweine_Werte!$O25))</f>
        <v>0</v>
      </c>
      <c r="BZ25" s="781">
        <f>IF(OR($C$83=$AR25,$D$83=$AR25),Schweine_Werte!$O25*0.5,IF(OR($C$83&gt;$AR25,$D$83&lt;$AR25),0,Schweine_Werte!$O25))</f>
        <v>0</v>
      </c>
      <c r="CA25" s="716">
        <f>IF(OR($C$92=$AR25,$D$92=$AR25),Schweine_Werte!$O25*0.5,IF(OR($C$92&gt;$AR25,$D$92&lt;$AR25),0,Schweine_Werte!$O25))</f>
        <v>0</v>
      </c>
      <c r="CB25" s="716">
        <f>IF(OR($C$101=$AR25,$D$101=$AR25),Schweine_Werte!$O25*0.5,IF(OR($C$101&gt;$AR25,$D$101&lt;$AR25),0,Schweine_Werte!$O25))</f>
        <v>0</v>
      </c>
      <c r="CC25" s="716">
        <f>IF(OR($C$110=$AR25,$D$110=$AR25),Schweine_Werte!$O25*0.5,IF(OR($C$110&gt;$AR25,$D$110&lt;$AR25),0,Schweine_Werte!$O25))</f>
        <v>0</v>
      </c>
    </row>
    <row r="26" spans="1:81" ht="18.75" x14ac:dyDescent="0.3">
      <c r="H26" s="770"/>
      <c r="I26" s="770"/>
      <c r="L26" s="804"/>
      <c r="W26" s="1587" t="s">
        <v>7662</v>
      </c>
      <c r="X26" s="1587"/>
      <c r="Y26" s="1587"/>
      <c r="AR26" s="792">
        <v>30</v>
      </c>
      <c r="AS26" s="781">
        <f>IF(OR($C$12=$AR26,$D$12=$AR26),Schweine_Werte!$C26*0.5,IF(OR($C$12&gt;$AR26,$D$12&lt;$AR26),0,Schweine_Werte!$C26))</f>
        <v>0</v>
      </c>
      <c r="AT26" s="716">
        <f>IF(OR($C$24=$AR26,$D$24=$AR26),Schweine_Werte!$C26*0.5,IF(OR($C$24&gt;$AR26,$D$24&lt;$AR26),0,Schweine_Werte!$C26))</f>
        <v>0</v>
      </c>
      <c r="AU26" s="781">
        <f>IF(OR($C$36=$AR26,$D$36=$AR26),Schweine_Werte!$C26*0.5,IF(OR($C$36&gt;$AR26,$D$36&lt;$AR26),0,Schweine_Werte!$C26))</f>
        <v>0</v>
      </c>
      <c r="AV26" s="781">
        <f>IF(OR($C$48=$AR26,$D$48=$AR26),Schweine_Werte!$C26*0.5,IF(OR($C$48&gt;$AR26,$D$48&lt;$AR26),0,Schweine_Werte!$C26))</f>
        <v>0</v>
      </c>
      <c r="AW26" s="781">
        <f>IF(OR($C$60=$AR26,$D$60=$AR26),Schweine_Werte!$C26*0.5,IF(OR($C$60&gt;$AR26,$D$60&lt;$AR26),0,Schweine_Werte!$C26))</f>
        <v>0</v>
      </c>
      <c r="AX26" s="781">
        <f>IF(OR($C$12=$AR26,$D$12=$AR26),Schweine_Werte!$E26*0.5,IF(OR($C$12&gt;$AR26,$D$12&lt;$AR26),0,Schweine_Werte!$E26))</f>
        <v>0</v>
      </c>
      <c r="AY26" s="716">
        <f>IF(OR($C$24=$AR26,$D$24=$AR26),Schweine_Werte!$E26*0.5,IF(OR($C$24&gt;$AR26,$D$24&lt;$AR26),0,Schweine_Werte!$E26))</f>
        <v>0</v>
      </c>
      <c r="AZ26" s="716">
        <f>IF(OR($C$36=$AR26,$D$36=$AR26),Schweine_Werte!$E26*0.5,IF(OR($C$36&gt;$AR26,$D$36&lt;$AR26),0,Schweine_Werte!$E26))</f>
        <v>0</v>
      </c>
      <c r="BA26" s="716">
        <f>IF(OR($C$48=$AR26,$D$48=$AR26),Schweine_Werte!$E26*0.5,IF(OR($C$48&gt;$AR26,$D$48&lt;$AR26),0,Schweine_Werte!$E26))</f>
        <v>0</v>
      </c>
      <c r="BB26" s="716">
        <f>IF(OR($C$60=$AR26,$D$60=$AR26),Schweine_Werte!$E26*0.5,IF(OR($C$60&gt;$AR26,$D$60&lt;$AR26),0,Schweine_Werte!$E26))</f>
        <v>0</v>
      </c>
      <c r="BC26" s="781">
        <f>IF(OR($C$12=$AR26,$D$12=$AR26),Schweine_Werte!$G26*0.5,IF(OR($C$12&gt;$AR26,$D$12&lt;$AR26),0,Schweine_Werte!$G26))</f>
        <v>0</v>
      </c>
      <c r="BD26" s="716">
        <f>IF(OR($C$24=$AR26,$D$24=$AR26),Schweine_Werte!$G26*0.5,IF(OR($C$24&gt;$AR26,$D$24&lt;$AR26),0,Schweine_Werte!$G26))</f>
        <v>0</v>
      </c>
      <c r="BE26" s="716">
        <f>IF(OR($C$36=$AR26,$D$36=$AR26),Schweine_Werte!$G26*0.5,IF(OR($C$36&gt;$AR26,$D$36&lt;$AR26),0,Schweine_Werte!$G26))</f>
        <v>0</v>
      </c>
      <c r="BF26" s="716">
        <f>IF(OR($C$48=$AR26,$D$48=$AR26),Schweine_Werte!$G26*0.5,IF(OR($C$48&gt;$AR26,$D$48&lt;$AR26),0,Schweine_Werte!$G26))</f>
        <v>0</v>
      </c>
      <c r="BG26" s="716">
        <f>IF(OR($C$60=$AR26,$D$60=$AR26),Schweine_Werte!$G26*0.5,IF(OR($C$60&gt;$AR26,$D$60&lt;$AR26),0,Schweine_Werte!$G26))</f>
        <v>0</v>
      </c>
      <c r="BH26" s="781">
        <f>IF(OR($C$12=$AR26,$D$12=$AR26),Schweine_Werte!$I26*0.5,IF(OR($C$12&gt;$AR26,$D$12&lt;$AR26),0,Schweine_Werte!$I26))</f>
        <v>0</v>
      </c>
      <c r="BI26" s="716">
        <f>IF(OR($C$24=$AR26,$D$24=$AR26),Schweine_Werte!$I26*0.5,IF(OR($C$24&gt;$AR26,$D$24&lt;$AR26),0,Schweine_Werte!$I26))</f>
        <v>0</v>
      </c>
      <c r="BJ26" s="716">
        <f>IF(OR($C$36=$AR26,$D$36=$AR26),Schweine_Werte!$I26*0.5,IF(OR($C$36&gt;$AR26,$D$36&lt;$AR26),0,Schweine_Werte!$I26))</f>
        <v>0</v>
      </c>
      <c r="BK26" s="716">
        <f>IF(OR($C$48=$AR26,$D$48=$AR26),Schweine_Werte!$I26*0.5,IF(OR($C$48&gt;$AR26,$D$48&lt;$AR26),0,Schweine_Werte!$I26))</f>
        <v>0</v>
      </c>
      <c r="BL26" s="716">
        <f>IF(OR($C$60=$AR26,$D$60=$AR26),Schweine_Werte!$I26*0.5,IF(OR($C$60&gt;$AR26,$D$60&lt;$AR26),0,Schweine_Werte!$I26))</f>
        <v>0</v>
      </c>
      <c r="BM26" s="781"/>
      <c r="BN26" s="716"/>
      <c r="BO26" s="716"/>
      <c r="BP26" s="716"/>
      <c r="BQ26" s="716"/>
      <c r="BR26" s="781">
        <f>IF(OR($C$74=$AR26,$D$74=$AR26),Schweine_Werte!$M26*0.5,IF(OR($C$74&gt;$AR26,$D$74&lt;$AR26),0,Schweine_Werte!$M26))</f>
        <v>0</v>
      </c>
      <c r="BS26" s="781">
        <f>IF(OR($C$83=$AR26,$D$83=$AR26),Schweine_Werte!$M26*0.5,IF(OR($C$83&gt;$AR26,$D$83&lt;$AR26),0,Schweine_Werte!$M26))</f>
        <v>0</v>
      </c>
      <c r="BT26" s="716">
        <f>IF(OR($C$92=$AR26,$D$92=$AR26),Schweine_Werte!$M26*0.5,IF(OR($C$92&gt;$AR26,$D$92&lt;$AR26),0,Schweine_Werte!$M26))</f>
        <v>0</v>
      </c>
      <c r="BU26" s="716">
        <f>IF(OR($C$101=$AR26,$D$101=$AR26),Schweine_Werte!$M26*0.5,IF(OR($C$101&gt;$AR26,$D$101&lt;$AR26),0,Schweine_Werte!$M26))</f>
        <v>0</v>
      </c>
      <c r="BV26" s="716">
        <f>IF(OR($C$110=$AR26,$D$110=$AR26),Schweine_Werte!$M26*0.5,IF(OR($C$110&gt;$AR26,$D$110&lt;$AR26),0,Schweine_Werte!$M26))</f>
        <v>0</v>
      </c>
      <c r="BW26" s="716">
        <f>IF(OR(8=$AR26,$E$127=$AR26),Schweine_Werte!$M26*0.5,IF(OR(8&gt;$AR26,$E$127&lt;$AR26),0,Schweine_Werte!$M26))</f>
        <v>1.5649547016254071</v>
      </c>
      <c r="BX26" s="716">
        <f>IF(OR(8=$AR26,$E$145=$AR26),Schweine_Werte!$M26*0.5,IF(OR(8&gt;$AR26,$E$145&lt;$AR26),0,Schweine_Werte!$M26))</f>
        <v>1.5649547016254071</v>
      </c>
      <c r="BY26" s="781">
        <f>IF(OR($C$74=$AR26,$D$74=$AR26),Schweine_Werte!$O26*0.5,IF(OR($C$74&gt;$AR26,$D$74&lt;$AR26),0,Schweine_Werte!$O26))</f>
        <v>0</v>
      </c>
      <c r="BZ26" s="781">
        <f>IF(OR($C$83=$AR26,$D$83=$AR26),Schweine_Werte!$O26*0.5,IF(OR($C$83&gt;$AR26,$D$83&lt;$AR26),0,Schweine_Werte!$O26))</f>
        <v>0</v>
      </c>
      <c r="CA26" s="716">
        <f>IF(OR($C$92=$AR26,$D$92=$AR26),Schweine_Werte!$O26*0.5,IF(OR($C$92&gt;$AR26,$D$92&lt;$AR26),0,Schweine_Werte!$O26))</f>
        <v>0</v>
      </c>
      <c r="CB26" s="716">
        <f>IF(OR($C$101=$AR26,$D$101=$AR26),Schweine_Werte!$O26*0.5,IF(OR($C$101&gt;$AR26,$D$101&lt;$AR26),0,Schweine_Werte!$O26))</f>
        <v>0</v>
      </c>
      <c r="CC26" s="716">
        <f>IF(OR($C$110=$AR26,$D$110=$AR26),Schweine_Werte!$O26*0.5,IF(OR($C$110&gt;$AR26,$D$110&lt;$AR26),0,Schweine_Werte!$O26))</f>
        <v>0</v>
      </c>
    </row>
    <row r="27" spans="1:81" ht="18.75" x14ac:dyDescent="0.3">
      <c r="B27" s="774"/>
      <c r="C27" s="774"/>
      <c r="D27" s="774"/>
      <c r="E27" s="774"/>
      <c r="F27" s="774"/>
      <c r="G27" s="774"/>
      <c r="H27" s="775"/>
      <c r="L27" s="125" t="s">
        <v>253</v>
      </c>
      <c r="Q27" s="1587" t="s">
        <v>7768</v>
      </c>
      <c r="R27" s="1587"/>
      <c r="S27" s="1587"/>
      <c r="T27" s="1587" t="s">
        <v>7769</v>
      </c>
      <c r="U27" s="1587"/>
      <c r="V27" s="1587"/>
      <c r="W27" t="s">
        <v>7675</v>
      </c>
      <c r="X27" t="s">
        <v>7676</v>
      </c>
      <c r="Y27" t="s">
        <v>7677</v>
      </c>
      <c r="Z27" t="s">
        <v>7770</v>
      </c>
      <c r="AG27" t="s">
        <v>7771</v>
      </c>
      <c r="AJ27" t="s">
        <v>7772</v>
      </c>
      <c r="AR27" s="792">
        <v>31</v>
      </c>
      <c r="AS27" s="781">
        <f>IF(OR($C$12=$AR27,$D$12=$AR27),Schweine_Werte!$C27*0.5,IF(OR($C$12&gt;$AR27,$D$12&lt;$AR27),0,Schweine_Werte!$C27))</f>
        <v>0</v>
      </c>
      <c r="AT27" s="716">
        <f>IF(OR($C$24=$AR27,$D$24=$AR27),Schweine_Werte!$C27*0.5,IF(OR($C$24&gt;$AR27,$D$24&lt;$AR27),0,Schweine_Werte!$C27))</f>
        <v>0</v>
      </c>
      <c r="AU27" s="781">
        <f>IF(OR($C$36=$AR27,$D$36=$AR27),Schweine_Werte!$C27*0.5,IF(OR($C$36&gt;$AR27,$D$36&lt;$AR27),0,Schweine_Werte!$C27))</f>
        <v>0</v>
      </c>
      <c r="AV27" s="781">
        <f>IF(OR($C$48=$AR27,$D$48=$AR27),Schweine_Werte!$C27*0.5,IF(OR($C$48&gt;$AR27,$D$48&lt;$AR27),0,Schweine_Werte!$C27))</f>
        <v>0</v>
      </c>
      <c r="AW27" s="781">
        <f>IF(OR($C$60=$AR27,$D$60=$AR27),Schweine_Werte!$C27*0.5,IF(OR($C$60&gt;$AR27,$D$60&lt;$AR27),0,Schweine_Werte!$C27))</f>
        <v>0</v>
      </c>
      <c r="AX27" s="781">
        <f>IF(OR($C$12=$AR27,$D$12=$AR27),Schweine_Werte!$E27*0.5,IF(OR($C$12&gt;$AR27,$D$12&lt;$AR27),0,Schweine_Werte!$E27))</f>
        <v>0</v>
      </c>
      <c r="AY27" s="716">
        <f>IF(OR($C$24=$AR27,$D$24=$AR27),Schweine_Werte!$E27*0.5,IF(OR($C$24&gt;$AR27,$D$24&lt;$AR27),0,Schweine_Werte!$E27))</f>
        <v>0</v>
      </c>
      <c r="AZ27" s="716">
        <f>IF(OR($C$36=$AR27,$D$36=$AR27),Schweine_Werte!$E27*0.5,IF(OR($C$36&gt;$AR27,$D$36&lt;$AR27),0,Schweine_Werte!$E27))</f>
        <v>0</v>
      </c>
      <c r="BA27" s="716">
        <f>IF(OR($C$48=$AR27,$D$48=$AR27),Schweine_Werte!$E27*0.5,IF(OR($C$48&gt;$AR27,$D$48&lt;$AR27),0,Schweine_Werte!$E27))</f>
        <v>0</v>
      </c>
      <c r="BB27" s="716">
        <f>IF(OR($C$60=$AR27,$D$60=$AR27),Schweine_Werte!$E27*0.5,IF(OR($C$60&gt;$AR27,$D$60&lt;$AR27),0,Schweine_Werte!$E27))</f>
        <v>0</v>
      </c>
      <c r="BC27" s="781">
        <f>IF(OR($C$12=$AR27,$D$12=$AR27),Schweine_Werte!$G27*0.5,IF(OR($C$12&gt;$AR27,$D$12&lt;$AR27),0,Schweine_Werte!$G27))</f>
        <v>0</v>
      </c>
      <c r="BD27" s="716">
        <f>IF(OR($C$24=$AR27,$D$24=$AR27),Schweine_Werte!$G27*0.5,IF(OR($C$24&gt;$AR27,$D$24&lt;$AR27),0,Schweine_Werte!$G27))</f>
        <v>0</v>
      </c>
      <c r="BE27" s="716">
        <f>IF(OR($C$36=$AR27,$D$36=$AR27),Schweine_Werte!$G27*0.5,IF(OR($C$36&gt;$AR27,$D$36&lt;$AR27),0,Schweine_Werte!$G27))</f>
        <v>0</v>
      </c>
      <c r="BF27" s="716">
        <f>IF(OR($C$48=$AR27,$D$48=$AR27),Schweine_Werte!$G27*0.5,IF(OR($C$48&gt;$AR27,$D$48&lt;$AR27),0,Schweine_Werte!$G27))</f>
        <v>0</v>
      </c>
      <c r="BG27" s="716">
        <f>IF(OR($C$60=$AR27,$D$60=$AR27),Schweine_Werte!$G27*0.5,IF(OR($C$60&gt;$AR27,$D$60&lt;$AR27),0,Schweine_Werte!$G27))</f>
        <v>0</v>
      </c>
      <c r="BH27" s="781">
        <f>IF(OR($C$12=$AR27,$D$12=$AR27),Schweine_Werte!$I27*0.5,IF(OR($C$12&gt;$AR27,$D$12&lt;$AR27),0,Schweine_Werte!$I27))</f>
        <v>0</v>
      </c>
      <c r="BI27" s="716">
        <f>IF(OR($C$24=$AR27,$D$24=$AR27),Schweine_Werte!$I27*0.5,IF(OR($C$24&gt;$AR27,$D$24&lt;$AR27),0,Schweine_Werte!$I27))</f>
        <v>0</v>
      </c>
      <c r="BJ27" s="716">
        <f>IF(OR($C$36=$AR27,$D$36=$AR27),Schweine_Werte!$I27*0.5,IF(OR($C$36&gt;$AR27,$D$36&lt;$AR27),0,Schweine_Werte!$I27))</f>
        <v>0</v>
      </c>
      <c r="BK27" s="716">
        <f>IF(OR($C$48=$AR27,$D$48=$AR27),Schweine_Werte!$I27*0.5,IF(OR($C$48&gt;$AR27,$D$48&lt;$AR27),0,Schweine_Werte!$I27))</f>
        <v>0</v>
      </c>
      <c r="BL27" s="716">
        <f>IF(OR($C$60=$AR27,$D$60=$AR27),Schweine_Werte!$I27*0.5,IF(OR($C$60&gt;$AR27,$D$60&lt;$AR27),0,Schweine_Werte!$I27))</f>
        <v>0</v>
      </c>
      <c r="BM27" s="781"/>
      <c r="BN27" s="716"/>
      <c r="BO27" s="716"/>
      <c r="BP27" s="716"/>
      <c r="BQ27" s="716"/>
      <c r="BR27" s="781">
        <f>IF(OR($C$74=$AR27,$D$74=$AR27),Schweine_Werte!$M27*0.5,IF(OR($C$74&gt;$AR27,$D$74&lt;$AR27),0,Schweine_Werte!$M27))</f>
        <v>0</v>
      </c>
      <c r="BS27" s="781">
        <f>IF(OR($C$83=$AR27,$D$83=$AR27),Schweine_Werte!$M27*0.5,IF(OR($C$83&gt;$AR27,$D$83&lt;$AR27),0,Schweine_Werte!$M27))</f>
        <v>0</v>
      </c>
      <c r="BT27" s="716">
        <f>IF(OR($C$92=$AR27,$D$92=$AR27),Schweine_Werte!$M27*0.5,IF(OR($C$92&gt;$AR27,$D$92&lt;$AR27),0,Schweine_Werte!$M27))</f>
        <v>0</v>
      </c>
      <c r="BU27" s="716">
        <f>IF(OR($C$101=$AR27,$D$101=$AR27),Schweine_Werte!$M27*0.5,IF(OR($C$101&gt;$AR27,$D$101&lt;$AR27),0,Schweine_Werte!$M27))</f>
        <v>0</v>
      </c>
      <c r="BV27" s="716">
        <f>IF(OR($C$110=$AR27,$D$110=$AR27),Schweine_Werte!$M27*0.5,IF(OR($C$110&gt;$AR27,$D$110&lt;$AR27),0,Schweine_Werte!$M27))</f>
        <v>0</v>
      </c>
      <c r="BW27" s="716">
        <f>IF(OR(8=$AR27,$E$127=$AR27),Schweine_Werte!$M27*0.5,IF(OR(8&gt;$AR27,$E$127&lt;$AR27),0,Schweine_Werte!$M27))</f>
        <v>1.5353483916272892</v>
      </c>
      <c r="BX27" s="716">
        <f>IF(OR(8=$AR27,$E$145=$AR27),Schweine_Werte!$M27*0.5,IF(OR(8&gt;$AR27,$E$145&lt;$AR27),0,Schweine_Werte!$M27))</f>
        <v>1.5353483916272892</v>
      </c>
      <c r="BY27" s="781">
        <f>IF(OR($C$74=$AR27,$D$74=$AR27),Schweine_Werte!$O27*0.5,IF(OR($C$74&gt;$AR27,$D$74&lt;$AR27),0,Schweine_Werte!$O27))</f>
        <v>0</v>
      </c>
      <c r="BZ27" s="781">
        <f>IF(OR($C$83=$AR27,$D$83=$AR27),Schweine_Werte!$O27*0.5,IF(OR($C$83&gt;$AR27,$D$83&lt;$AR27),0,Schweine_Werte!$O27))</f>
        <v>0</v>
      </c>
      <c r="CA27" s="716">
        <f>IF(OR($C$92=$AR27,$D$92=$AR27),Schweine_Werte!$O27*0.5,IF(OR($C$92&gt;$AR27,$D$92&lt;$AR27),0,Schweine_Werte!$O27))</f>
        <v>0</v>
      </c>
      <c r="CB27" s="716">
        <f>IF(OR($C$101=$AR27,$D$101=$AR27),Schweine_Werte!$O27*0.5,IF(OR($C$101&gt;$AR27,$D$101&lt;$AR27),0,Schweine_Werte!$O27))</f>
        <v>0</v>
      </c>
      <c r="CC27" s="716">
        <f>IF(OR($C$110=$AR27,$D$110=$AR27),Schweine_Werte!$O27*0.5,IF(OR($C$110&gt;$AR27,$D$110&lt;$AR27),0,Schweine_Werte!$O27))</f>
        <v>0</v>
      </c>
    </row>
    <row r="28" spans="1:81" x14ac:dyDescent="0.2">
      <c r="B28" t="s">
        <v>7687</v>
      </c>
      <c r="E28" t="s">
        <v>7688</v>
      </c>
      <c r="F28" t="s">
        <v>196</v>
      </c>
      <c r="G28" t="s">
        <v>7689</v>
      </c>
      <c r="H28" t="s">
        <v>7690</v>
      </c>
      <c r="I28" t="s">
        <v>7691</v>
      </c>
      <c r="J28" t="s">
        <v>589</v>
      </c>
      <c r="K28" t="s">
        <v>7692</v>
      </c>
      <c r="L28" s="125" t="s">
        <v>7693</v>
      </c>
      <c r="M28" t="s">
        <v>7694</v>
      </c>
      <c r="N28" t="s">
        <v>7695</v>
      </c>
      <c r="O28" t="s">
        <v>7696</v>
      </c>
      <c r="P28" t="s">
        <v>7697</v>
      </c>
      <c r="Q28" t="s">
        <v>39</v>
      </c>
      <c r="R28" t="s">
        <v>40</v>
      </c>
      <c r="S28" t="s">
        <v>41</v>
      </c>
      <c r="T28" t="s">
        <v>39</v>
      </c>
      <c r="U28" t="s">
        <v>40</v>
      </c>
      <c r="V28" t="s">
        <v>41</v>
      </c>
      <c r="AR28" s="792">
        <v>32</v>
      </c>
      <c r="AS28" s="781">
        <f>IF(OR($C$12=$AR28,$D$12=$AR28),Schweine_Werte!$C28*0.5,IF(OR($C$12&gt;$AR28,$D$12&lt;$AR28),0,Schweine_Werte!$C28))</f>
        <v>0</v>
      </c>
      <c r="AT28" s="716">
        <f>IF(OR($C$24=$AR28,$D$24=$AR28),Schweine_Werte!$C28*0.5,IF(OR($C$24&gt;$AR28,$D$24&lt;$AR28),0,Schweine_Werte!$C28))</f>
        <v>0</v>
      </c>
      <c r="AU28" s="781">
        <f>IF(OR($C$36=$AR28,$D$36=$AR28),Schweine_Werte!$C28*0.5,IF(OR($C$36&gt;$AR28,$D$36&lt;$AR28),0,Schweine_Werte!$C28))</f>
        <v>0</v>
      </c>
      <c r="AV28" s="781">
        <f>IF(OR($C$48=$AR28,$D$48=$AR28),Schweine_Werte!$C28*0.5,IF(OR($C$48&gt;$AR28,$D$48&lt;$AR28),0,Schweine_Werte!$C28))</f>
        <v>0</v>
      </c>
      <c r="AW28" s="781">
        <f>IF(OR($C$60=$AR28,$D$60=$AR28),Schweine_Werte!$C28*0.5,IF(OR($C$60&gt;$AR28,$D$60&lt;$AR28),0,Schweine_Werte!$C28))</f>
        <v>0</v>
      </c>
      <c r="AX28" s="781">
        <f>IF(OR($C$12=$AR28,$D$12=$AR28),Schweine_Werte!$E28*0.5,IF(OR($C$12&gt;$AR28,$D$12&lt;$AR28),0,Schweine_Werte!$E28))</f>
        <v>0</v>
      </c>
      <c r="AY28" s="716">
        <f>IF(OR($C$24=$AR28,$D$24=$AR28),Schweine_Werte!$E28*0.5,IF(OR($C$24&gt;$AR28,$D$24&lt;$AR28),0,Schweine_Werte!$E28))</f>
        <v>0</v>
      </c>
      <c r="AZ28" s="716">
        <f>IF(OR($C$36=$AR28,$D$36=$AR28),Schweine_Werte!$E28*0.5,IF(OR($C$36&gt;$AR28,$D$36&lt;$AR28),0,Schweine_Werte!$E28))</f>
        <v>0</v>
      </c>
      <c r="BA28" s="716">
        <f>IF(OR($C$48=$AR28,$D$48=$AR28),Schweine_Werte!$E28*0.5,IF(OR($C$48&gt;$AR28,$D$48&lt;$AR28),0,Schweine_Werte!$E28))</f>
        <v>0</v>
      </c>
      <c r="BB28" s="716">
        <f>IF(OR($C$60=$AR28,$D$60=$AR28),Schweine_Werte!$E28*0.5,IF(OR($C$60&gt;$AR28,$D$60&lt;$AR28),0,Schweine_Werte!$E28))</f>
        <v>0</v>
      </c>
      <c r="BC28" s="781">
        <f>IF(OR($C$12=$AR28,$D$12=$AR28),Schweine_Werte!$G28*0.5,IF(OR($C$12&gt;$AR28,$D$12&lt;$AR28),0,Schweine_Werte!$G28))</f>
        <v>0</v>
      </c>
      <c r="BD28" s="716">
        <f>IF(OR($C$24=$AR28,$D$24=$AR28),Schweine_Werte!$G28*0.5,IF(OR($C$24&gt;$AR28,$D$24&lt;$AR28),0,Schweine_Werte!$G28))</f>
        <v>0</v>
      </c>
      <c r="BE28" s="716">
        <f>IF(OR($C$36=$AR28,$D$36=$AR28),Schweine_Werte!$G28*0.5,IF(OR($C$36&gt;$AR28,$D$36&lt;$AR28),0,Schweine_Werte!$G28))</f>
        <v>0</v>
      </c>
      <c r="BF28" s="716">
        <f>IF(OR($C$48=$AR28,$D$48=$AR28),Schweine_Werte!$G28*0.5,IF(OR($C$48&gt;$AR28,$D$48&lt;$AR28),0,Schweine_Werte!$G28))</f>
        <v>0</v>
      </c>
      <c r="BG28" s="716">
        <f>IF(OR($C$60=$AR28,$D$60=$AR28),Schweine_Werte!$G28*0.5,IF(OR($C$60&gt;$AR28,$D$60&lt;$AR28),0,Schweine_Werte!$G28))</f>
        <v>0</v>
      </c>
      <c r="BH28" s="781">
        <f>IF(OR($C$12=$AR28,$D$12=$AR28),Schweine_Werte!$I28*0.5,IF(OR($C$12&gt;$AR28,$D$12&lt;$AR28),0,Schweine_Werte!$I28))</f>
        <v>0</v>
      </c>
      <c r="BI28" s="716">
        <f>IF(OR($C$24=$AR28,$D$24=$AR28),Schweine_Werte!$I28*0.5,IF(OR($C$24&gt;$AR28,$D$24&lt;$AR28),0,Schweine_Werte!$I28))</f>
        <v>0</v>
      </c>
      <c r="BJ28" s="716">
        <f>IF(OR($C$36=$AR28,$D$36=$AR28),Schweine_Werte!$I28*0.5,IF(OR($C$36&gt;$AR28,$D$36&lt;$AR28),0,Schweine_Werte!$I28))</f>
        <v>0</v>
      </c>
      <c r="BK28" s="716">
        <f>IF(OR($C$48=$AR28,$D$48=$AR28),Schweine_Werte!$I28*0.5,IF(OR($C$48&gt;$AR28,$D$48&lt;$AR28),0,Schweine_Werte!$I28))</f>
        <v>0</v>
      </c>
      <c r="BL28" s="716">
        <f>IF(OR($C$60=$AR28,$D$60=$AR28),Schweine_Werte!$I28*0.5,IF(OR($C$60&gt;$AR28,$D$60&lt;$AR28),0,Schweine_Werte!$I28))</f>
        <v>0</v>
      </c>
      <c r="BM28" s="781"/>
      <c r="BN28" s="716"/>
      <c r="BO28" s="716"/>
      <c r="BP28" s="716"/>
      <c r="BQ28" s="716"/>
      <c r="BR28" s="781">
        <f>IF(OR($C$74=$AR28,$D$74=$AR28),Schweine_Werte!$M28*0.5,IF(OR($C$74&gt;$AR28,$D$74&lt;$AR28),0,Schweine_Werte!$M28))</f>
        <v>0</v>
      </c>
      <c r="BS28" s="781">
        <f>IF(OR($C$83=$AR28,$D$83=$AR28),Schweine_Werte!$M28*0.5,IF(OR($C$83&gt;$AR28,$D$83&lt;$AR28),0,Schweine_Werte!$M28))</f>
        <v>0</v>
      </c>
      <c r="BT28" s="716">
        <f>IF(OR($C$92=$AR28,$D$92=$AR28),Schweine_Werte!$M28*0.5,IF(OR($C$92&gt;$AR28,$D$92&lt;$AR28),0,Schweine_Werte!$M28))</f>
        <v>0</v>
      </c>
      <c r="BU28" s="716">
        <f>IF(OR($C$101=$AR28,$D$101=$AR28),Schweine_Werte!$M28*0.5,IF(OR($C$101&gt;$AR28,$D$101&lt;$AR28),0,Schweine_Werte!$M28))</f>
        <v>0</v>
      </c>
      <c r="BV28" s="716">
        <f>IF(OR($C$110=$AR28,$D$110=$AR28),Schweine_Werte!$M28*0.5,IF(OR($C$110&gt;$AR28,$D$110&lt;$AR28),0,Schweine_Werte!$M28))</f>
        <v>0</v>
      </c>
      <c r="BW28" s="716">
        <f>IF(OR(8=$AR28,$E$127=$AR28),Schweine_Werte!$M28*0.5,IF(OR(8&gt;$AR28,$E$127&lt;$AR28),0,Schweine_Werte!$M28))</f>
        <v>1.5074933090959595</v>
      </c>
      <c r="BX28" s="716">
        <f>IF(OR(8=$AR28,$E$145=$AR28),Schweine_Werte!$M28*0.5,IF(OR(8&gt;$AR28,$E$145&lt;$AR28),0,Schweine_Werte!$M28))</f>
        <v>1.5074933090959595</v>
      </c>
      <c r="BY28" s="781">
        <f>IF(OR($C$74=$AR28,$D$74=$AR28),Schweine_Werte!$O28*0.5,IF(OR($C$74&gt;$AR28,$D$74&lt;$AR28),0,Schweine_Werte!$O28))</f>
        <v>0</v>
      </c>
      <c r="BZ28" s="781">
        <f>IF(OR($C$83=$AR28,$D$83=$AR28),Schweine_Werte!$O28*0.5,IF(OR($C$83&gt;$AR28,$D$83&lt;$AR28),0,Schweine_Werte!$O28))</f>
        <v>0</v>
      </c>
      <c r="CA28" s="716">
        <f>IF(OR($C$92=$AR28,$D$92=$AR28),Schweine_Werte!$O28*0.5,IF(OR($C$92&gt;$AR28,$D$92&lt;$AR28),0,Schweine_Werte!$O28))</f>
        <v>0</v>
      </c>
      <c r="CB28" s="716">
        <f>IF(OR($C$101=$AR28,$D$101=$AR28),Schweine_Werte!$O28*0.5,IF(OR($C$101&gt;$AR28,$D$101&lt;$AR28),0,Schweine_Werte!$O28))</f>
        <v>0</v>
      </c>
      <c r="CC28" s="716">
        <f>IF(OR($C$110=$AR28,$D$110=$AR28),Schweine_Werte!$O28*0.5,IF(OR($C$110&gt;$AR28,$D$110&lt;$AR28),0,Schweine_Werte!$O28))</f>
        <v>0</v>
      </c>
    </row>
    <row r="29" spans="1:81" x14ac:dyDescent="0.2">
      <c r="B29" s="691">
        <v>700</v>
      </c>
      <c r="D29" s="716"/>
      <c r="E29" s="716" t="e">
        <f>($D36-$C36)*1000/SUM($AU$4:$AU$146)</f>
        <v>#VALUE!</v>
      </c>
      <c r="F29" s="716" t="e">
        <f>SUMPRODUCT($AU$4:$AU$146,Schweine_Werte!$Q$4:$Q$146)/SUM($AU$4:$AU$146)</f>
        <v>#DIV/0!</v>
      </c>
      <c r="G29" s="716" t="e">
        <f>IF($B36=$A$8,SUMPRODUCT($AU$4:$AU$146,Schweine_Werte!EH$4:EH$146)/SUM($AU$4:$AU$146),IF($B36=$A$7,SUMPRODUCT($AU$4:$AU$146,Schweine_Werte!DB$4:DB$146)/SUM($AU$4:$AU$146),IF($B36=$A$6,SUMPRODUCT($AU$4:$AU$146,Schweine_Werte!BV$4:BV$146)/SUM($AU$4:$AU$146),SUMPRODUCT($AU$4:$AU$146,Schweine_Werte!AP$4:AP$146)/SUM($AU$4:$AU$146))))</f>
        <v>#DIV/0!</v>
      </c>
      <c r="H29" s="716" t="e">
        <f>IF($B36=$A$8,SUMPRODUCT($AU$4:$AU$146,Schweine_Werte!EI$4:EI$146)/SUM($AU$4:$AU$146),IF($B36=$A$7,SUMPRODUCT($AU$4:$AU$146,Schweine_Werte!DC$4:DC$146)/SUM($AU$4:$AU$146),IF($B36=$A$6,SUMPRODUCT($AU$4:$AU$146,Schweine_Werte!BW$4:BW$146)/SUM($AU$4:$AU$146),SUMPRODUCT($AU$4:$AU$146,Schweine_Werte!AQ$4:AQ$146)/SUM($AU$4:$AU$146))))</f>
        <v>#DIV/0!</v>
      </c>
      <c r="I29" s="716" t="e">
        <f>IF($B36=$A$8,SUMPRODUCT($AU$4:$AU$146,Schweine_Werte!EJ$4:EJ$146)/SUM($AU$4:$AU$146),IF($B36=$A$7,SUMPRODUCT($AU$4:$AU$146,Schweine_Werte!DD$4:DD$146)/SUM($AU$4:$AU$146),IF($B36=$A$6,SUMPRODUCT($AU$4:$AU$146,Schweine_Werte!BX$4:BX$146)/SUM($AU$4:$AU$146),SUMPRODUCT($AU$4:$AU$146,Schweine_Werte!AR$4:AR$146)/SUM($AU$4:$AU$146))))</f>
        <v>#DIV/0!</v>
      </c>
      <c r="J29" s="716" t="e">
        <f>SUMPRODUCT($AU$4:$AU$146,Schweine_Werte!$Y$4:$Y$146)/SUM($AU$4:$AU$146)</f>
        <v>#DIV/0!</v>
      </c>
      <c r="K29" s="716" t="e">
        <f>SUMPRODUCT($AU$4:$AU$146,Schweine_Werte!$AG$4:$AG$146)/SUM($AU$4:$AU$146)</f>
        <v>#DIV/0!</v>
      </c>
      <c r="L29" s="804" t="e">
        <f>T29*$F29*365/1000+$J29-$K29</f>
        <v>#DIV/0!</v>
      </c>
      <c r="M29" s="716" t="e">
        <f>U29*$F29*365/1000+$J29-$K29/2</f>
        <v>#DIV/0!</v>
      </c>
      <c r="N29" s="716" t="e">
        <f>V29*$F29*365/1000+$J29</f>
        <v>#DIV/0!</v>
      </c>
      <c r="O29" s="716">
        <f>IF($C36&lt;28,SUM($AU$4:$AU$23)+IF($D36&gt;28,$AU$24*0.5,$AU$24),0)</f>
        <v>0</v>
      </c>
      <c r="P29" s="716">
        <f>IF($D36&gt;28,SUM($AU$25:$AU$146)+IF($C36&lt;28,$AU$24*0.5,$AU$24),0)</f>
        <v>0</v>
      </c>
      <c r="Q29" s="716" t="e">
        <f t="shared" ref="Q29:S32" si="16">+T29*$F29</f>
        <v>#DIV/0!</v>
      </c>
      <c r="R29" s="716" t="e">
        <f t="shared" si="16"/>
        <v>#DIV/0!</v>
      </c>
      <c r="S29" s="716" t="e">
        <f t="shared" si="16"/>
        <v>#DIV/0!</v>
      </c>
      <c r="T29" s="716" t="e">
        <f>+($O29*Schweine_Werte!$HT$5+$P29*Schweine_Werte!$HU$5)/SUM($O29:$P29)</f>
        <v>#DIV/0!</v>
      </c>
      <c r="U29" s="716" t="e">
        <f>+($O29*Schweine_Werte!$HV$5+$P29*Schweine_Werte!$HW$5)/SUM($O29:$P29)</f>
        <v>#DIV/0!</v>
      </c>
      <c r="V29" s="716" t="e">
        <f>+($O29*Schweine_Werte!$HX$5+$P29*Schweine_Werte!$HY$5)/SUM($O29:$P29)</f>
        <v>#DIV/0!</v>
      </c>
      <c r="W29" s="771" t="e">
        <f>($J29*0.055+T29*0.365*0.86*$F29-$K29*0.018)/L29*100</f>
        <v>#DIV/0!</v>
      </c>
      <c r="X29" s="716" t="e">
        <f>($J29*0.055+U29*0.365*0.86*$F29-$K29*0.018/2)/M29*100</f>
        <v>#DIV/0!</v>
      </c>
      <c r="Y29" s="716" t="e">
        <f>($J29*0.055+V29*0.365*0.86*$F29)/N29*100</f>
        <v>#DIV/0!</v>
      </c>
      <c r="Z29" s="716"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16"/>
      <c r="AB29" s="716">
        <f>IF($B36=$A$8,SUMIF(Schweine_Werte!$AO$4:$AO$146,$C36,Schweine_Werte!$EL$4:$EL$146),IF($B36=$A$7,SUMIF(Schweine_Werte!$AO$4:$AO$146,$C36,Schweine_Werte!$DF$4:$DF$146),IF($B36=$A$6,SUMIF(Schweine_Werte!$AO$4:$AO$146,$C36,Schweine_Werte!$BZ$4:$BZ$146),SUMIF(Schweine_Werte!$AO$4:$AO$146,$C36,Schweine_Werte!$AT$4:$AT$146))))</f>
        <v>0</v>
      </c>
      <c r="AC29" s="716"/>
      <c r="AD29" s="716">
        <f>IF($B36=$A$8,SUMIF(Schweine_Werte!$AO$4:$AO$146,$D36,Schweine_Werte!$EL$4:$EL$146),IF($B36=$A$7,SUMIF(Schweine_Werte!$AO$4:$AO$146,$D36,Schweine_Werte!$DF$4:$DF$146),IF($B36=$A$6,SUMIF(Schweine_Werte!$AO$4:$AO$146,$D36,Schweine_Werte!$BZ$4:$BZ$146),SUMIF(Schweine_Werte!$AO$4:$AO$146,$D36,Schweine_Werte!$AT$4:$AT$146))))</f>
        <v>0</v>
      </c>
      <c r="AE29" s="716"/>
      <c r="AF29" s="716"/>
      <c r="AG29" s="716" t="e">
        <f>IF($B36=$A$8,SUMPRODUCT($AU$4:$AU$146,Schweine_Werte!$EK$4:$EK$146)/SUM($AU$4:$AU$146),IF($B36=$A$7,SUMPRODUCT($AU$4:$AU$146,Schweine_Werte!$DE$4:$DE$146)/SUM($AU$4:$AU$146),IF($B36=$A$6,SUMPRODUCT($AU$4:$AU$146,Schweine_Werte!$BY$4:$BY$146)/SUM($AU$4:$AU$146),SUMPRODUCT($AU$4:$AU$146,Schweine_Werte!$AS$4:$AS$146)/SUM($AU$4:$AU$146))))</f>
        <v>#DIV/0!</v>
      </c>
      <c r="AH29" s="716"/>
      <c r="AI29" s="716"/>
      <c r="AJ29" s="716"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16"/>
      <c r="AL29" s="716">
        <f>IF($B36=$A$8,SUMIF(Schweine_Werte!$AO$4:$AO$146,$C36,Schweine_Werte!$EM$4:$EM$146),IF($B36=$A$7,SUMIF(Schweine_Werte!$AO$4:$AO$146,$C36,Schweine_Werte!$DG$4:$DG$146),IF($B36=$A$6,SUMIF(Schweine_Werte!$AO$4:$AO$146,$C36,Schweine_Werte!$CA$4:$CA$146),SUMIF(Schweine_Werte!$AO$4:$AO$146,$C36,Schweine_Werte!$AU$4:$AU$146))))</f>
        <v>0</v>
      </c>
      <c r="AM29" s="716"/>
      <c r="AN29" s="716">
        <f>IF($B36=$A$8,SUMIF(Schweine_Werte!$AO$4:$AO$146,$D36,Schweine_Werte!$EM$4:$EM$146),IF($B36=$A$7,SUMIF(Schweine_Werte!$AO$4:$AO$146,$D36,Schweine_Werte!$DG$4:$DG$146),IF($B36=$A$6,SUMIF(Schweine_Werte!$AO$4:$AO$146,$D36,Schweine_Werte!$CA$4:$CA$146),SUMIF(Schweine_Werte!$AO$4:$AO$146,$D36,Schweine_Werte!$AU$4:$AU$146))))</f>
        <v>0</v>
      </c>
      <c r="AR29" s="792">
        <v>33</v>
      </c>
      <c r="AS29" s="781">
        <f>IF(OR($C$12=$AR29,$D$12=$AR29),Schweine_Werte!$C29*0.5,IF(OR($C$12&gt;$AR29,$D$12&lt;$AR29),0,Schweine_Werte!$C29))</f>
        <v>0</v>
      </c>
      <c r="AT29" s="716">
        <f>IF(OR($C$24=$AR29,$D$24=$AR29),Schweine_Werte!$C29*0.5,IF(OR($C$24&gt;$AR29,$D$24&lt;$AR29),0,Schweine_Werte!$C29))</f>
        <v>0</v>
      </c>
      <c r="AU29" s="781">
        <f>IF(OR($C$36=$AR29,$D$36=$AR29),Schweine_Werte!$C29*0.5,IF(OR($C$36&gt;$AR29,$D$36&lt;$AR29),0,Schweine_Werte!$C29))</f>
        <v>0</v>
      </c>
      <c r="AV29" s="781">
        <f>IF(OR($C$48=$AR29,$D$48=$AR29),Schweine_Werte!$C29*0.5,IF(OR($C$48&gt;$AR29,$D$48&lt;$AR29),0,Schweine_Werte!$C29))</f>
        <v>0</v>
      </c>
      <c r="AW29" s="781">
        <f>IF(OR($C$60=$AR29,$D$60=$AR29),Schweine_Werte!$C29*0.5,IF(OR($C$60&gt;$AR29,$D$60&lt;$AR29),0,Schweine_Werte!$C29))</f>
        <v>0</v>
      </c>
      <c r="AX29" s="781">
        <f>IF(OR($C$12=$AR29,$D$12=$AR29),Schweine_Werte!$E29*0.5,IF(OR($C$12&gt;$AR29,$D$12&lt;$AR29),0,Schweine_Werte!$E29))</f>
        <v>0</v>
      </c>
      <c r="AY29" s="716">
        <f>IF(OR($C$24=$AR29,$D$24=$AR29),Schweine_Werte!$E29*0.5,IF(OR($C$24&gt;$AR29,$D$24&lt;$AR29),0,Schweine_Werte!$E29))</f>
        <v>0</v>
      </c>
      <c r="AZ29" s="716">
        <f>IF(OR($C$36=$AR29,$D$36=$AR29),Schweine_Werte!$E29*0.5,IF(OR($C$36&gt;$AR29,$D$36&lt;$AR29),0,Schweine_Werte!$E29))</f>
        <v>0</v>
      </c>
      <c r="BA29" s="716">
        <f>IF(OR($C$48=$AR29,$D$48=$AR29),Schweine_Werte!$E29*0.5,IF(OR($C$48&gt;$AR29,$D$48&lt;$AR29),0,Schweine_Werte!$E29))</f>
        <v>0</v>
      </c>
      <c r="BB29" s="716">
        <f>IF(OR($C$60=$AR29,$D$60=$AR29),Schweine_Werte!$E29*0.5,IF(OR($C$60&gt;$AR29,$D$60&lt;$AR29),0,Schweine_Werte!$E29))</f>
        <v>0</v>
      </c>
      <c r="BC29" s="781">
        <f>IF(OR($C$12=$AR29,$D$12=$AR29),Schweine_Werte!$G29*0.5,IF(OR($C$12&gt;$AR29,$D$12&lt;$AR29),0,Schweine_Werte!$G29))</f>
        <v>0</v>
      </c>
      <c r="BD29" s="716">
        <f>IF(OR($C$24=$AR29,$D$24=$AR29),Schweine_Werte!$G29*0.5,IF(OR($C$24&gt;$AR29,$D$24&lt;$AR29),0,Schweine_Werte!$G29))</f>
        <v>0</v>
      </c>
      <c r="BE29" s="716">
        <f>IF(OR($C$36=$AR29,$D$36=$AR29),Schweine_Werte!$G29*0.5,IF(OR($C$36&gt;$AR29,$D$36&lt;$AR29),0,Schweine_Werte!$G29))</f>
        <v>0</v>
      </c>
      <c r="BF29" s="716">
        <f>IF(OR($C$48=$AR29,$D$48=$AR29),Schweine_Werte!$G29*0.5,IF(OR($C$48&gt;$AR29,$D$48&lt;$AR29),0,Schweine_Werte!$G29))</f>
        <v>0</v>
      </c>
      <c r="BG29" s="716">
        <f>IF(OR($C$60=$AR29,$D$60=$AR29),Schweine_Werte!$G29*0.5,IF(OR($C$60&gt;$AR29,$D$60&lt;$AR29),0,Schweine_Werte!$G29))</f>
        <v>0</v>
      </c>
      <c r="BH29" s="781">
        <f>IF(OR($C$12=$AR29,$D$12=$AR29),Schweine_Werte!$I29*0.5,IF(OR($C$12&gt;$AR29,$D$12&lt;$AR29),0,Schweine_Werte!$I29))</f>
        <v>0</v>
      </c>
      <c r="BI29" s="716">
        <f>IF(OR($C$24=$AR29,$D$24=$AR29),Schweine_Werte!$I29*0.5,IF(OR($C$24&gt;$AR29,$D$24&lt;$AR29),0,Schweine_Werte!$I29))</f>
        <v>0</v>
      </c>
      <c r="BJ29" s="716">
        <f>IF(OR($C$36=$AR29,$D$36=$AR29),Schweine_Werte!$I29*0.5,IF(OR($C$36&gt;$AR29,$D$36&lt;$AR29),0,Schweine_Werte!$I29))</f>
        <v>0</v>
      </c>
      <c r="BK29" s="716">
        <f>IF(OR($C$48=$AR29,$D$48=$AR29),Schweine_Werte!$I29*0.5,IF(OR($C$48&gt;$AR29,$D$48&lt;$AR29),0,Schweine_Werte!$I29))</f>
        <v>0</v>
      </c>
      <c r="BL29" s="716">
        <f>IF(OR($C$60=$AR29,$D$60=$AR29),Schweine_Werte!$I29*0.5,IF(OR($C$60&gt;$AR29,$D$60&lt;$AR29),0,Schweine_Werte!$I29))</f>
        <v>0</v>
      </c>
      <c r="BM29" s="781"/>
      <c r="BN29" s="716"/>
      <c r="BO29" s="716"/>
      <c r="BP29" s="716"/>
      <c r="BQ29" s="716"/>
      <c r="BR29" s="781">
        <f>IF(OR($C$74=$AR29,$D$74=$AR29),Schweine_Werte!$M29*0.5,IF(OR($C$74&gt;$AR29,$D$74&lt;$AR29),0,Schweine_Werte!$M29))</f>
        <v>0</v>
      </c>
      <c r="BS29" s="781">
        <f>IF(OR($C$83=$AR29,$D$83=$AR29),Schweine_Werte!$M29*0.5,IF(OR($C$83&gt;$AR29,$D$83&lt;$AR29),0,Schweine_Werte!$M29))</f>
        <v>0</v>
      </c>
      <c r="BT29" s="716">
        <f>IF(OR($C$92=$AR29,$D$92=$AR29),Schweine_Werte!$M29*0.5,IF(OR($C$92&gt;$AR29,$D$92&lt;$AR29),0,Schweine_Werte!$M29))</f>
        <v>0</v>
      </c>
      <c r="BU29" s="716">
        <f>IF(OR($C$101=$AR29,$D$101=$AR29),Schweine_Werte!$M29*0.5,IF(OR($C$101&gt;$AR29,$D$101&lt;$AR29),0,Schweine_Werte!$M29))</f>
        <v>0</v>
      </c>
      <c r="BV29" s="716">
        <f>IF(OR($C$110=$AR29,$D$110=$AR29),Schweine_Werte!$M29*0.5,IF(OR($C$110&gt;$AR29,$D$110&lt;$AR29),0,Schweine_Werte!$M29))</f>
        <v>0</v>
      </c>
      <c r="BW29" s="716">
        <f>IF(OR(8=$AR29,$E$127=$AR29),Schweine_Werte!$M29*0.5,IF(OR(8&gt;$AR29,$E$127&lt;$AR29),0,Schweine_Werte!$M29))</f>
        <v>1.4812613148067963</v>
      </c>
      <c r="BX29" s="716">
        <f>IF(OR(8=$AR29,$E$145=$AR29),Schweine_Werte!$M29*0.5,IF(OR(8&gt;$AR29,$E$145&lt;$AR29),0,Schweine_Werte!$M29))</f>
        <v>1.4812613148067963</v>
      </c>
      <c r="BY29" s="781">
        <f>IF(OR($C$74=$AR29,$D$74=$AR29),Schweine_Werte!$O29*0.5,IF(OR($C$74&gt;$AR29,$D$74&lt;$AR29),0,Schweine_Werte!$O29))</f>
        <v>0</v>
      </c>
      <c r="BZ29" s="781">
        <f>IF(OR($C$83=$AR29,$D$83=$AR29),Schweine_Werte!$O29*0.5,IF(OR($C$83&gt;$AR29,$D$83&lt;$AR29),0,Schweine_Werte!$O29))</f>
        <v>0</v>
      </c>
      <c r="CA29" s="716">
        <f>IF(OR($C$92=$AR29,$D$92=$AR29),Schweine_Werte!$O29*0.5,IF(OR($C$92&gt;$AR29,$D$92&lt;$AR29),0,Schweine_Werte!$O29))</f>
        <v>0</v>
      </c>
      <c r="CB29" s="716">
        <f>IF(OR($C$101=$AR29,$D$101=$AR29),Schweine_Werte!$O29*0.5,IF(OR($C$101&gt;$AR29,$D$101&lt;$AR29),0,Schweine_Werte!$O29))</f>
        <v>0</v>
      </c>
      <c r="CC29" s="716">
        <f>IF(OR($C$110=$AR29,$D$110=$AR29),Schweine_Werte!$O29*0.5,IF(OR($C$110&gt;$AR29,$D$110&lt;$AR29),0,Schweine_Werte!$O29))</f>
        <v>0</v>
      </c>
    </row>
    <row r="30" spans="1:81" x14ac:dyDescent="0.2">
      <c r="B30" s="691">
        <v>750</v>
      </c>
      <c r="D30" s="784"/>
      <c r="E30" s="716" t="e">
        <f>($D36-$C36)*1000/SUM($AZ$4:$AZ$146)</f>
        <v>#VALUE!</v>
      </c>
      <c r="F30" s="716" t="e">
        <f>SUMPRODUCT($AZ$4:$AZ$146,Schweine_Werte!$R$4:$R$146)/SUM($AZ$4:$AZ$146)</f>
        <v>#DIV/0!</v>
      </c>
      <c r="G30" s="716" t="e">
        <f>IF($B36=$A$8,SUMPRODUCT($AZ$4:$AZ$146,Schweine_Werte!EN$4:EN$146)/SUM($AZ$4:$AZ$146),IF($B36=$A$7,SUMPRODUCT($AZ$4:$AZ$146,Schweine_Werte!DH$4:DH$146)/SUM($AZ$4:$AZ$146),IF($B36=$A$6,SUMPRODUCT($AZ$4:$AZ$146,Schweine_Werte!CB$4:CB$146)/SUM($AZ$4:$AZ$146),SUMPRODUCT($AZ$4:$AZ$146,Schweine_Werte!AV$4:AV$146)/SUM($AZ$4:$AZ$146))))</f>
        <v>#DIV/0!</v>
      </c>
      <c r="H30" s="716" t="e">
        <f>IF($B36=$A$8,SUMPRODUCT($AZ$4:$AZ$146,Schweine_Werte!EO$4:EO$146)/SUM($AZ$4:$AZ$146),IF($B36=$A$7,SUMPRODUCT($AZ$4:$AZ$146,Schweine_Werte!DI$4:DI$146)/SUM($AZ$4:$AZ$146),IF($B36=$A$6,SUMPRODUCT($AZ$4:$AZ$146,Schweine_Werte!CC$4:CC$146)/SUM($AZ$4:$AZ$146),SUMPRODUCT($AZ$4:$AZ$146,Schweine_Werte!AW$4:AW$146)/SUM($AZ$4:$AZ$146))))</f>
        <v>#DIV/0!</v>
      </c>
      <c r="I30" s="716" t="e">
        <f>IF($B36=$A$8,SUMPRODUCT($AZ$4:$AZ$146,Schweine_Werte!EP$4:EP$146)/SUM($AZ$4:$AZ$146),IF($B36=$A$7,SUMPRODUCT($AZ$4:$AZ$146,Schweine_Werte!DJ$4:DJ$146)/SUM($AZ$4:$AZ$146),IF($B36=$A$6,SUMPRODUCT($AZ$4:$AZ$146,Schweine_Werte!CD$4:CD$146)/SUM($AZ$4:$AZ$146),SUMPRODUCT($AZ$4:$AZ$146,Schweine_Werte!AX$4:AX$146)/SUM($AZ$4:$AZ$146))))</f>
        <v>#DIV/0!</v>
      </c>
      <c r="J30" s="716" t="e">
        <f>SUMPRODUCT($AZ$4:$AZ$146,Schweine_Werte!$Z$4:$Z$146)/SUM($AZ$4:$AZ$146)</f>
        <v>#DIV/0!</v>
      </c>
      <c r="K30" s="716" t="e">
        <f>SUMPRODUCT($AZ$4:$AZ$146,Schweine_Werte!$AH$4:$AH$146)/SUM($AZ$4:$AZ$146)</f>
        <v>#DIV/0!</v>
      </c>
      <c r="L30" s="804" t="e">
        <f>T30*$F30*365/1000+$J30-$K30</f>
        <v>#DIV/0!</v>
      </c>
      <c r="M30" s="716" t="e">
        <f>U30*$F30*365/1000+$J30-$K30/2</f>
        <v>#DIV/0!</v>
      </c>
      <c r="N30" s="716" t="e">
        <f>V30*$F30*365/1000+$J30</f>
        <v>#DIV/0!</v>
      </c>
      <c r="O30" s="716">
        <f>IF($C36&lt;28,SUM($AZ$4:$AZ$23)+IF($D36&gt;28,$AZ$24*0.5,$AZ$24),0)</f>
        <v>0</v>
      </c>
      <c r="P30" s="716">
        <f>IF($D36&gt;28,SUM($AZ$25:$AZ$146)+IF($C36&lt;28,$AZ$24*0.5,$AZ$24),0)</f>
        <v>0</v>
      </c>
      <c r="Q30" s="716" t="e">
        <f t="shared" si="16"/>
        <v>#DIV/0!</v>
      </c>
      <c r="R30" s="716" t="e">
        <f t="shared" si="16"/>
        <v>#DIV/0!</v>
      </c>
      <c r="S30" s="716" t="e">
        <f t="shared" si="16"/>
        <v>#DIV/0!</v>
      </c>
      <c r="T30" s="716" t="e">
        <f>+($O30*Schweine_Werte!$HT$6+$P30*Schweine_Werte!$HU$6)/SUM($O30:$P30)</f>
        <v>#DIV/0!</v>
      </c>
      <c r="U30" s="716" t="e">
        <f>+($O30*Schweine_Werte!$HV$6+$P30*Schweine_Werte!$HW$6)/SUM($O30:$P30)</f>
        <v>#DIV/0!</v>
      </c>
      <c r="V30" s="716" t="e">
        <f>+($O30*Schweine_Werte!$HX$6+$P30*Schweine_Werte!$HY$6)/SUM($O30:$P30)</f>
        <v>#DIV/0!</v>
      </c>
      <c r="W30" s="771" t="e">
        <f>($J30*0.055+T30*0.365*0.86*$F30-$K30*0.018)/L30*100</f>
        <v>#DIV/0!</v>
      </c>
      <c r="X30" s="716" t="e">
        <f>($J30*0.055+U30*0.365*0.86*$F30-$K30*0.018/2)/M30*100</f>
        <v>#DIV/0!</v>
      </c>
      <c r="Y30" s="716" t="e">
        <f>($J30*0.055+V30*0.365*0.86*$F30)/N30*100</f>
        <v>#DIV/0!</v>
      </c>
      <c r="Z30" s="716"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16"/>
      <c r="AB30" s="716">
        <f>IF($B36=$A$8,SUMIF(Schweine_Werte!$AO$4:$AO$146,$C36,Schweine_Werte!$ER$4:$ER$146),IF($B36=$A$7,SUMIF(Schweine_Werte!$AO$4:$AO$146,$C36,Schweine_Werte!$DL$4:$DL$146),IF($B36=$A$6,SUMIF(Schweine_Werte!$AO$4:$AO$146,$C36,Schweine_Werte!$CF$4:$CF$146),SUMIF(Schweine_Werte!$AO$4:$AO$146,$C36,Schweine_Werte!$AZ$4:$AZ$146))))</f>
        <v>0</v>
      </c>
      <c r="AC30" s="716"/>
      <c r="AD30" s="716">
        <f>IF($B36=$A$8,SUMIF(Schweine_Werte!$AO$4:$AO$146,$D36,Schweine_Werte!$ER$4:$ER$146),IF($B36=$A$7,SUMIF(Schweine_Werte!$AO$4:$AO$146,$D36,Schweine_Werte!$DL$4:$DL$146),IF($B36=$A$6,SUMIF(Schweine_Werte!$AO$4:$AO$146,$D36,Schweine_Werte!$CF$4:$CF$146),SUMIF(Schweine_Werte!$AO$4:$AO$146,$D36,Schweine_Werte!$AZ$4:$AZ$146))))</f>
        <v>0</v>
      </c>
      <c r="AE30" s="716"/>
      <c r="AF30" s="716"/>
      <c r="AG30" s="716" t="e">
        <f>IF($B36=$A$8,SUMPRODUCT($AZ$4:$AZ$146,Schweine_Werte!$EQ$4:$EQ$146)/SUM($AZ$4:$AZ$146),IF($B36=$A$7,SUMPRODUCT($AZ$4:$AZ$146,Schweine_Werte!$DK$4:$DK$146)/SUM($AZ$4:$AZ$146),IF($B36=$A$6,SUMPRODUCT($AZ$4:$AZ$146,Schweine_Werte!$CE$4:$CE$146)/SUM($AZ$4:$AZ$146),SUMPRODUCT($AZ$4:$AZ$146,Schweine_Werte!$AY$4:$AY$146)/SUM($AZ$4:$AZ$146))))</f>
        <v>#DIV/0!</v>
      </c>
      <c r="AH30" s="716"/>
      <c r="AI30" s="716"/>
      <c r="AJ30" s="716"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16"/>
      <c r="AL30" s="716">
        <f>IF($B36=$A$8,SUMIF(Schweine_Werte!$AO$4:$AO$146,$C36,Schweine_Werte!$ES$4:$ES$146),IF($B36=$A$7,SUMIF(Schweine_Werte!$AO$4:$AO$146,$C36,Schweine_Werte!$DM$4:$DM$146),IF($B36=$A$6,SUMIF(Schweine_Werte!$AO$4:$AO$146,$C36,Schweine_Werte!$CG$4:$CG$146),SUMIF(Schweine_Werte!$AO$4:$AO$146,$C36,Schweine_Werte!$BA$4:$BA$146))))</f>
        <v>0</v>
      </c>
      <c r="AM30" s="716"/>
      <c r="AN30" s="716">
        <f>IF($B36=$A$8,SUMIF(Schweine_Werte!$AO$4:$AO$146,$D36,Schweine_Werte!$ES$4:$ES$146),IF($B36=$A$7,SUMIF(Schweine_Werte!$AO$4:$AO$146,$D36,Schweine_Werte!$DM$4:$DM$146),IF($B36=$A$6,SUMIF(Schweine_Werte!$AO$4:$AO$146,$D36,Schweine_Werte!$CG$4:$CG$146),SUMIF(Schweine_Werte!$AO$4:$AO$146,$D36,Schweine_Werte!$BA$4:$BA$146))))</f>
        <v>0</v>
      </c>
      <c r="AR30" s="792">
        <v>34</v>
      </c>
      <c r="AS30" s="781">
        <f>IF(OR($C$12=$AR30,$D$12=$AR30),Schweine_Werte!$C30*0.5,IF(OR($C$12&gt;$AR30,$D$12&lt;$AR30),0,Schweine_Werte!$C30))</f>
        <v>0</v>
      </c>
      <c r="AT30" s="716">
        <f>IF(OR($C$24=$AR30,$D$24=$AR30),Schweine_Werte!$C30*0.5,IF(OR($C$24&gt;$AR30,$D$24&lt;$AR30),0,Schweine_Werte!$C30))</f>
        <v>0</v>
      </c>
      <c r="AU30" s="781">
        <f>IF(OR($C$36=$AR30,$D$36=$AR30),Schweine_Werte!$C30*0.5,IF(OR($C$36&gt;$AR30,$D$36&lt;$AR30),0,Schweine_Werte!$C30))</f>
        <v>0</v>
      </c>
      <c r="AV30" s="781">
        <f>IF(OR($C$48=$AR30,$D$48=$AR30),Schweine_Werte!$C30*0.5,IF(OR($C$48&gt;$AR30,$D$48&lt;$AR30),0,Schweine_Werte!$C30))</f>
        <v>0</v>
      </c>
      <c r="AW30" s="781">
        <f>IF(OR($C$60=$AR30,$D$60=$AR30),Schweine_Werte!$C30*0.5,IF(OR($C$60&gt;$AR30,$D$60&lt;$AR30),0,Schweine_Werte!$C30))</f>
        <v>0</v>
      </c>
      <c r="AX30" s="781">
        <f>IF(OR($C$12=$AR30,$D$12=$AR30),Schweine_Werte!$E30*0.5,IF(OR($C$12&gt;$AR30,$D$12&lt;$AR30),0,Schweine_Werte!$E30))</f>
        <v>0</v>
      </c>
      <c r="AY30" s="716">
        <f>IF(OR($C$24=$AR30,$D$24=$AR30),Schweine_Werte!$E30*0.5,IF(OR($C$24&gt;$AR30,$D$24&lt;$AR30),0,Schweine_Werte!$E30))</f>
        <v>0</v>
      </c>
      <c r="AZ30" s="716">
        <f>IF(OR($C$36=$AR30,$D$36=$AR30),Schweine_Werte!$E30*0.5,IF(OR($C$36&gt;$AR30,$D$36&lt;$AR30),0,Schweine_Werte!$E30))</f>
        <v>0</v>
      </c>
      <c r="BA30" s="716">
        <f>IF(OR($C$48=$AR30,$D$48=$AR30),Schweine_Werte!$E30*0.5,IF(OR($C$48&gt;$AR30,$D$48&lt;$AR30),0,Schweine_Werte!$E30))</f>
        <v>0</v>
      </c>
      <c r="BB30" s="716">
        <f>IF(OR($C$60=$AR30,$D$60=$AR30),Schweine_Werte!$E30*0.5,IF(OR($C$60&gt;$AR30,$D$60&lt;$AR30),0,Schweine_Werte!$E30))</f>
        <v>0</v>
      </c>
      <c r="BC30" s="781">
        <f>IF(OR($C$12=$AR30,$D$12=$AR30),Schweine_Werte!$G30*0.5,IF(OR($C$12&gt;$AR30,$D$12&lt;$AR30),0,Schweine_Werte!$G30))</f>
        <v>0</v>
      </c>
      <c r="BD30" s="716">
        <f>IF(OR($C$24=$AR30,$D$24=$AR30),Schweine_Werte!$G30*0.5,IF(OR($C$24&gt;$AR30,$D$24&lt;$AR30),0,Schweine_Werte!$G30))</f>
        <v>0</v>
      </c>
      <c r="BE30" s="716">
        <f>IF(OR($C$36=$AR30,$D$36=$AR30),Schweine_Werte!$G30*0.5,IF(OR($C$36&gt;$AR30,$D$36&lt;$AR30),0,Schweine_Werte!$G30))</f>
        <v>0</v>
      </c>
      <c r="BF30" s="716">
        <f>IF(OR($C$48=$AR30,$D$48=$AR30),Schweine_Werte!$G30*0.5,IF(OR($C$48&gt;$AR30,$D$48&lt;$AR30),0,Schweine_Werte!$G30))</f>
        <v>0</v>
      </c>
      <c r="BG30" s="716">
        <f>IF(OR($C$60=$AR30,$D$60=$AR30),Schweine_Werte!$G30*0.5,IF(OR($C$60&gt;$AR30,$D$60&lt;$AR30),0,Schweine_Werte!$G30))</f>
        <v>0</v>
      </c>
      <c r="BH30" s="781">
        <f>IF(OR($C$12=$AR30,$D$12=$AR30),Schweine_Werte!$I30*0.5,IF(OR($C$12&gt;$AR30,$D$12&lt;$AR30),0,Schweine_Werte!$I30))</f>
        <v>0</v>
      </c>
      <c r="BI30" s="716">
        <f>IF(OR($C$24=$AR30,$D$24=$AR30),Schweine_Werte!$I30*0.5,IF(OR($C$24&gt;$AR30,$D$24&lt;$AR30),0,Schweine_Werte!$I30))</f>
        <v>0</v>
      </c>
      <c r="BJ30" s="716">
        <f>IF(OR($C$36=$AR30,$D$36=$AR30),Schweine_Werte!$I30*0.5,IF(OR($C$36&gt;$AR30,$D$36&lt;$AR30),0,Schweine_Werte!$I30))</f>
        <v>0</v>
      </c>
      <c r="BK30" s="716">
        <f>IF(OR($C$48=$AR30,$D$48=$AR30),Schweine_Werte!$I30*0.5,IF(OR($C$48&gt;$AR30,$D$48&lt;$AR30),0,Schweine_Werte!$I30))</f>
        <v>0</v>
      </c>
      <c r="BL30" s="716">
        <f>IF(OR($C$60=$AR30,$D$60=$AR30),Schweine_Werte!$I30*0.5,IF(OR($C$60&gt;$AR30,$D$60&lt;$AR30),0,Schweine_Werte!$I30))</f>
        <v>0</v>
      </c>
      <c r="BM30" s="781"/>
      <c r="BN30" s="716"/>
      <c r="BO30" s="716"/>
      <c r="BP30" s="716"/>
      <c r="BQ30" s="716"/>
      <c r="BR30" s="781">
        <f>IF(OR($C$74=$AR30,$D$74=$AR30),Schweine_Werte!$M30*0.5,IF(OR($C$74&gt;$AR30,$D$74&lt;$AR30),0,Schweine_Werte!$M30))</f>
        <v>0</v>
      </c>
      <c r="BS30" s="781">
        <f>IF(OR($C$83=$AR30,$D$83=$AR30),Schweine_Werte!$M30*0.5,IF(OR($C$83&gt;$AR30,$D$83&lt;$AR30),0,Schweine_Werte!$M30))</f>
        <v>0</v>
      </c>
      <c r="BT30" s="716">
        <f>IF(OR($C$92=$AR30,$D$92=$AR30),Schweine_Werte!$M30*0.5,IF(OR($C$92&gt;$AR30,$D$92&lt;$AR30),0,Schweine_Werte!$M30))</f>
        <v>0</v>
      </c>
      <c r="BU30" s="716">
        <f>IF(OR($C$101=$AR30,$D$101=$AR30),Schweine_Werte!$M30*0.5,IF(OR($C$101&gt;$AR30,$D$101&lt;$AR30),0,Schweine_Werte!$M30))</f>
        <v>0</v>
      </c>
      <c r="BV30" s="716">
        <f>IF(OR($C$110=$AR30,$D$110=$AR30),Schweine_Werte!$M30*0.5,IF(OR($C$110&gt;$AR30,$D$110&lt;$AR30),0,Schweine_Werte!$M30))</f>
        <v>0</v>
      </c>
      <c r="BW30" s="716">
        <f>IF(OR(8=$AR30,$E$127=$AR30),Schweine_Werte!$M30*0.5,IF(OR(8&gt;$AR30,$E$127&lt;$AR30),0,Schweine_Werte!$M30))</f>
        <v>1.4565371262046849</v>
      </c>
      <c r="BX30" s="716">
        <f>IF(OR(8=$AR30,$E$145=$AR30),Schweine_Werte!$M30*0.5,IF(OR(8&gt;$AR30,$E$145&lt;$AR30),0,Schweine_Werte!$M30))</f>
        <v>1.4565371262046849</v>
      </c>
      <c r="BY30" s="781">
        <f>IF(OR($C$74=$AR30,$D$74=$AR30),Schweine_Werte!$O30*0.5,IF(OR($C$74&gt;$AR30,$D$74&lt;$AR30),0,Schweine_Werte!$O30))</f>
        <v>0</v>
      </c>
      <c r="BZ30" s="781">
        <f>IF(OR($C$83=$AR30,$D$83=$AR30),Schweine_Werte!$O30*0.5,IF(OR($C$83&gt;$AR30,$D$83&lt;$AR30),0,Schweine_Werte!$O30))</f>
        <v>0</v>
      </c>
      <c r="CA30" s="716">
        <f>IF(OR($C$92=$AR30,$D$92=$AR30),Schweine_Werte!$O30*0.5,IF(OR($C$92&gt;$AR30,$D$92&lt;$AR30),0,Schweine_Werte!$O30))</f>
        <v>0</v>
      </c>
      <c r="CB30" s="716">
        <f>IF(OR($C$101=$AR30,$D$101=$AR30),Schweine_Werte!$O30*0.5,IF(OR($C$101&gt;$AR30,$D$101&lt;$AR30),0,Schweine_Werte!$O30))</f>
        <v>0</v>
      </c>
      <c r="CC30" s="716">
        <f>IF(OR($C$110=$AR30,$D$110=$AR30),Schweine_Werte!$O30*0.5,IF(OR($C$110&gt;$AR30,$D$110&lt;$AR30),0,Schweine_Werte!$O30))</f>
        <v>0</v>
      </c>
    </row>
    <row r="31" spans="1:81" x14ac:dyDescent="0.2">
      <c r="B31" s="691">
        <v>850</v>
      </c>
      <c r="D31" s="716"/>
      <c r="E31" s="716" t="e">
        <f>($D36-$C36)*1000/SUM($BE$4:$BE$146)</f>
        <v>#VALUE!</v>
      </c>
      <c r="F31" s="716" t="e">
        <f>SUMPRODUCT($BE$4:$BE$146,Schweine_Werte!$S$4:$S$146)/SUM($BE$4:$BE$146)</f>
        <v>#DIV/0!</v>
      </c>
      <c r="G31" s="716" t="e">
        <f>IF($B36=$A$8,SUMPRODUCT($BE$4:$BE$146,Schweine_Werte!ET$4:ET$146)/SUM($BE$4:$BE$146),IF($B36=$A$7,SUMPRODUCT($BE$4:$BE$146,Schweine_Werte!DN$4:DN$146)/SUM($BE$4:$BE$146),IF($B36=$A$6,SUMPRODUCT($BE$4:$BE$146,Schweine_Werte!CH$4:CH$146)/SUM($BE$4:$BE$146),SUMPRODUCT($BE$4:$BE$146,Schweine_Werte!BB$4:BB$146)/SUM($BE$4:$BE$146))))</f>
        <v>#DIV/0!</v>
      </c>
      <c r="H31" s="716" t="e">
        <f>IF($B36=$A$8,SUMPRODUCT($BE$4:$BE$146,Schweine_Werte!EU$4:EU$146)/SUM($BE$4:$BE$146),IF($B36=$A$7,SUMPRODUCT($BE$4:$BE$146,Schweine_Werte!DO$4:DO$146)/SUM($BE$4:$BE$146),IF($B36=$A$6,SUMPRODUCT($BE$4:$BE$146,Schweine_Werte!CI$4:CI$146)/SUM($BE$4:$BE$146),SUMPRODUCT($BE$4:$BE$146,Schweine_Werte!BC$4:BC$146)/SUM($BE$4:$BE$146))))</f>
        <v>#DIV/0!</v>
      </c>
      <c r="I31" s="716" t="e">
        <f>IF($B36=$A$8,SUMPRODUCT($BE$4:$BE$146,Schweine_Werte!EV$4:EV$146)/SUM($BE$4:$BE$146),IF($B36=$A$7,SUMPRODUCT($BE$4:$BE$146,Schweine_Werte!DP$4:DP$146)/SUM($BE$4:$BE$146),IF($B36=$A$6,SUMPRODUCT($BE$4:$BE$146,Schweine_Werte!CJ$4:CJ$146)/SUM($BE$4:$BE$146),SUMPRODUCT($BE$4:$BE$146,Schweine_Werte!BD$4:BD$146)/SUM($BE$4:$BE$146))))</f>
        <v>#DIV/0!</v>
      </c>
      <c r="J31" s="716" t="e">
        <f>SUMPRODUCT($BE$4:$BE$146,Schweine_Werte!$AA$4:$AA$146)/SUM($BE$4:$BE$146)</f>
        <v>#DIV/0!</v>
      </c>
      <c r="K31" s="716" t="e">
        <f>SUMPRODUCT($BE$4:$BE$146,Schweine_Werte!$AI$4:$AI$146)/SUM($BE$4:$BE$146)</f>
        <v>#DIV/0!</v>
      </c>
      <c r="L31" s="804" t="e">
        <f>T31*$F31*365/1000+$J31-$K31</f>
        <v>#DIV/0!</v>
      </c>
      <c r="M31" s="716" t="e">
        <f>U31*$F31*365/1000+$J31-$K31/2</f>
        <v>#DIV/0!</v>
      </c>
      <c r="N31" s="716" t="e">
        <f>V31*$F31*365/1000+$J31</f>
        <v>#DIV/0!</v>
      </c>
      <c r="O31" s="716">
        <f>IF($C36&lt;28,SUM($BE$4:$BE$23)+IF($D36&gt;28,$BE$24*0.5,$BE$24),0)</f>
        <v>0</v>
      </c>
      <c r="P31" s="716">
        <f>IF($D36&gt;28,SUM($BE$25:$BE$146)+IF($C36&lt;28,$BE$24*0.5,$BE$24),0)</f>
        <v>0</v>
      </c>
      <c r="Q31" s="716" t="e">
        <f t="shared" si="16"/>
        <v>#DIV/0!</v>
      </c>
      <c r="R31" s="716" t="e">
        <f t="shared" si="16"/>
        <v>#DIV/0!</v>
      </c>
      <c r="S31" s="716" t="e">
        <f t="shared" si="16"/>
        <v>#DIV/0!</v>
      </c>
      <c r="T31" s="716" t="e">
        <f>+($O31*Schweine_Werte!$HT$7+$P31*Schweine_Werte!$HU$7)/SUM($O31:$P31)</f>
        <v>#DIV/0!</v>
      </c>
      <c r="U31" s="716" t="e">
        <f>+($O31*Schweine_Werte!$HV$7+$P31*Schweine_Werte!$HW$7)/SUM($O31:$P31)</f>
        <v>#DIV/0!</v>
      </c>
      <c r="V31" s="716" t="e">
        <f>+($O31*Schweine_Werte!$HX$7+$P31*Schweine_Werte!$HY$7)/SUM($O31:$P31)</f>
        <v>#DIV/0!</v>
      </c>
      <c r="W31" s="716" t="e">
        <f>($J31*0.055+T31*0.365*0.86*$F31-$K31*0.018)/L31*100</f>
        <v>#DIV/0!</v>
      </c>
      <c r="X31" s="716" t="e">
        <f>($J31*0.055+U31*0.365*0.86*$F31-$K31*0.018/2)/M31*100</f>
        <v>#DIV/0!</v>
      </c>
      <c r="Y31" s="716" t="e">
        <f>($J31*0.055+V31*0.365*0.86*$F31)/N31*100</f>
        <v>#DIV/0!</v>
      </c>
      <c r="Z31" s="716"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16"/>
      <c r="AB31" s="716">
        <f>IF($B36=$A$8,SUMIF(Schweine_Werte!$AO$4:$AO$146,$C36,Schweine_Werte!$EX$4:$EX$146),IF($B36=$A$7,SUMIF(Schweine_Werte!$AO$4:$AO$146,$C36,Schweine_Werte!$DR$4:$DR$146),IF($B36=$A$6,SUMIF(Schweine_Werte!$AO$4:$AO$146,$C36,Schweine_Werte!$CL$4:$CL$146),SUMIF(Schweine_Werte!$AO$4:$AO$146,$C36,Schweine_Werte!$BF$4:$BF$146))))</f>
        <v>0</v>
      </c>
      <c r="AC31" s="716"/>
      <c r="AD31" s="716">
        <f>IF($B36=$A$8,SUMIF(Schweine_Werte!$AO$4:$AO$146,$D36,Schweine_Werte!$EX$4:$EX$146),IF($B36=$A$7,SUMIF(Schweine_Werte!$AO$4:$AO$146,$D36,Schweine_Werte!$DR$4:$DR$146),IF($B36=$A$6,SUMIF(Schweine_Werte!$AO$4:$AO$146,$D36,Schweine_Werte!$CL$4:$CL$146),SUMIF(Schweine_Werte!$AO$4:$AO$146,$D36,Schweine_Werte!$BF$4:$BF$146))))</f>
        <v>0</v>
      </c>
      <c r="AE31" s="716"/>
      <c r="AF31" s="716"/>
      <c r="AG31" s="716" t="e">
        <f>IF($B36=$A$8,SUMPRODUCT($BE$4:$BE$146,Schweine_Werte!$EW$4:$EW$146)/SUM($BE$4:$BE$146),IF($B36=$A$7,SUMPRODUCT($BE$4:$BE$146,Schweine_Werte!$DQ$4:$DQ$146)/SUM($BE$4:$BE$146),IF($B36=$A$6,SUMPRODUCT($BE$4:$BE$146,Schweine_Werte!$CK$4:$CK$146)/SUM($BE$4:$BE$146),SUMPRODUCT($BE$4:$BE$146,Schweine_Werte!$BE$4:$BE$146)/SUM($BE$4:$BE$146))))</f>
        <v>#DIV/0!</v>
      </c>
      <c r="AH31" s="716"/>
      <c r="AI31" s="716"/>
      <c r="AJ31" s="716"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16"/>
      <c r="AL31" s="716">
        <f>IF($B36=$A$8,SUMIF(Schweine_Werte!$AO$4:$AO$146,$C36,Schweine_Werte!$EY$4:$EY$146),IF($B36=$A$7,SUMIF(Schweine_Werte!$AO$4:$AO$146,$C36,Schweine_Werte!$DS$4:$DS$146),IF($B36=$A$6,SUMIF(Schweine_Werte!$AO$4:$AO$146,$C36,Schweine_Werte!$CM$4:$CM$146),SUMIF(Schweine_Werte!$AO$4:$AO$146,$C36,Schweine_Werte!$BG$4:$BG$146))))</f>
        <v>0</v>
      </c>
      <c r="AM31" s="716"/>
      <c r="AN31" s="716">
        <f>IF($B36=$A$8,SUMIF(Schweine_Werte!$AO$4:$AO$146,$D36,Schweine_Werte!$EY$4:$EY$146),IF($B36=$A$7,SUMIF(Schweine_Werte!$AO$4:$AO$146,$D36,Schweine_Werte!$DS$4:$DS$146),IF($B36=$A$6,SUMIF(Schweine_Werte!$AO$4:$AO$146,$D36,Schweine_Werte!$CM$4:$CM$146),SUMIF(Schweine_Werte!$AO$4:$AO$146,$D36,Schweine_Werte!$BG$4:$BG$146))))</f>
        <v>0</v>
      </c>
      <c r="AR31" s="792">
        <v>35</v>
      </c>
      <c r="AS31" s="781">
        <f>IF(OR($C$12=$AR31,$D$12=$AR31),Schweine_Werte!$C31*0.5,IF(OR($C$12&gt;$AR31,$D$12&lt;$AR31),0,Schweine_Werte!$C31))</f>
        <v>0</v>
      </c>
      <c r="AT31" s="716">
        <f>IF(OR($C$24=$AR31,$D$24=$AR31),Schweine_Werte!$C31*0.5,IF(OR($C$24&gt;$AR31,$D$24&lt;$AR31),0,Schweine_Werte!$C31))</f>
        <v>0</v>
      </c>
      <c r="AU31" s="781">
        <f>IF(OR($C$36=$AR31,$D$36=$AR31),Schweine_Werte!$C31*0.5,IF(OR($C$36&gt;$AR31,$D$36&lt;$AR31),0,Schweine_Werte!$C31))</f>
        <v>0</v>
      </c>
      <c r="AV31" s="781">
        <f>IF(OR($C$48=$AR31,$D$48=$AR31),Schweine_Werte!$C31*0.5,IF(OR($C$48&gt;$AR31,$D$48&lt;$AR31),0,Schweine_Werte!$C31))</f>
        <v>0</v>
      </c>
      <c r="AW31" s="781">
        <f>IF(OR($C$60=$AR31,$D$60=$AR31),Schweine_Werte!$C31*0.5,IF(OR($C$60&gt;$AR31,$D$60&lt;$AR31),0,Schweine_Werte!$C31))</f>
        <v>0</v>
      </c>
      <c r="AX31" s="781">
        <f>IF(OR($C$12=$AR31,$D$12=$AR31),Schweine_Werte!$E31*0.5,IF(OR($C$12&gt;$AR31,$D$12&lt;$AR31),0,Schweine_Werte!$E31))</f>
        <v>0</v>
      </c>
      <c r="AY31" s="716">
        <f>IF(OR($C$24=$AR31,$D$24=$AR31),Schweine_Werte!$E31*0.5,IF(OR($C$24&gt;$AR31,$D$24&lt;$AR31),0,Schweine_Werte!$E31))</f>
        <v>0</v>
      </c>
      <c r="AZ31" s="716">
        <f>IF(OR($C$36=$AR31,$D$36=$AR31),Schweine_Werte!$E31*0.5,IF(OR($C$36&gt;$AR31,$D$36&lt;$AR31),0,Schweine_Werte!$E31))</f>
        <v>0</v>
      </c>
      <c r="BA31" s="716">
        <f>IF(OR($C$48=$AR31,$D$48=$AR31),Schweine_Werte!$E31*0.5,IF(OR($C$48&gt;$AR31,$D$48&lt;$AR31),0,Schweine_Werte!$E31))</f>
        <v>0</v>
      </c>
      <c r="BB31" s="716">
        <f>IF(OR($C$60=$AR31,$D$60=$AR31),Schweine_Werte!$E31*0.5,IF(OR($C$60&gt;$AR31,$D$60&lt;$AR31),0,Schweine_Werte!$E31))</f>
        <v>0</v>
      </c>
      <c r="BC31" s="781">
        <f>IF(OR($C$12=$AR31,$D$12=$AR31),Schweine_Werte!$G31*0.5,IF(OR($C$12&gt;$AR31,$D$12&lt;$AR31),0,Schweine_Werte!$G31))</f>
        <v>0</v>
      </c>
      <c r="BD31" s="716">
        <f>IF(OR($C$24=$AR31,$D$24=$AR31),Schweine_Werte!$G31*0.5,IF(OR($C$24&gt;$AR31,$D$24&lt;$AR31),0,Schweine_Werte!$G31))</f>
        <v>0</v>
      </c>
      <c r="BE31" s="716">
        <f>IF(OR($C$36=$AR31,$D$36=$AR31),Schweine_Werte!$G31*0.5,IF(OR($C$36&gt;$AR31,$D$36&lt;$AR31),0,Schweine_Werte!$G31))</f>
        <v>0</v>
      </c>
      <c r="BF31" s="716">
        <f>IF(OR($C$48=$AR31,$D$48=$AR31),Schweine_Werte!$G31*0.5,IF(OR($C$48&gt;$AR31,$D$48&lt;$AR31),0,Schweine_Werte!$G31))</f>
        <v>0</v>
      </c>
      <c r="BG31" s="716">
        <f>IF(OR($C$60=$AR31,$D$60=$AR31),Schweine_Werte!$G31*0.5,IF(OR($C$60&gt;$AR31,$D$60&lt;$AR31),0,Schweine_Werte!$G31))</f>
        <v>0</v>
      </c>
      <c r="BH31" s="781">
        <f>IF(OR($C$12=$AR31,$D$12=$AR31),Schweine_Werte!$I31*0.5,IF(OR($C$12&gt;$AR31,$D$12&lt;$AR31),0,Schweine_Werte!$I31))</f>
        <v>0</v>
      </c>
      <c r="BI31" s="716">
        <f>IF(OR($C$24=$AR31,$D$24=$AR31),Schweine_Werte!$I31*0.5,IF(OR($C$24&gt;$AR31,$D$24&lt;$AR31),0,Schweine_Werte!$I31))</f>
        <v>0</v>
      </c>
      <c r="BJ31" s="716">
        <f>IF(OR($C$36=$AR31,$D$36=$AR31),Schweine_Werte!$I31*0.5,IF(OR($C$36&gt;$AR31,$D$36&lt;$AR31),0,Schweine_Werte!$I31))</f>
        <v>0</v>
      </c>
      <c r="BK31" s="716">
        <f>IF(OR($C$48=$AR31,$D$48=$AR31),Schweine_Werte!$I31*0.5,IF(OR($C$48&gt;$AR31,$D$48&lt;$AR31),0,Schweine_Werte!$I31))</f>
        <v>0</v>
      </c>
      <c r="BL31" s="716">
        <f>IF(OR($C$60=$AR31,$D$60=$AR31),Schweine_Werte!$I31*0.5,IF(OR($C$60&gt;$AR31,$D$60&lt;$AR31),0,Schweine_Werte!$I31))</f>
        <v>0</v>
      </c>
      <c r="BM31" s="781"/>
      <c r="BN31" s="716"/>
      <c r="BO31" s="716"/>
      <c r="BP31" s="716"/>
      <c r="BQ31" s="716"/>
      <c r="BR31" s="781">
        <f>IF(OR($C$74=$AR31,$D$74=$AR31),Schweine_Werte!$M31*0.5,IF(OR($C$74&gt;$AR31,$D$74&lt;$AR31),0,Schweine_Werte!$M31))</f>
        <v>0</v>
      </c>
      <c r="BS31" s="781">
        <f>IF(OR($C$83=$AR31,$D$83=$AR31),Schweine_Werte!$M31*0.5,IF(OR($C$83&gt;$AR31,$D$83&lt;$AR31),0,Schweine_Werte!$M31))</f>
        <v>0</v>
      </c>
      <c r="BT31" s="716">
        <f>IF(OR($C$92=$AR31,$D$92=$AR31),Schweine_Werte!$M31*0.5,IF(OR($C$92&gt;$AR31,$D$92&lt;$AR31),0,Schweine_Werte!$M31))</f>
        <v>0</v>
      </c>
      <c r="BU31" s="716">
        <f>IF(OR($C$101=$AR31,$D$101=$AR31),Schweine_Werte!$M31*0.5,IF(OR($C$101&gt;$AR31,$D$101&lt;$AR31),0,Schweine_Werte!$M31))</f>
        <v>0</v>
      </c>
      <c r="BV31" s="716">
        <f>IF(OR($C$110=$AR31,$D$110=$AR31),Schweine_Werte!$M31*0.5,IF(OR($C$110&gt;$AR31,$D$110&lt;$AR31),0,Schweine_Werte!$M31))</f>
        <v>0</v>
      </c>
      <c r="BW31" s="716">
        <f>IF(OR(8=$AR31,$E$127=$AR31),Schweine_Werte!$M31*0.5,IF(OR(8&gt;$AR31,$E$127&lt;$AR31),0,Schweine_Werte!$M31))</f>
        <v>1.4332167721744244</v>
      </c>
      <c r="BX31" s="716">
        <f>IF(OR(8=$AR31,$E$145=$AR31),Schweine_Werte!$M31*0.5,IF(OR(8&gt;$AR31,$E$145&lt;$AR31),0,Schweine_Werte!$M31))</f>
        <v>1.4332167721744244</v>
      </c>
      <c r="BY31" s="781">
        <f>IF(OR($C$74=$AR31,$D$74=$AR31),Schweine_Werte!$O31*0.5,IF(OR($C$74&gt;$AR31,$D$74&lt;$AR31),0,Schweine_Werte!$O31))</f>
        <v>0</v>
      </c>
      <c r="BZ31" s="781">
        <f>IF(OR($C$83=$AR31,$D$83=$AR31),Schweine_Werte!$O31*0.5,IF(OR($C$83&gt;$AR31,$D$83&lt;$AR31),0,Schweine_Werte!$O31))</f>
        <v>0</v>
      </c>
      <c r="CA31" s="716">
        <f>IF(OR($C$92=$AR31,$D$92=$AR31),Schweine_Werte!$O31*0.5,IF(OR($C$92&gt;$AR31,$D$92&lt;$AR31),0,Schweine_Werte!$O31))</f>
        <v>0</v>
      </c>
      <c r="CB31" s="716">
        <f>IF(OR($C$101=$AR31,$D$101=$AR31),Schweine_Werte!$O31*0.5,IF(OR($C$101&gt;$AR31,$D$101&lt;$AR31),0,Schweine_Werte!$O31))</f>
        <v>0</v>
      </c>
      <c r="CC31" s="716">
        <f>IF(OR($C$110=$AR31,$D$110=$AR31),Schweine_Werte!$O31*0.5,IF(OR($C$110&gt;$AR31,$D$110&lt;$AR31),0,Schweine_Werte!$O31))</f>
        <v>0</v>
      </c>
    </row>
    <row r="32" spans="1:81" x14ac:dyDescent="0.2">
      <c r="B32" s="691">
        <v>950</v>
      </c>
      <c r="D32" s="716"/>
      <c r="E32" s="716" t="e">
        <f>($D36-$C36)*1000/SUM($BJ$4:$BJ$146)</f>
        <v>#VALUE!</v>
      </c>
      <c r="F32" s="716" t="e">
        <f>SUMPRODUCT($BJ$4:$BJ$146,Schweine_Werte!$T$4:$T$146)/SUM($BJ$4:$BJ$146)</f>
        <v>#DIV/0!</v>
      </c>
      <c r="G32" s="716" t="e">
        <f>IF($B36=$A$8,SUMPRODUCT($BJ$4:$BJ$146,Schweine_Werte!EZ$4:EZ$146)/SUM($BJ$4:$BJ$146),IF($B36=$A$7,SUMPRODUCT($BJ$4:$BJ$146,Schweine_Werte!DT$4:DT$146)/SUM($BJ$4:$BJ$146),IF($B36=$A$6,SUMPRODUCT($BJ$4:$BJ$146,Schweine_Werte!CN$4:CN$146)/SUM($BJ$4:$BJ$146),SUMPRODUCT($BJ$4:$BJ$146,Schweine_Werte!BH$4:BH$146)/SUM($BJ$4:$BJ$146))))</f>
        <v>#DIV/0!</v>
      </c>
      <c r="H32" s="716" t="e">
        <f>IF($B36=$A$8,SUMPRODUCT($BJ$4:$BJ$146,Schweine_Werte!FA$4:FA$146)/SUM($BJ$4:$BJ$146),IF($B36=$A$7,SUMPRODUCT($BJ$4:$BJ$146,Schweine_Werte!DU$4:DU$146)/SUM($BJ$4:$BJ$146),IF($B36=$A$6,SUMPRODUCT($BJ$4:$BJ$146,Schweine_Werte!CO$4:CO$146)/SUM($BJ$4:$BJ$146),SUMPRODUCT($BJ$4:$BJ$146,Schweine_Werte!BI$4:BI$146)/SUM($BJ$4:$BJ$146))))</f>
        <v>#DIV/0!</v>
      </c>
      <c r="I32" s="716" t="e">
        <f>IF($B36=$A$8,SUMPRODUCT($BJ$4:$BJ$146,Schweine_Werte!FB$4:FB$146)/SUM($BJ$4:$BJ$146),IF($B36=$A$7,SUMPRODUCT($BJ$4:$BJ$146,Schweine_Werte!DV$4:DV$146)/SUM($BJ$4:$BJ$146),IF($B36=$A$6,SUMPRODUCT($BJ$4:$BJ$146,Schweine_Werte!CP$4:CP$146)/SUM($BJ$4:$BJ$146),SUMPRODUCT($BJ$4:$BJ$146,Schweine_Werte!BJ$4:BJ$146)/SUM($BJ$4:$BJ$146))))</f>
        <v>#DIV/0!</v>
      </c>
      <c r="J32" s="716" t="e">
        <f>SUMPRODUCT($BJ$4:$BJ$146,Schweine_Werte!$AB$4:$AB$146)/SUM($BJ$4:$BJ$146)</f>
        <v>#DIV/0!</v>
      </c>
      <c r="K32" s="716" t="e">
        <f>SUMPRODUCT($BJ$4:$BJ$146,Schweine_Werte!$AJ$4:$AJ$146)/SUM($BJ$4:$BJ$146)</f>
        <v>#DIV/0!</v>
      </c>
      <c r="L32" s="804" t="e">
        <f>T32*$F32*365/1000+$J32-$K32</f>
        <v>#DIV/0!</v>
      </c>
      <c r="M32" s="716" t="e">
        <f>U32*$F32*365/1000+$J32-$K32/2</f>
        <v>#DIV/0!</v>
      </c>
      <c r="N32" s="716" t="e">
        <f>V32*$F32*365/1000+$J32</f>
        <v>#DIV/0!</v>
      </c>
      <c r="O32" s="716">
        <f>IF($C36&lt;28,SUM($BJ$4:$BJ$23)+IF($D36&gt;28,$BJ$24*0.5,$BJ$24),0)</f>
        <v>0</v>
      </c>
      <c r="P32" s="716">
        <f>IF($D36&gt;28,SUM($BJ$25:$BJ$146)+IF($C36&lt;28,$BJ$24*0.5,$BJ$24),0)</f>
        <v>0</v>
      </c>
      <c r="Q32" s="716" t="e">
        <f t="shared" si="16"/>
        <v>#DIV/0!</v>
      </c>
      <c r="R32" s="716" t="e">
        <f t="shared" si="16"/>
        <v>#DIV/0!</v>
      </c>
      <c r="S32" s="716" t="e">
        <f t="shared" si="16"/>
        <v>#DIV/0!</v>
      </c>
      <c r="T32" s="716" t="e">
        <f>+($O32*Schweine_Werte!$HT$8+$P32*Schweine_Werte!$HU$8)/SUM($O32:$P32)</f>
        <v>#DIV/0!</v>
      </c>
      <c r="U32" s="716" t="e">
        <f>+($O32*Schweine_Werte!$HV$8+$P32*Schweine_Werte!$HW$8)/SUM($O32:$P32)</f>
        <v>#DIV/0!</v>
      </c>
      <c r="V32" s="716" t="e">
        <f>+($O32*Schweine_Werte!$HX$8+$P32*Schweine_Werte!$HY$8)/SUM($O32:$P32)</f>
        <v>#DIV/0!</v>
      </c>
      <c r="W32" s="771" t="e">
        <f>($J32*0.055+T32*0.365*0.86*$F32-$K32*0.018)/L32*100</f>
        <v>#DIV/0!</v>
      </c>
      <c r="X32" s="716" t="e">
        <f>($J32*0.055+U32*0.365*0.86*$F32-$K32*0.018/2)/M32*100</f>
        <v>#DIV/0!</v>
      </c>
      <c r="Y32" s="716" t="e">
        <f>($J32*0.055+V32*0.365*0.86*$F32)/N32*100</f>
        <v>#DIV/0!</v>
      </c>
      <c r="Z32" s="716"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16"/>
      <c r="AB32" s="716">
        <f>IF($B36=$A$8,SUMIF(Schweine_Werte!$AO$4:$AO$146,$C36,Schweine_Werte!$FD$4:$FD$146),IF($B36=$A$7,SUMIF(Schweine_Werte!$AO$4:$AO$146,$C36,Schweine_Werte!$DX$4:$DX$146),IF($B36=$A$6,SUMIF(Schweine_Werte!$AO$4:$AO$146,$C36,Schweine_Werte!$CR$4:$CR$146),SUMIF(Schweine_Werte!$AO$4:$AO$146,$C36,Schweine_Werte!$BL$4:$BL$146))))</f>
        <v>0</v>
      </c>
      <c r="AC32" s="716"/>
      <c r="AD32" s="716">
        <f>IF($B36=$A$8,SUMIF(Schweine_Werte!$AO$4:$AO$146,$D36,Schweine_Werte!$FD$4:$FD$146),IF($B36=$A$7,SUMIF(Schweine_Werte!$AO$4:$AO$146,$D36,Schweine_Werte!$DX$4:$DX$146),IF($B36=$A$6,SUMIF(Schweine_Werte!$AO$4:$AO$146,$D36,Schweine_Werte!$CR$4:$CR$146),SUMIF(Schweine_Werte!$AO$4:$AO$146,$D36,Schweine_Werte!$BL$4:$BL$146))))</f>
        <v>0</v>
      </c>
      <c r="AE32" s="716"/>
      <c r="AF32" s="716"/>
      <c r="AG32" s="716" t="e">
        <f>IF($B36=$A$8,SUMPRODUCT($BJ$4:$BJ$146,Schweine_Werte!$FC$4:$FC$146)/SUM($BJ$4:$BJ$146),IF($B36=$A$7,SUMPRODUCT($BJ$4:$BJ$146,Schweine_Werte!$DW$4:$DW$146)/SUM($BJ$4:$BJ$146),IF($B36=$A$6,SUMPRODUCT($BJ$4:$BJ$146,Schweine_Werte!$CQ$4:$CQ$146)/SUM($BJ$4:$BJ$146),SUMPRODUCT($BJ$4:$BJ$146,Schweine_Werte!$BK$4:$BK$146)/SUM($BJ$4:$BJ$146))))</f>
        <v>#DIV/0!</v>
      </c>
      <c r="AH32" s="716"/>
      <c r="AI32" s="716"/>
      <c r="AJ32" s="716"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16"/>
      <c r="AL32" s="716">
        <f>IF($B36=$A$8,SUMIF(Schweine_Werte!$AO$4:$AO$146,$C36,Schweine_Werte!$FE$4:$FE$146),IF($B36=$A$7,SUMIF(Schweine_Werte!$AO$4:$AO$146,$C36,Schweine_Werte!$DY$4:$DY$146),IF($B36=$A$6,SUMIF(Schweine_Werte!$AO$4:$AO$146,$C36,Schweine_Werte!$CS$4:$CS$146),SUMIF(Schweine_Werte!$AO$4:$AO$146,$C36,Schweine_Werte!$BM$4:$BM$146))))</f>
        <v>0</v>
      </c>
      <c r="AM32" s="716"/>
      <c r="AN32" s="716">
        <f>IF($B36=$A$8,SUMIF(Schweine_Werte!$AO$4:$AO$146,$D36,Schweine_Werte!$FE$4:$FE$146),IF($B36=$A$7,SUMIF(Schweine_Werte!$AO$4:$AO$146,$D36,Schweine_Werte!$DY$4:$DY$146),IF($B36=$A$6,SUMIF(Schweine_Werte!$AO$4:$AO$146,$D36,Schweine_Werte!$CS$4:$CS$146),SUMIF(Schweine_Werte!$AO$4:$AO$146,$D36,Schweine_Werte!$BM$4:$BM$146))))</f>
        <v>0</v>
      </c>
      <c r="AR32" s="792">
        <v>36</v>
      </c>
      <c r="AS32" s="781">
        <f>IF(OR($C$12=$AR32,$D$12=$AR32),Schweine_Werte!$C32*0.5,IF(OR($C$12&gt;$AR32,$D$12&lt;$AR32),0,Schweine_Werte!$C32))</f>
        <v>0</v>
      </c>
      <c r="AT32" s="716">
        <f>IF(OR($C$24=$AR32,$D$24=$AR32),Schweine_Werte!$C32*0.5,IF(OR($C$24&gt;$AR32,$D$24&lt;$AR32),0,Schweine_Werte!$C32))</f>
        <v>0</v>
      </c>
      <c r="AU32" s="781">
        <f>IF(OR($C$36=$AR32,$D$36=$AR32),Schweine_Werte!$C32*0.5,IF(OR($C$36&gt;$AR32,$D$36&lt;$AR32),0,Schweine_Werte!$C32))</f>
        <v>0</v>
      </c>
      <c r="AV32" s="781">
        <f>IF(OR($C$48=$AR32,$D$48=$AR32),Schweine_Werte!$C32*0.5,IF(OR($C$48&gt;$AR32,$D$48&lt;$AR32),0,Schweine_Werte!$C32))</f>
        <v>0</v>
      </c>
      <c r="AW32" s="781">
        <f>IF(OR($C$60=$AR32,$D$60=$AR32),Schweine_Werte!$C32*0.5,IF(OR($C$60&gt;$AR32,$D$60&lt;$AR32),0,Schweine_Werte!$C32))</f>
        <v>0</v>
      </c>
      <c r="AX32" s="781">
        <f>IF(OR($C$12=$AR32,$D$12=$AR32),Schweine_Werte!$E32*0.5,IF(OR($C$12&gt;$AR32,$D$12&lt;$AR32),0,Schweine_Werte!$E32))</f>
        <v>0</v>
      </c>
      <c r="AY32" s="716">
        <f>IF(OR($C$24=$AR32,$D$24=$AR32),Schweine_Werte!$E32*0.5,IF(OR($C$24&gt;$AR32,$D$24&lt;$AR32),0,Schweine_Werte!$E32))</f>
        <v>0</v>
      </c>
      <c r="AZ32" s="716">
        <f>IF(OR($C$36=$AR32,$D$36=$AR32),Schweine_Werte!$E32*0.5,IF(OR($C$36&gt;$AR32,$D$36&lt;$AR32),0,Schweine_Werte!$E32))</f>
        <v>0</v>
      </c>
      <c r="BA32" s="716">
        <f>IF(OR($C$48=$AR32,$D$48=$AR32),Schweine_Werte!$E32*0.5,IF(OR($C$48&gt;$AR32,$D$48&lt;$AR32),0,Schweine_Werte!$E32))</f>
        <v>0</v>
      </c>
      <c r="BB32" s="716">
        <f>IF(OR($C$60=$AR32,$D$60=$AR32),Schweine_Werte!$E32*0.5,IF(OR($C$60&gt;$AR32,$D$60&lt;$AR32),0,Schweine_Werte!$E32))</f>
        <v>0</v>
      </c>
      <c r="BC32" s="781">
        <f>IF(OR($C$12=$AR32,$D$12=$AR32),Schweine_Werte!$G32*0.5,IF(OR($C$12&gt;$AR32,$D$12&lt;$AR32),0,Schweine_Werte!$G32))</f>
        <v>0</v>
      </c>
      <c r="BD32" s="716">
        <f>IF(OR($C$24=$AR32,$D$24=$AR32),Schweine_Werte!$G32*0.5,IF(OR($C$24&gt;$AR32,$D$24&lt;$AR32),0,Schweine_Werte!$G32))</f>
        <v>0</v>
      </c>
      <c r="BE32" s="716">
        <f>IF(OR($C$36=$AR32,$D$36=$AR32),Schweine_Werte!$G32*0.5,IF(OR($C$36&gt;$AR32,$D$36&lt;$AR32),0,Schweine_Werte!$G32))</f>
        <v>0</v>
      </c>
      <c r="BF32" s="716">
        <f>IF(OR($C$48=$AR32,$D$48=$AR32),Schweine_Werte!$G32*0.5,IF(OR($C$48&gt;$AR32,$D$48&lt;$AR32),0,Schweine_Werte!$G32))</f>
        <v>0</v>
      </c>
      <c r="BG32" s="716">
        <f>IF(OR($C$60=$AR32,$D$60=$AR32),Schweine_Werte!$G32*0.5,IF(OR($C$60&gt;$AR32,$D$60&lt;$AR32),0,Schweine_Werte!$G32))</f>
        <v>0</v>
      </c>
      <c r="BH32" s="781">
        <f>IF(OR($C$12=$AR32,$D$12=$AR32),Schweine_Werte!$I32*0.5,IF(OR($C$12&gt;$AR32,$D$12&lt;$AR32),0,Schweine_Werte!$I32))</f>
        <v>0</v>
      </c>
      <c r="BI32" s="716">
        <f>IF(OR($C$24=$AR32,$D$24=$AR32),Schweine_Werte!$I32*0.5,IF(OR($C$24&gt;$AR32,$D$24&lt;$AR32),0,Schweine_Werte!$I32))</f>
        <v>0</v>
      </c>
      <c r="BJ32" s="716">
        <f>IF(OR($C$36=$AR32,$D$36=$AR32),Schweine_Werte!$I32*0.5,IF(OR($C$36&gt;$AR32,$D$36&lt;$AR32),0,Schweine_Werte!$I32))</f>
        <v>0</v>
      </c>
      <c r="BK32" s="716">
        <f>IF(OR($C$48=$AR32,$D$48=$AR32),Schweine_Werte!$I32*0.5,IF(OR($C$48&gt;$AR32,$D$48&lt;$AR32),0,Schweine_Werte!$I32))</f>
        <v>0</v>
      </c>
      <c r="BL32" s="716">
        <f>IF(OR($C$60=$AR32,$D$60=$AR32),Schweine_Werte!$I32*0.5,IF(OR($C$60&gt;$AR32,$D$60&lt;$AR32),0,Schweine_Werte!$I32))</f>
        <v>0</v>
      </c>
      <c r="BM32" s="781"/>
      <c r="BN32" s="716"/>
      <c r="BO32" s="716"/>
      <c r="BP32" s="716"/>
      <c r="BQ32" s="716"/>
      <c r="BR32" s="781">
        <f>IF(OR($C$74=$AR32,$D$74=$AR32),Schweine_Werte!$M32*0.5,IF(OR($C$74&gt;$AR32,$D$74&lt;$AR32),0,Schweine_Werte!$M32))</f>
        <v>0</v>
      </c>
      <c r="BS32" s="781">
        <f>IF(OR($C$83=$AR32,$D$83=$AR32),Schweine_Werte!$M32*0.5,IF(OR($C$83&gt;$AR32,$D$83&lt;$AR32),0,Schweine_Werte!$M32))</f>
        <v>0</v>
      </c>
      <c r="BT32" s="783">
        <f>IF(OR($C$92=$AR32,$D$92=$AR32),Schweine_Werte!$M32*0.5,IF(OR($C$92&gt;$AR32,$D$92&lt;$AR32),0,Schweine_Werte!$M32))</f>
        <v>0</v>
      </c>
      <c r="BU32" s="783">
        <f>IF(OR($C$101=$AR32,$D$101=$AR32),Schweine_Werte!$M32*0.5,IF(OR($C$101&gt;$AR32,$D$101&lt;$AR32),0,Schweine_Werte!$M32))</f>
        <v>0</v>
      </c>
      <c r="BV32" s="783">
        <f>IF(OR($C$110=$AR32,$D$110=$AR32),Schweine_Werte!$M32*0.5,IF(OR($C$110&gt;$AR32,$D$110&lt;$AR32),0,Schweine_Werte!$M32))</f>
        <v>0</v>
      </c>
      <c r="BW32" s="783">
        <f>IF(OR(8=$AR32,$E$127=$AR32),Schweine_Werte!$M32*0.5,IF(OR(8&gt;$AR32,$E$127&lt;$AR32),0,Schweine_Werte!$M32))</f>
        <v>1.4112062668018681</v>
      </c>
      <c r="BX32" s="783">
        <f>IF(OR(8=$AR32,$E$145=$AR32),Schweine_Werte!$M32*0.5,IF(OR(8&gt;$AR32,$E$145&lt;$AR32),0,Schweine_Werte!$M32))</f>
        <v>1.4112062668018681</v>
      </c>
      <c r="BY32" s="781">
        <f>IF(OR($C$74=$AR32,$D$74=$AR32),Schweine_Werte!$O32*0.5,IF(OR($C$74&gt;$AR32,$D$74&lt;$AR32),0,Schweine_Werte!$O32))</f>
        <v>0</v>
      </c>
      <c r="BZ32" s="781">
        <f>IF(OR($C$83=$AR32,$D$83=$AR32),Schweine_Werte!$O32*0.5,IF(OR($C$83&gt;$AR32,$D$83&lt;$AR32),0,Schweine_Werte!$O32))</f>
        <v>0</v>
      </c>
      <c r="CA32" s="783">
        <f>IF(OR($C$92=$AR32,$D$92=$AR32),Schweine_Werte!$O32*0.5,IF(OR($C$92&gt;$AR32,$D$92&lt;$AR32),0,Schweine_Werte!$O32))</f>
        <v>0</v>
      </c>
      <c r="CB32" s="783">
        <f>IF(OR($C$101=$AR32,$D$101=$AR32),Schweine_Werte!$O32*0.5,IF(OR($C$101&gt;$AR32,$D$101&lt;$AR32),0,Schweine_Werte!$O32))</f>
        <v>0</v>
      </c>
      <c r="CC32" s="783">
        <f>IF(OR($C$110=$AR32,$D$110=$AR32),Schweine_Werte!$O32*0.5,IF(OR($C$110&gt;$AR32,$D$110&lt;$AR32),0,Schweine_Werte!$O32))</f>
        <v>0</v>
      </c>
    </row>
    <row r="33" spans="1:81" x14ac:dyDescent="0.2">
      <c r="B33" s="691"/>
      <c r="D33" s="716"/>
      <c r="E33" s="716"/>
      <c r="F33" s="716"/>
      <c r="G33" s="716"/>
      <c r="H33" s="716"/>
      <c r="I33" s="716"/>
      <c r="J33" s="716"/>
      <c r="K33" s="716"/>
      <c r="L33" s="716"/>
      <c r="M33" s="716"/>
      <c r="N33" s="716"/>
      <c r="O33" s="716"/>
      <c r="P33" s="716"/>
      <c r="Q33" s="716"/>
      <c r="R33" s="716"/>
      <c r="S33" s="716"/>
      <c r="T33" s="716"/>
      <c r="U33" s="716"/>
      <c r="V33" s="716"/>
      <c r="W33" s="771"/>
      <c r="X33" s="716"/>
      <c r="Y33" s="716"/>
      <c r="Z33" s="716"/>
      <c r="AA33" s="716"/>
      <c r="AB33" s="716"/>
      <c r="AC33" s="716"/>
      <c r="AD33" s="716"/>
      <c r="AE33" s="716"/>
      <c r="AF33" s="716"/>
      <c r="AG33" s="716"/>
      <c r="AH33" s="716"/>
      <c r="AI33" s="716"/>
      <c r="AJ33" s="716"/>
      <c r="AK33" s="716"/>
      <c r="AL33" s="716"/>
      <c r="AM33" s="716"/>
      <c r="AN33" s="716"/>
      <c r="AR33" s="792">
        <v>37</v>
      </c>
      <c r="AS33" s="781">
        <f>IF(OR($C$12=$AR33,$D$12=$AR33),Schweine_Werte!$C33*0.5,IF(OR($C$12&gt;$AR33,$D$12&lt;$AR33),0,Schweine_Werte!$C33))</f>
        <v>0</v>
      </c>
      <c r="AT33" s="716">
        <f>IF(OR($C$24=$AR33,$D$24=$AR33),Schweine_Werte!$C33*0.5,IF(OR($C$24&gt;$AR33,$D$24&lt;$AR33),0,Schweine_Werte!$C33))</f>
        <v>0</v>
      </c>
      <c r="AU33" s="781">
        <f>IF(OR($C$36=$AR33,$D$36=$AR33),Schweine_Werte!$C33*0.5,IF(OR($C$36&gt;$AR33,$D$36&lt;$AR33),0,Schweine_Werte!$C33))</f>
        <v>0</v>
      </c>
      <c r="AV33" s="781">
        <f>IF(OR($C$48=$AR33,$D$48=$AR33),Schweine_Werte!$C33*0.5,IF(OR($C$48&gt;$AR33,$D$48&lt;$AR33),0,Schweine_Werte!$C33))</f>
        <v>0</v>
      </c>
      <c r="AW33" s="781">
        <f>IF(OR($C$60=$AR33,$D$60=$AR33),Schweine_Werte!$C33*0.5,IF(OR($C$60&gt;$AR33,$D$60&lt;$AR33),0,Schweine_Werte!$C33))</f>
        <v>0</v>
      </c>
      <c r="AX33" s="781">
        <f>IF(OR($C$12=$AR33,$D$12=$AR33),Schweine_Werte!$E33*0.5,IF(OR($C$12&gt;$AR33,$D$12&lt;$AR33),0,Schweine_Werte!$E33))</f>
        <v>0</v>
      </c>
      <c r="AY33" s="716">
        <f>IF(OR($C$24=$AR33,$D$24=$AR33),Schweine_Werte!$E33*0.5,IF(OR($C$24&gt;$AR33,$D$24&lt;$AR33),0,Schweine_Werte!$E33))</f>
        <v>0</v>
      </c>
      <c r="AZ33" s="716">
        <f>IF(OR($C$36=$AR33,$D$36=$AR33),Schweine_Werte!$E33*0.5,IF(OR($C$36&gt;$AR33,$D$36&lt;$AR33),0,Schweine_Werte!$E33))</f>
        <v>0</v>
      </c>
      <c r="BA33" s="716">
        <f>IF(OR($C$48=$AR33,$D$48=$AR33),Schweine_Werte!$E33*0.5,IF(OR($C$48&gt;$AR33,$D$48&lt;$AR33),0,Schweine_Werte!$E33))</f>
        <v>0</v>
      </c>
      <c r="BB33" s="716">
        <f>IF(OR($C$60=$AR33,$D$60=$AR33),Schweine_Werte!$E33*0.5,IF(OR($C$60&gt;$AR33,$D$60&lt;$AR33),0,Schweine_Werte!$E33))</f>
        <v>0</v>
      </c>
      <c r="BC33" s="781">
        <f>IF(OR($C$12=$AR33,$D$12=$AR33),Schweine_Werte!$G33*0.5,IF(OR($C$12&gt;$AR33,$D$12&lt;$AR33),0,Schweine_Werte!$G33))</f>
        <v>0</v>
      </c>
      <c r="BD33" s="716">
        <f>IF(OR($C$24=$AR33,$D$24=$AR33),Schweine_Werte!$G33*0.5,IF(OR($C$24&gt;$AR33,$D$24&lt;$AR33),0,Schweine_Werte!$G33))</f>
        <v>0</v>
      </c>
      <c r="BE33" s="716">
        <f>IF(OR($C$36=$AR33,$D$36=$AR33),Schweine_Werte!$G33*0.5,IF(OR($C$36&gt;$AR33,$D$36&lt;$AR33),0,Schweine_Werte!$G33))</f>
        <v>0</v>
      </c>
      <c r="BF33" s="716">
        <f>IF(OR($C$48=$AR33,$D$48=$AR33),Schweine_Werte!$G33*0.5,IF(OR($C$48&gt;$AR33,$D$48&lt;$AR33),0,Schweine_Werte!$G33))</f>
        <v>0</v>
      </c>
      <c r="BG33" s="716">
        <f>IF(OR($C$60=$AR33,$D$60=$AR33),Schweine_Werte!$G33*0.5,IF(OR($C$60&gt;$AR33,$D$60&lt;$AR33),0,Schweine_Werte!$G33))</f>
        <v>0</v>
      </c>
      <c r="BH33" s="781">
        <f>IF(OR($C$12=$AR33,$D$12=$AR33),Schweine_Werte!$I33*0.5,IF(OR($C$12&gt;$AR33,$D$12&lt;$AR33),0,Schweine_Werte!$I33))</f>
        <v>0</v>
      </c>
      <c r="BI33" s="716">
        <f>IF(OR($C$24=$AR33,$D$24=$AR33),Schweine_Werte!$I33*0.5,IF(OR($C$24&gt;$AR33,$D$24&lt;$AR33),0,Schweine_Werte!$I33))</f>
        <v>0</v>
      </c>
      <c r="BJ33" s="716">
        <f>IF(OR($C$36=$AR33,$D$36=$AR33),Schweine_Werte!$I33*0.5,IF(OR($C$36&gt;$AR33,$D$36&lt;$AR33),0,Schweine_Werte!$I33))</f>
        <v>0</v>
      </c>
      <c r="BK33" s="716">
        <f>IF(OR($C$48=$AR33,$D$48=$AR33),Schweine_Werte!$I33*0.5,IF(OR($C$48&gt;$AR33,$D$48&lt;$AR33),0,Schweine_Werte!$I33))</f>
        <v>0</v>
      </c>
      <c r="BL33" s="716">
        <f>IF(OR($C$60=$AR33,$D$60=$AR33),Schweine_Werte!$I33*0.5,IF(OR($C$60&gt;$AR33,$D$60&lt;$AR33),0,Schweine_Werte!$I33))</f>
        <v>0</v>
      </c>
      <c r="BM33" s="781"/>
      <c r="BN33" s="716"/>
      <c r="BO33" s="716"/>
      <c r="BP33" s="716"/>
      <c r="BQ33" s="716"/>
      <c r="BR33" s="781">
        <f>IF(OR($C$74=$AR33,$D$74=$AR33),Schweine_Werte!$M33*0.5,IF(OR($C$74&gt;$AR33,$D$74&lt;$AR33),0,Schweine_Werte!$M33))</f>
        <v>0</v>
      </c>
      <c r="BS33" s="781">
        <f>IF(OR($C$83=$AR33,$D$83=$AR33),Schweine_Werte!$M33*0.5,IF(OR($C$83&gt;$AR33,$D$83&lt;$AR33),0,Schweine_Werte!$M33))</f>
        <v>0</v>
      </c>
      <c r="BT33" s="783">
        <f>IF(OR($C$92=$AR33,$D$92=$AR33),Schweine_Werte!$M33*0.5,IF(OR($C$92&gt;$AR33,$D$92&lt;$AR33),0,Schweine_Werte!$M33))</f>
        <v>0</v>
      </c>
      <c r="BU33" s="783">
        <f>IF(OR($C$101=$AR33,$D$101=$AR33),Schweine_Werte!$M33*0.5,IF(OR($C$101&gt;$AR33,$D$101&lt;$AR33),0,Schweine_Werte!$M33))</f>
        <v>0</v>
      </c>
      <c r="BV33" s="783">
        <f>IF(OR($C$110=$AR33,$D$110=$AR33),Schweine_Werte!$M33*0.5,IF(OR($C$110&gt;$AR33,$D$110&lt;$AR33),0,Schweine_Werte!$M33))</f>
        <v>0</v>
      </c>
      <c r="BW33" s="783">
        <f>IF(OR(8=$AR33,$E$127=$AR33),Schweine_Werte!$M33*0.5,IF(OR(8&gt;$AR33,$E$127&lt;$AR33),0,Schweine_Werte!$M33))</f>
        <v>1.3904204668329827</v>
      </c>
      <c r="BX33" s="783">
        <f>IF(OR(8=$AR33,$E$145=$AR33),Schweine_Werte!$M33*0.5,IF(OR(8&gt;$AR33,$E$145&lt;$AR33),0,Schweine_Werte!$M33))</f>
        <v>1.3904204668329827</v>
      </c>
      <c r="BY33" s="781">
        <f>IF(OR($C$74=$AR33,$D$74=$AR33),Schweine_Werte!$O33*0.5,IF(OR($C$74&gt;$AR33,$D$74&lt;$AR33),0,Schweine_Werte!$O33))</f>
        <v>0</v>
      </c>
      <c r="BZ33" s="781">
        <f>IF(OR($C$83=$AR33,$D$83=$AR33),Schweine_Werte!$O33*0.5,IF(OR($C$83&gt;$AR33,$D$83&lt;$AR33),0,Schweine_Werte!$O33))</f>
        <v>0</v>
      </c>
      <c r="CA33" s="783">
        <f>IF(OR($C$92=$AR33,$D$92=$AR33),Schweine_Werte!$O33*0.5,IF(OR($C$92&gt;$AR33,$D$92&lt;$AR33),0,Schweine_Werte!$O33))</f>
        <v>0</v>
      </c>
      <c r="CB33" s="783">
        <f>IF(OR($C$101=$AR33,$D$101=$AR33),Schweine_Werte!$O33*0.5,IF(OR($C$101&gt;$AR33,$D$101&lt;$AR33),0,Schweine_Werte!$O33))</f>
        <v>0</v>
      </c>
      <c r="CC33" s="783">
        <f>IF(OR($C$110=$AR33,$D$110=$AR33),Schweine_Werte!$O33*0.5,IF(OR($C$110&gt;$AR33,$D$110&lt;$AR33),0,Schweine_Werte!$O33))</f>
        <v>0</v>
      </c>
    </row>
    <row r="34" spans="1:81" ht="15.75" x14ac:dyDescent="0.25">
      <c r="F34" s="352"/>
      <c r="G34" s="1588" t="s">
        <v>7701</v>
      </c>
      <c r="H34" s="1589"/>
      <c r="I34" s="1590"/>
      <c r="J34" s="973" t="s">
        <v>589</v>
      </c>
      <c r="K34" s="973" t="s">
        <v>224</v>
      </c>
      <c r="L34" s="1591" t="s">
        <v>7702</v>
      </c>
      <c r="M34" s="1592"/>
      <c r="N34" s="1593"/>
      <c r="O34" s="1591" t="s">
        <v>7703</v>
      </c>
      <c r="P34" s="1593"/>
      <c r="Q34" s="1591" t="s">
        <v>7758</v>
      </c>
      <c r="R34" s="1592"/>
      <c r="S34" s="1593"/>
      <c r="T34" s="1591" t="s">
        <v>7704</v>
      </c>
      <c r="U34" s="1592"/>
      <c r="V34" s="1593"/>
      <c r="W34" s="1591" t="s">
        <v>7785</v>
      </c>
      <c r="X34" s="1592"/>
      <c r="Y34" s="1593"/>
      <c r="Z34" s="1596" t="s">
        <v>7786</v>
      </c>
      <c r="AA34" s="1597"/>
      <c r="AB34" s="1596" t="s">
        <v>7787</v>
      </c>
      <c r="AC34" s="1597"/>
      <c r="AD34" s="1596" t="s">
        <v>7788</v>
      </c>
      <c r="AE34" s="1597"/>
      <c r="AF34" s="974" t="s">
        <v>7888</v>
      </c>
      <c r="AG34" s="1598" t="s">
        <v>7791</v>
      </c>
      <c r="AH34" s="1599"/>
      <c r="AI34" s="1081" t="s">
        <v>7889</v>
      </c>
      <c r="AJ34" s="1596" t="s">
        <v>7786</v>
      </c>
      <c r="AK34" s="1597"/>
      <c r="AL34" s="1596" t="s">
        <v>7787</v>
      </c>
      <c r="AM34" s="1597"/>
      <c r="AN34" s="1596" t="s">
        <v>7788</v>
      </c>
      <c r="AO34" s="1597"/>
      <c r="AR34" s="792">
        <v>38</v>
      </c>
      <c r="AS34" s="781">
        <f>IF(OR($C$12=$AR34,$D$12=$AR34),Schweine_Werte!$C34*0.5,IF(OR($C$12&gt;$AR34,$D$12&lt;$AR34),0,Schweine_Werte!$C34))</f>
        <v>0</v>
      </c>
      <c r="AT34" s="716">
        <f>IF(OR($C$24=$AR34,$D$24=$AR34),Schweine_Werte!$C34*0.5,IF(OR($C$24&gt;$AR34,$D$24&lt;$AR34),0,Schweine_Werte!$C34))</f>
        <v>0</v>
      </c>
      <c r="AU34" s="781">
        <f>IF(OR($C$36=$AR34,$D$36=$AR34),Schweine_Werte!$C34*0.5,IF(OR($C$36&gt;$AR34,$D$36&lt;$AR34),0,Schweine_Werte!$C34))</f>
        <v>0</v>
      </c>
      <c r="AV34" s="781">
        <f>IF(OR($C$48=$AR34,$D$48=$AR34),Schweine_Werte!$C34*0.5,IF(OR($C$48&gt;$AR34,$D$48&lt;$AR34),0,Schweine_Werte!$C34))</f>
        <v>0</v>
      </c>
      <c r="AW34" s="781">
        <f>IF(OR($C$60=$AR34,$D$60=$AR34),Schweine_Werte!$C34*0.5,IF(OR($C$60&gt;$AR34,$D$60&lt;$AR34),0,Schweine_Werte!$C34))</f>
        <v>0</v>
      </c>
      <c r="AX34" s="781">
        <f>IF(OR($C$12=$AR34,$D$12=$AR34),Schweine_Werte!$E34*0.5,IF(OR($C$12&gt;$AR34,$D$12&lt;$AR34),0,Schweine_Werte!$E34))</f>
        <v>0</v>
      </c>
      <c r="AY34" s="716">
        <f>IF(OR($C$24=$AR34,$D$24=$AR34),Schweine_Werte!$E34*0.5,IF(OR($C$24&gt;$AR34,$D$24&lt;$AR34),0,Schweine_Werte!$E34))</f>
        <v>0</v>
      </c>
      <c r="AZ34" s="716">
        <f>IF(OR($C$36=$AR34,$D$36=$AR34),Schweine_Werte!$E34*0.5,IF(OR($C$36&gt;$AR34,$D$36&lt;$AR34),0,Schweine_Werte!$E34))</f>
        <v>0</v>
      </c>
      <c r="BA34" s="716">
        <f>IF(OR($C$48=$AR34,$D$48=$AR34),Schweine_Werte!$E34*0.5,IF(OR($C$48&gt;$AR34,$D$48&lt;$AR34),0,Schweine_Werte!$E34))</f>
        <v>0</v>
      </c>
      <c r="BB34" s="716">
        <f>IF(OR($C$60=$AR34,$D$60=$AR34),Schweine_Werte!$E34*0.5,IF(OR($C$60&gt;$AR34,$D$60&lt;$AR34),0,Schweine_Werte!$E34))</f>
        <v>0</v>
      </c>
      <c r="BC34" s="781">
        <f>IF(OR($C$12=$AR34,$D$12=$AR34),Schweine_Werte!$G34*0.5,IF(OR($C$12&gt;$AR34,$D$12&lt;$AR34),0,Schweine_Werte!$G34))</f>
        <v>0</v>
      </c>
      <c r="BD34" s="716">
        <f>IF(OR($C$24=$AR34,$D$24=$AR34),Schweine_Werte!$G34*0.5,IF(OR($C$24&gt;$AR34,$D$24&lt;$AR34),0,Schweine_Werte!$G34))</f>
        <v>0</v>
      </c>
      <c r="BE34" s="716">
        <f>IF(OR($C$36=$AR34,$D$36=$AR34),Schweine_Werte!$G34*0.5,IF(OR($C$36&gt;$AR34,$D$36&lt;$AR34),0,Schweine_Werte!$G34))</f>
        <v>0</v>
      </c>
      <c r="BF34" s="716">
        <f>IF(OR($C$48=$AR34,$D$48=$AR34),Schweine_Werte!$G34*0.5,IF(OR($C$48&gt;$AR34,$D$48&lt;$AR34),0,Schweine_Werte!$G34))</f>
        <v>0</v>
      </c>
      <c r="BG34" s="716">
        <f>IF(OR($C$60=$AR34,$D$60=$AR34),Schweine_Werte!$G34*0.5,IF(OR($C$60&gt;$AR34,$D$60&lt;$AR34),0,Schweine_Werte!$G34))</f>
        <v>0</v>
      </c>
      <c r="BH34" s="781">
        <f>IF(OR($C$12=$AR34,$D$12=$AR34),Schweine_Werte!$I34*0.5,IF(OR($C$12&gt;$AR34,$D$12&lt;$AR34),0,Schweine_Werte!$I34))</f>
        <v>0</v>
      </c>
      <c r="BI34" s="716">
        <f>IF(OR($C$24=$AR34,$D$24=$AR34),Schweine_Werte!$I34*0.5,IF(OR($C$24&gt;$AR34,$D$24&lt;$AR34),0,Schweine_Werte!$I34))</f>
        <v>0</v>
      </c>
      <c r="BJ34" s="716">
        <f>IF(OR($C$36=$AR34,$D$36=$AR34),Schweine_Werte!$I34*0.5,IF(OR($C$36&gt;$AR34,$D$36&lt;$AR34),0,Schweine_Werte!$I34))</f>
        <v>0</v>
      </c>
      <c r="BK34" s="716">
        <f>IF(OR($C$48=$AR34,$D$48=$AR34),Schweine_Werte!$I34*0.5,IF(OR($C$48&gt;$AR34,$D$48&lt;$AR34),0,Schweine_Werte!$I34))</f>
        <v>0</v>
      </c>
      <c r="BL34" s="716">
        <f>IF(OR($C$60=$AR34,$D$60=$AR34),Schweine_Werte!$I34*0.5,IF(OR($C$60&gt;$AR34,$D$60&lt;$AR34),0,Schweine_Werte!$I34))</f>
        <v>0</v>
      </c>
      <c r="BM34" s="781"/>
      <c r="BN34" s="716"/>
      <c r="BO34" s="716"/>
      <c r="BP34" s="716"/>
      <c r="BQ34" s="716"/>
      <c r="BR34" s="781">
        <f>IF(OR($C$74=$AR34,$D$74=$AR34),Schweine_Werte!$M34*0.5,IF(OR($C$74&gt;$AR34,$D$74&lt;$AR34),0,Schweine_Werte!$M34))</f>
        <v>0</v>
      </c>
      <c r="BS34" s="781">
        <f>IF(OR($C$83=$AR34,$D$83=$AR34),Schweine_Werte!$M34*0.5,IF(OR($C$83&gt;$AR34,$D$83&lt;$AR34),0,Schweine_Werte!$M34))</f>
        <v>0</v>
      </c>
      <c r="BT34" s="783">
        <f>IF(OR($C$92=$AR34,$D$92=$AR34),Schweine_Werte!$M34*0.5,IF(OR($C$92&gt;$AR34,$D$92&lt;$AR34),0,Schweine_Werte!$M34))</f>
        <v>0</v>
      </c>
      <c r="BU34" s="783">
        <f>IF(OR($C$101=$AR34,$D$101=$AR34),Schweine_Werte!$M34*0.5,IF(OR($C$101&gt;$AR34,$D$101&lt;$AR34),0,Schweine_Werte!$M34))</f>
        <v>0</v>
      </c>
      <c r="BV34" s="783">
        <f>IF(OR($C$110=$AR34,$D$110=$AR34),Schweine_Werte!$M34*0.5,IF(OR($C$110&gt;$AR34,$D$110&lt;$AR34),0,Schweine_Werte!$M34))</f>
        <v>0</v>
      </c>
      <c r="BW34" s="783">
        <f>IF(OR(8=$AR34,$E$127=$AR34),Schweine_Werte!$M34*0.5,IF(OR(8&gt;$AR34,$E$127&lt;$AR34),0,Schweine_Werte!$M34))</f>
        <v>1.3707820838974658</v>
      </c>
      <c r="BX34" s="783">
        <f>IF(OR(8=$AR34,$E$145=$AR34),Schweine_Werte!$M34*0.5,IF(OR(8&gt;$AR34,$E$145&lt;$AR34),0,Schweine_Werte!$M34))</f>
        <v>1.3707820838974658</v>
      </c>
      <c r="BY34" s="781">
        <f>IF(OR($C$74=$AR34,$D$74=$AR34),Schweine_Werte!$O34*0.5,IF(OR($C$74&gt;$AR34,$D$74&lt;$AR34),0,Schweine_Werte!$O34))</f>
        <v>0</v>
      </c>
      <c r="BZ34" s="781">
        <f>IF(OR($C$83=$AR34,$D$83=$AR34),Schweine_Werte!$O34*0.5,IF(OR($C$83&gt;$AR34,$D$83&lt;$AR34),0,Schweine_Werte!$O34))</f>
        <v>0</v>
      </c>
      <c r="CA34" s="783">
        <f>IF(OR($C$92=$AR34,$D$92=$AR34),Schweine_Werte!$O34*0.5,IF(OR($C$92&gt;$AR34,$D$92&lt;$AR34),0,Schweine_Werte!$O34))</f>
        <v>0</v>
      </c>
      <c r="CB34" s="783">
        <f>IF(OR($C$101=$AR34,$D$101=$AR34),Schweine_Werte!$O34*0.5,IF(OR($C$101&gt;$AR34,$D$101&lt;$AR34),0,Schweine_Werte!$O34))</f>
        <v>0</v>
      </c>
      <c r="CC34" s="783">
        <f>IF(OR($C$110=$AR34,$D$110=$AR34),Schweine_Werte!$O34*0.5,IF(OR($C$110&gt;$AR34,$D$110&lt;$AR34),0,Schweine_Werte!$O34))</f>
        <v>0</v>
      </c>
    </row>
    <row r="35" spans="1:81" ht="18.75" x14ac:dyDescent="0.2">
      <c r="B35" s="786" t="s">
        <v>7705</v>
      </c>
      <c r="C35" s="787" t="s">
        <v>7645</v>
      </c>
      <c r="D35" s="787" t="s">
        <v>7706</v>
      </c>
      <c r="E35" s="787" t="s">
        <v>7647</v>
      </c>
      <c r="F35" s="733" t="s">
        <v>196</v>
      </c>
      <c r="G35" s="662" t="s">
        <v>4</v>
      </c>
      <c r="H35" s="662" t="s">
        <v>7707</v>
      </c>
      <c r="I35" s="662" t="s">
        <v>7708</v>
      </c>
      <c r="J35" s="663" t="s">
        <v>7709</v>
      </c>
      <c r="K35" s="663" t="s">
        <v>7709</v>
      </c>
      <c r="L35" s="664" t="s">
        <v>39</v>
      </c>
      <c r="M35" s="664" t="s">
        <v>7710</v>
      </c>
      <c r="N35" s="664" t="s">
        <v>41</v>
      </c>
      <c r="O35" s="665" t="s">
        <v>0</v>
      </c>
      <c r="P35" s="665" t="s">
        <v>8</v>
      </c>
      <c r="Q35" s="664" t="s">
        <v>39</v>
      </c>
      <c r="R35" s="664" t="s">
        <v>40</v>
      </c>
      <c r="S35" s="664" t="s">
        <v>41</v>
      </c>
      <c r="T35" s="664" t="s">
        <v>39</v>
      </c>
      <c r="U35" s="664" t="s">
        <v>40</v>
      </c>
      <c r="V35" s="664" t="s">
        <v>41</v>
      </c>
      <c r="W35" s="663" t="s">
        <v>7684</v>
      </c>
      <c r="X35" s="663" t="s">
        <v>7685</v>
      </c>
      <c r="Y35" s="663" t="s">
        <v>7686</v>
      </c>
      <c r="Z35" s="788" t="s">
        <v>7789</v>
      </c>
      <c r="AA35" s="788" t="s">
        <v>7790</v>
      </c>
      <c r="AB35" s="788" t="s">
        <v>7789</v>
      </c>
      <c r="AC35" s="788" t="s">
        <v>7790</v>
      </c>
      <c r="AD35" s="788" t="s">
        <v>7789</v>
      </c>
      <c r="AE35" s="788" t="s">
        <v>7790</v>
      </c>
      <c r="AF35" s="788" t="s">
        <v>7890</v>
      </c>
      <c r="AG35" s="983" t="s">
        <v>7891</v>
      </c>
      <c r="AH35" s="788" t="s">
        <v>7892</v>
      </c>
      <c r="AI35" s="788"/>
      <c r="AJ35" s="788" t="s">
        <v>7765</v>
      </c>
      <c r="AK35" s="788" t="s">
        <v>7792</v>
      </c>
      <c r="AL35" s="788" t="s">
        <v>7793</v>
      </c>
      <c r="AM35" s="788" t="s">
        <v>7794</v>
      </c>
      <c r="AN35" s="788" t="s">
        <v>7793</v>
      </c>
      <c r="AO35" s="788" t="s">
        <v>7795</v>
      </c>
      <c r="AR35" s="792">
        <v>39</v>
      </c>
      <c r="AS35" s="781">
        <f>IF(OR($C$12=$AR35,$D$12=$AR35),Schweine_Werte!$C35*0.5,IF(OR($C$12&gt;$AR35,$D$12&lt;$AR35),0,Schweine_Werte!$C35))</f>
        <v>0</v>
      </c>
      <c r="AT35" s="716">
        <f>IF(OR($C$24=$AR35,$D$24=$AR35),Schweine_Werte!$C35*0.5,IF(OR($C$24&gt;$AR35,$D$24&lt;$AR35),0,Schweine_Werte!$C35))</f>
        <v>0</v>
      </c>
      <c r="AU35" s="781">
        <f>IF(OR($C$36=$AR35,$D$36=$AR35),Schweine_Werte!$C35*0.5,IF(OR($C$36&gt;$AR35,$D$36&lt;$AR35),0,Schweine_Werte!$C35))</f>
        <v>0</v>
      </c>
      <c r="AV35" s="781">
        <f>IF(OR($C$48=$AR35,$D$48=$AR35),Schweine_Werte!$C35*0.5,IF(OR($C$48&gt;$AR35,$D$48&lt;$AR35),0,Schweine_Werte!$C35))</f>
        <v>0</v>
      </c>
      <c r="AW35" s="781">
        <f>IF(OR($C$60=$AR35,$D$60=$AR35),Schweine_Werte!$C35*0.5,IF(OR($C$60&gt;$AR35,$D$60&lt;$AR35),0,Schweine_Werte!$C35))</f>
        <v>0</v>
      </c>
      <c r="AX35" s="781">
        <f>IF(OR($C$12=$AR35,$D$12=$AR35),Schweine_Werte!$E35*0.5,IF(OR($C$12&gt;$AR35,$D$12&lt;$AR35),0,Schweine_Werte!$E35))</f>
        <v>0</v>
      </c>
      <c r="AY35" s="716">
        <f>IF(OR($C$24=$AR35,$D$24=$AR35),Schweine_Werte!$E35*0.5,IF(OR($C$24&gt;$AR35,$D$24&lt;$AR35),0,Schweine_Werte!$E35))</f>
        <v>0</v>
      </c>
      <c r="AZ35" s="716">
        <f>IF(OR($C$36=$AR35,$D$36=$AR35),Schweine_Werte!$E35*0.5,IF(OR($C$36&gt;$AR35,$D$36&lt;$AR35),0,Schweine_Werte!$E35))</f>
        <v>0</v>
      </c>
      <c r="BA35" s="716">
        <f>IF(OR($C$48=$AR35,$D$48=$AR35),Schweine_Werte!$E35*0.5,IF(OR($C$48&gt;$AR35,$D$48&lt;$AR35),0,Schweine_Werte!$E35))</f>
        <v>0</v>
      </c>
      <c r="BB35" s="716">
        <f>IF(OR($C$60=$AR35,$D$60=$AR35),Schweine_Werte!$E35*0.5,IF(OR($C$60&gt;$AR35,$D$60&lt;$AR35),0,Schweine_Werte!$E35))</f>
        <v>0</v>
      </c>
      <c r="BC35" s="781">
        <f>IF(OR($C$12=$AR35,$D$12=$AR35),Schweine_Werte!$G35*0.5,IF(OR($C$12&gt;$AR35,$D$12&lt;$AR35),0,Schweine_Werte!$G35))</f>
        <v>0</v>
      </c>
      <c r="BD35" s="716">
        <f>IF(OR($C$24=$AR35,$D$24=$AR35),Schweine_Werte!$G35*0.5,IF(OR($C$24&gt;$AR35,$D$24&lt;$AR35),0,Schweine_Werte!$G35))</f>
        <v>0</v>
      </c>
      <c r="BE35" s="716">
        <f>IF(OR($C$36=$AR35,$D$36=$AR35),Schweine_Werte!$G35*0.5,IF(OR($C$36&gt;$AR35,$D$36&lt;$AR35),0,Schweine_Werte!$G35))</f>
        <v>0</v>
      </c>
      <c r="BF35" s="716">
        <f>IF(OR($C$48=$AR35,$D$48=$AR35),Schweine_Werte!$G35*0.5,IF(OR($C$48&gt;$AR35,$D$48&lt;$AR35),0,Schweine_Werte!$G35))</f>
        <v>0</v>
      </c>
      <c r="BG35" s="716">
        <f>IF(OR($C$60=$AR35,$D$60=$AR35),Schweine_Werte!$G35*0.5,IF(OR($C$60&gt;$AR35,$D$60&lt;$AR35),0,Schweine_Werte!$G35))</f>
        <v>0</v>
      </c>
      <c r="BH35" s="781">
        <f>IF(OR($C$12=$AR35,$D$12=$AR35),Schweine_Werte!$I35*0.5,IF(OR($C$12&gt;$AR35,$D$12&lt;$AR35),0,Schweine_Werte!$I35))</f>
        <v>0</v>
      </c>
      <c r="BI35" s="716">
        <f>IF(OR($C$24=$AR35,$D$24=$AR35),Schweine_Werte!$I35*0.5,IF(OR($C$24&gt;$AR35,$D$24&lt;$AR35),0,Schweine_Werte!$I35))</f>
        <v>0</v>
      </c>
      <c r="BJ35" s="716">
        <f>IF(OR($C$36=$AR35,$D$36=$AR35),Schweine_Werte!$I35*0.5,IF(OR($C$36&gt;$AR35,$D$36&lt;$AR35),0,Schweine_Werte!$I35))</f>
        <v>0</v>
      </c>
      <c r="BK35" s="716">
        <f>IF(OR($C$48=$AR35,$D$48=$AR35),Schweine_Werte!$I35*0.5,IF(OR($C$48&gt;$AR35,$D$48&lt;$AR35),0,Schweine_Werte!$I35))</f>
        <v>0</v>
      </c>
      <c r="BL35" s="716">
        <f>IF(OR($C$60=$AR35,$D$60=$AR35),Schweine_Werte!$I35*0.5,IF(OR($C$60&gt;$AR35,$D$60&lt;$AR35),0,Schweine_Werte!$I35))</f>
        <v>0</v>
      </c>
      <c r="BM35" s="781"/>
      <c r="BN35" s="716"/>
      <c r="BO35" s="716"/>
      <c r="BP35" s="716"/>
      <c r="BQ35" s="716"/>
      <c r="BR35" s="781">
        <f>IF(OR($C$74=$AR35,$D$74=$AR35),Schweine_Werte!$M35*0.5,IF(OR($C$74&gt;$AR35,$D$74&lt;$AR35),0,Schweine_Werte!$M35))</f>
        <v>0</v>
      </c>
      <c r="BS35" s="781">
        <f>IF(OR($C$83=$AR35,$D$83=$AR35),Schweine_Werte!$M35*0.5,IF(OR($C$83&gt;$AR35,$D$83&lt;$AR35),0,Schweine_Werte!$M35))</f>
        <v>0</v>
      </c>
      <c r="BT35" s="783">
        <f>IF(OR($C$92=$AR35,$D$92=$AR35),Schweine_Werte!$M35*0.5,IF(OR($C$92&gt;$AR35,$D$92&lt;$AR35),0,Schweine_Werte!$M35))</f>
        <v>0</v>
      </c>
      <c r="BU35" s="783">
        <f>IF(OR($C$101=$AR35,$D$101=$AR35),Schweine_Werte!$M35*0.5,IF(OR($C$101&gt;$AR35,$D$101&lt;$AR35),0,Schweine_Werte!$M35))</f>
        <v>0</v>
      </c>
      <c r="BV35" s="783">
        <f>IF(OR($C$110=$AR35,$D$110=$AR35),Schweine_Werte!$M35*0.5,IF(OR($C$110&gt;$AR35,$D$110&lt;$AR35),0,Schweine_Werte!$M35))</f>
        <v>0</v>
      </c>
      <c r="BW35" s="783">
        <f>IF(OR(8=$AR35,$E$127=$AR35),Schweine_Werte!$M35*0.5,IF(OR(8&gt;$AR35,$E$127&lt;$AR35),0,Schweine_Werte!$M35))</f>
        <v>1.3522208276626688</v>
      </c>
      <c r="BX35" s="783">
        <f>IF(OR(8=$AR35,$E$145=$AR35),Schweine_Werte!$M35*0.5,IF(OR(8&gt;$AR35,$E$145&lt;$AR35),0,Schweine_Werte!$M35))</f>
        <v>1.3522208276626688</v>
      </c>
      <c r="BY35" s="781">
        <f>IF(OR($C$74=$AR35,$D$74=$AR35),Schweine_Werte!$O35*0.5,IF(OR($C$74&gt;$AR35,$D$74&lt;$AR35),0,Schweine_Werte!$O35))</f>
        <v>0</v>
      </c>
      <c r="BZ35" s="781">
        <f>IF(OR($C$83=$AR35,$D$83=$AR35),Schweine_Werte!$O35*0.5,IF(OR($C$83&gt;$AR35,$D$83&lt;$AR35),0,Schweine_Werte!$O35))</f>
        <v>0</v>
      </c>
      <c r="CA35" s="783">
        <f>IF(OR($C$92=$AR35,$D$92=$AR35),Schweine_Werte!$O35*0.5,IF(OR($C$92&gt;$AR35,$D$92&lt;$AR35),0,Schweine_Werte!$O35))</f>
        <v>0</v>
      </c>
      <c r="CB35" s="783">
        <f>IF(OR($C$101=$AR35,$D$101=$AR35),Schweine_Werte!$O35*0.5,IF(OR($C$101&gt;$AR35,$D$101&lt;$AR35),0,Schweine_Werte!$O35))</f>
        <v>0</v>
      </c>
      <c r="CC35" s="783">
        <f>IF(OR($C$110=$AR35,$D$110=$AR35),Schweine_Werte!$O35*0.5,IF(OR($C$110&gt;$AR35,$D$110&lt;$AR35),0,Schweine_Werte!$O35))</f>
        <v>0</v>
      </c>
    </row>
    <row r="36" spans="1:81" ht="15.75" x14ac:dyDescent="0.2">
      <c r="A36" t="s">
        <v>7775</v>
      </c>
      <c r="B36" s="756" t="str">
        <f>IF('Abweichende Werte'!W7=1,'Abweichende Werte'!F7,"")</f>
        <v/>
      </c>
      <c r="C36" s="666" t="str">
        <f>IF('Abweichende Werte'!W7=1,'Abweichende Werte'!J7,"")</f>
        <v/>
      </c>
      <c r="D36" s="666" t="str">
        <f>IF('Abweichende Werte'!W7=1,'Abweichende Werte'!M7,"")</f>
        <v/>
      </c>
      <c r="E36" s="801" t="str">
        <f>IF('Abweichende Werte'!W7=1,'Abweichende Werte'!P7,"")</f>
        <v/>
      </c>
      <c r="F36" s="789" t="e">
        <f>IF($E36&lt;=$E29,F29,IF(AND($E36&gt;$E29,$E36&lt;=$E30),F29+(F30-F29)/($E30-$E29)*($E36-$E29),IF(AND($E36&gt;$E30,$E36&lt;=$E31),F30+(F31-F30)/($E31-$E30)*($E36-$E30),IF(AND($E36&gt;$E31,$E36&lt;=$E32),F31+(F32-F31)/($E32-$E31)*($E36-$E31),IF($E36&gt;$E32,F32)))))</f>
        <v>#VALUE!</v>
      </c>
      <c r="G36" s="789" t="e">
        <f t="shared" ref="G36:N36" si="17">IF($E36&lt;=$E29,G29,IF(AND($E36&gt;$E29,$E36&lt;=$E30),G29+(G30-G29)/($E30-$E29)*($E36-$E29),IF(AND($E36&gt;$E30,$E36&lt;=$E31),G30+(G31-G30)/($E31-$E30)*($E36-$E30),IF(AND($E36&gt;$E31,$E36&lt;=$E32),G31+(G32-G31)/($E32-$E31)*($E36-$E31),IF($E36&gt;$E32,G32)))))</f>
        <v>#VALUE!</v>
      </c>
      <c r="H36" s="789" t="e">
        <f t="shared" si="17"/>
        <v>#VALUE!</v>
      </c>
      <c r="I36" s="789" t="e">
        <f t="shared" si="17"/>
        <v>#VALUE!</v>
      </c>
      <c r="J36" s="789" t="e">
        <f t="shared" si="17"/>
        <v>#VALUE!</v>
      </c>
      <c r="K36" s="789" t="e">
        <f t="shared" si="17"/>
        <v>#VALUE!</v>
      </c>
      <c r="L36" s="789" t="e">
        <f t="shared" si="17"/>
        <v>#VALUE!</v>
      </c>
      <c r="M36" s="789" t="e">
        <f t="shared" si="17"/>
        <v>#VALUE!</v>
      </c>
      <c r="N36" s="789" t="e">
        <f t="shared" si="17"/>
        <v>#VALUE!</v>
      </c>
      <c r="O36" s="790">
        <v>5.5</v>
      </c>
      <c r="P36" s="790">
        <v>1.8</v>
      </c>
      <c r="Q36" s="789" t="e">
        <f t="shared" ref="Q36:Z36" si="18">IF($E36&lt;=$E29,Q29,IF(AND($E36&gt;$E29,$E36&lt;=$E30),Q29+(Q30-Q29)/($E30-$E29)*($E36-$E29),IF(AND($E36&gt;$E30,$E36&lt;=$E31),Q30+(Q31-Q30)/($E31-$E30)*($E36-$E30),IF(AND($E36&gt;$E31,$E36&lt;=$E32),Q31+(Q32-Q31)/($E32-$E31)*($E36-$E31),IF($E36&gt;$E32,Q32)))))</f>
        <v>#VALUE!</v>
      </c>
      <c r="R36" s="789" t="e">
        <f t="shared" si="18"/>
        <v>#VALUE!</v>
      </c>
      <c r="S36" s="789" t="e">
        <f t="shared" si="18"/>
        <v>#VALUE!</v>
      </c>
      <c r="T36" s="789" t="e">
        <f t="shared" si="18"/>
        <v>#VALUE!</v>
      </c>
      <c r="U36" s="789" t="e">
        <f t="shared" si="18"/>
        <v>#VALUE!</v>
      </c>
      <c r="V36" s="789" t="e">
        <f t="shared" si="18"/>
        <v>#VALUE!</v>
      </c>
      <c r="W36" s="789" t="e">
        <f t="shared" si="18"/>
        <v>#VALUE!</v>
      </c>
      <c r="X36" s="789" t="e">
        <f t="shared" si="18"/>
        <v>#VALUE!</v>
      </c>
      <c r="Y36" s="789" t="e">
        <f t="shared" si="18"/>
        <v>#VALUE!</v>
      </c>
      <c r="Z36" s="789" t="e">
        <f t="shared" si="18"/>
        <v>#VALUE!</v>
      </c>
      <c r="AA36" s="791" t="e">
        <f>+Z36*6.25</f>
        <v>#VALUE!</v>
      </c>
      <c r="AB36" s="789" t="e">
        <f t="shared" ref="AB36" si="19">IF($E36&lt;=$E29,AB29,IF(AND($E36&gt;$E29,$E36&lt;=$E30),AB29+(AB30-AB29)/($E30-$E29)*($E36-$E29),IF(AND($E36&gt;$E30,$E36&lt;=$E31),AB30+(AB31-AB30)/($E31-$E30)*($E36-$E30),IF(AND($E36&gt;$E31,$E36&lt;=$E32),AB31+(AB32-AB31)/($E32-$E31)*($E36-$E31),IF($E36&gt;$E32,AB32)))))</f>
        <v>#VALUE!</v>
      </c>
      <c r="AC36" s="791" t="e">
        <f>+AB36*6.25</f>
        <v>#VALUE!</v>
      </c>
      <c r="AD36" s="789" t="e">
        <f t="shared" ref="AD36" si="20">IF($E36&lt;=$E29,AD29,IF(AND($E36&gt;$E29,$E36&lt;=$E30),AD29+(AD30-AD29)/($E30-$E29)*($E36-$E29),IF(AND($E36&gt;$E30,$E36&lt;=$E31),AD30+(AD31-AD30)/($E31-$E30)*($E36-$E30),IF(AND($E36&gt;$E31,$E36&lt;=$E32),AD31+(AD32-AD31)/($E32-$E31)*($E36-$E31),IF($E36&gt;$E32,AD32)))))</f>
        <v>#VALUE!</v>
      </c>
      <c r="AE36" s="791" t="e">
        <f>+AD36*6.25</f>
        <v>#VALUE!</v>
      </c>
      <c r="AF36" s="791" t="e">
        <f>365/((D36-C36)/E36*1000)</f>
        <v>#VALUE!</v>
      </c>
      <c r="AG36" s="789" t="e">
        <f>IF($E36&lt;=$E29,AG29,IF(AND($E36&gt;$E29,$E36&lt;=$E30),AG29+(AG30-AG29)/($E30-$E29)*($E36-$E29),IF(AND($E36&gt;$E30,$E36&lt;=$E31),AG30+(AG31-AG30)/($E31-$E30)*($E36-$E30),IF(AND($E36&gt;$E31,$E36&lt;=$E32),AG31+(AG32-AG31)/($E32-$E31)*($E36-$E31),IF($E36&gt;$E32,AG32)))))</f>
        <v>#VALUE!</v>
      </c>
      <c r="AH36" s="791" t="e">
        <f>+AG36/AF36</f>
        <v>#VALUE!</v>
      </c>
      <c r="AI36" s="791" t="e">
        <f>+CONCATENATE(ROUND(AH36/(D36-C36),1)," : 1")</f>
        <v>#VALUE!</v>
      </c>
      <c r="AJ36" s="789" t="e">
        <f t="shared" ref="AJ36" si="21">IF($E36&lt;=$E29,AJ29,IF(AND($E36&gt;$E29,$E36&lt;=$E30),AJ29+(AJ30-AJ29)/($E30-$E29)*($E36-$E29),IF(AND($E36&gt;$E30,$E36&lt;=$E31),AJ30+(AJ31-AJ30)/($E31-$E30)*($E36-$E30),IF(AND($E36&gt;$E31,$E36&lt;=$E32),AJ31+(AJ32-AJ31)/($E32-$E31)*($E36-$E31),IF($E36&gt;$E32,AJ32)))))</f>
        <v>#VALUE!</v>
      </c>
      <c r="AK36" s="791" t="e">
        <f>+AJ36/2.291</f>
        <v>#VALUE!</v>
      </c>
      <c r="AL36" s="789" t="e">
        <f t="shared" ref="AL36" si="22">IF($E36&lt;=$E29,AL29,IF(AND($E36&gt;$E29,$E36&lt;=$E30),AL29+(AL30-AL29)/($E30-$E29)*($E36-$E29),IF(AND($E36&gt;$E30,$E36&lt;=$E31),AL30+(AL31-AL30)/($E31-$E30)*($E36-$E30),IF(AND($E36&gt;$E31,$E36&lt;=$E32),AL31+(AL32-AL31)/($E32-$E31)*($E36-$E31),IF($E36&gt;$E32,AL32)))))</f>
        <v>#VALUE!</v>
      </c>
      <c r="AM36" s="791" t="e">
        <f>+AL36/2.291</f>
        <v>#VALUE!</v>
      </c>
      <c r="AN36" s="789" t="e">
        <f t="shared" ref="AN36" si="23">IF($E36&lt;=$E29,AN29,IF(AND($E36&gt;$E29,$E36&lt;=$E30),AN29+(AN30-AN29)/($E30-$E29)*($E36-$E29),IF(AND($E36&gt;$E30,$E36&lt;=$E31),AN30+(AN31-AN30)/($E31-$E30)*($E36-$E30),IF(AND($E36&gt;$E31,$E36&lt;=$E32),AN31+(AN32-AN31)/($E32-$E31)*($E36-$E31),IF($E36&gt;$E32,AN32)))))</f>
        <v>#VALUE!</v>
      </c>
      <c r="AO36" s="791" t="e">
        <f>+AN36/2.291</f>
        <v>#VALUE!</v>
      </c>
      <c r="AR36" s="792">
        <v>40</v>
      </c>
      <c r="AS36" s="781">
        <f>IF(OR($C$12=$AR36,$D$12=$AR36),Schweine_Werte!$C36*0.5,IF(OR($C$12&gt;$AR36,$D$12&lt;$AR36),0,Schweine_Werte!$C36))</f>
        <v>0</v>
      </c>
      <c r="AT36" s="716">
        <f>IF(OR($C$24=$AR36,$D$24=$AR36),Schweine_Werte!$C36*0.5,IF(OR($C$24&gt;$AR36,$D$24&lt;$AR36),0,Schweine_Werte!$C36))</f>
        <v>0</v>
      </c>
      <c r="AU36" s="781">
        <f>IF(OR($C$36=$AR36,$D$36=$AR36),Schweine_Werte!$C36*0.5,IF(OR($C$36&gt;$AR36,$D$36&lt;$AR36),0,Schweine_Werte!$C36))</f>
        <v>0</v>
      </c>
      <c r="AV36" s="781">
        <f>IF(OR($C$48=$AR36,$D$48=$AR36),Schweine_Werte!$C36*0.5,IF(OR($C$48&gt;$AR36,$D$48&lt;$AR36),0,Schweine_Werte!$C36))</f>
        <v>0</v>
      </c>
      <c r="AW36" s="781">
        <f>IF(OR($C$60=$AR36,$D$60=$AR36),Schweine_Werte!$C36*0.5,IF(OR($C$60&gt;$AR36,$D$60&lt;$AR36),0,Schweine_Werte!$C36))</f>
        <v>0</v>
      </c>
      <c r="AX36" s="781">
        <f>IF(OR($C$12=$AR36,$D$12=$AR36),Schweine_Werte!$E36*0.5,IF(OR($C$12&gt;$AR36,$D$12&lt;$AR36),0,Schweine_Werte!$E36))</f>
        <v>0</v>
      </c>
      <c r="AY36" s="716">
        <f>IF(OR($C$24=$AR36,$D$24=$AR36),Schweine_Werte!$E36*0.5,IF(OR($C$24&gt;$AR36,$D$24&lt;$AR36),0,Schweine_Werte!$E36))</f>
        <v>0</v>
      </c>
      <c r="AZ36" s="716">
        <f>IF(OR($C$36=$AR36,$D$36=$AR36),Schweine_Werte!$E36*0.5,IF(OR($C$36&gt;$AR36,$D$36&lt;$AR36),0,Schweine_Werte!$E36))</f>
        <v>0</v>
      </c>
      <c r="BA36" s="716">
        <f>IF(OR($C$48=$AR36,$D$48=$AR36),Schweine_Werte!$E36*0.5,IF(OR($C$48&gt;$AR36,$D$48&lt;$AR36),0,Schweine_Werte!$E36))</f>
        <v>0</v>
      </c>
      <c r="BB36" s="716">
        <f>IF(OR($C$60=$AR36,$D$60=$AR36),Schweine_Werte!$E36*0.5,IF(OR($C$60&gt;$AR36,$D$60&lt;$AR36),0,Schweine_Werte!$E36))</f>
        <v>0</v>
      </c>
      <c r="BC36" s="781">
        <f>IF(OR($C$12=$AR36,$D$12=$AR36),Schweine_Werte!$G36*0.5,IF(OR($C$12&gt;$AR36,$D$12&lt;$AR36),0,Schweine_Werte!$G36))</f>
        <v>0</v>
      </c>
      <c r="BD36" s="716">
        <f>IF(OR($C$24=$AR36,$D$24=$AR36),Schweine_Werte!$G36*0.5,IF(OR($C$24&gt;$AR36,$D$24&lt;$AR36),0,Schweine_Werte!$G36))</f>
        <v>0</v>
      </c>
      <c r="BE36" s="716">
        <f>IF(OR($C$36=$AR36,$D$36=$AR36),Schweine_Werte!$G36*0.5,IF(OR($C$36&gt;$AR36,$D$36&lt;$AR36),0,Schweine_Werte!$G36))</f>
        <v>0</v>
      </c>
      <c r="BF36" s="716">
        <f>IF(OR($C$48=$AR36,$D$48=$AR36),Schweine_Werte!$G36*0.5,IF(OR($C$48&gt;$AR36,$D$48&lt;$AR36),0,Schweine_Werte!$G36))</f>
        <v>0</v>
      </c>
      <c r="BG36" s="716">
        <f>IF(OR($C$60=$AR36,$D$60=$AR36),Schweine_Werte!$G36*0.5,IF(OR($C$60&gt;$AR36,$D$60&lt;$AR36),0,Schweine_Werte!$G36))</f>
        <v>0</v>
      </c>
      <c r="BH36" s="781">
        <f>IF(OR($C$12=$AR36,$D$12=$AR36),Schweine_Werte!$I36*0.5,IF(OR($C$12&gt;$AR36,$D$12&lt;$AR36),0,Schweine_Werte!$I36))</f>
        <v>0</v>
      </c>
      <c r="BI36" s="716">
        <f>IF(OR($C$24=$AR36,$D$24=$AR36),Schweine_Werte!$I36*0.5,IF(OR($C$24&gt;$AR36,$D$24&lt;$AR36),0,Schweine_Werte!$I36))</f>
        <v>0</v>
      </c>
      <c r="BJ36" s="716">
        <f>IF(OR($C$36=$AR36,$D$36=$AR36),Schweine_Werte!$I36*0.5,IF(OR($C$36&gt;$AR36,$D$36&lt;$AR36),0,Schweine_Werte!$I36))</f>
        <v>0</v>
      </c>
      <c r="BK36" s="716">
        <f>IF(OR($C$48=$AR36,$D$48=$AR36),Schweine_Werte!$I36*0.5,IF(OR($C$48&gt;$AR36,$D$48&lt;$AR36),0,Schweine_Werte!$I36))</f>
        <v>0</v>
      </c>
      <c r="BL36" s="716">
        <f>IF(OR($C$60=$AR36,$D$60=$AR36),Schweine_Werte!$I36*0.5,IF(OR($C$60&gt;$AR36,$D$60&lt;$AR36),0,Schweine_Werte!$I36))</f>
        <v>0</v>
      </c>
      <c r="BM36" s="781"/>
      <c r="BN36" s="716"/>
      <c r="BO36" s="716"/>
      <c r="BP36" s="716"/>
      <c r="BQ36" s="716"/>
      <c r="BR36" s="781">
        <f>IF(OR($C$74=$AR36,$D$74=$AR36),Schweine_Werte!$M36*0.5,IF(OR($C$74&gt;$AR36,$D$74&lt;$AR36),0,Schweine_Werte!$M36))</f>
        <v>0</v>
      </c>
      <c r="BS36" s="781">
        <f>IF(OR($C$83=$AR36,$D$83=$AR36),Schweine_Werte!$M36*0.5,IF(OR($C$83&gt;$AR36,$D$83&lt;$AR36),0,Schweine_Werte!$M36))</f>
        <v>0</v>
      </c>
      <c r="BT36" s="783">
        <f>IF(OR($C$92=$AR36,$D$92=$AR36),Schweine_Werte!$M36*0.5,IF(OR($C$92&gt;$AR36,$D$92&lt;$AR36),0,Schweine_Werte!$M36))</f>
        <v>0</v>
      </c>
      <c r="BU36" s="783">
        <f>IF(OR($C$101=$AR36,$D$101=$AR36),Schweine_Werte!$M36*0.5,IF(OR($C$101&gt;$AR36,$D$101&lt;$AR36),0,Schweine_Werte!$M36))</f>
        <v>0</v>
      </c>
      <c r="BV36" s="783">
        <f>IF(OR($C$110=$AR36,$D$110=$AR36),Schweine_Werte!$M36*0.5,IF(OR($C$110&gt;$AR36,$D$110&lt;$AR36),0,Schweine_Werte!$M36))</f>
        <v>0</v>
      </c>
      <c r="BW36" s="783">
        <f>IF(OR(8=$AR36,$E$127=$AR36),Schweine_Werte!$M36*0.5,IF(OR(8&gt;$AR36,$E$127&lt;$AR36),0,Schweine_Werte!$M36))</f>
        <v>1.3346726601939383</v>
      </c>
      <c r="BX36" s="783">
        <f>IF(OR(8=$AR36,$E$145=$AR36),Schweine_Werte!$M36*0.5,IF(OR(8&gt;$AR36,$E$145&lt;$AR36),0,Schweine_Werte!$M36))</f>
        <v>1.3346726601939383</v>
      </c>
      <c r="BY36" s="781">
        <f>IF(OR($C$74=$AR36,$D$74=$AR36),Schweine_Werte!$O36*0.5,IF(OR($C$74&gt;$AR36,$D$74&lt;$AR36),0,Schweine_Werte!$O36))</f>
        <v>0</v>
      </c>
      <c r="BZ36" s="781">
        <f>IF(OR($C$83=$AR36,$D$83=$AR36),Schweine_Werte!$O36*0.5,IF(OR($C$83&gt;$AR36,$D$83&lt;$AR36),0,Schweine_Werte!$O36))</f>
        <v>0</v>
      </c>
      <c r="CA36" s="783">
        <f>IF(OR($C$92=$AR36,$D$92=$AR36),Schweine_Werte!$O36*0.5,IF(OR($C$92&gt;$AR36,$D$92&lt;$AR36),0,Schweine_Werte!$O36))</f>
        <v>0</v>
      </c>
      <c r="CB36" s="783">
        <f>IF(OR($C$101=$AR36,$D$101=$AR36),Schweine_Werte!$O36*0.5,IF(OR($C$101&gt;$AR36,$D$101&lt;$AR36),0,Schweine_Werte!$O36))</f>
        <v>0</v>
      </c>
      <c r="CC36" s="783">
        <f>IF(OR($C$110=$AR36,$D$110=$AR36),Schweine_Werte!$O36*0.5,IF(OR($C$110&gt;$AR36,$D$110&lt;$AR36),0,Schweine_Werte!$O36))</f>
        <v>0</v>
      </c>
    </row>
    <row r="37" spans="1:81" x14ac:dyDescent="0.2">
      <c r="AR37" s="792">
        <v>41</v>
      </c>
      <c r="AS37" s="781">
        <f>IF(OR($C$12=$AR37,$D$12=$AR37),Schweine_Werte!$C37*0.5,IF(OR($C$12&gt;$AR37,$D$12&lt;$AR37),0,Schweine_Werte!$C37))</f>
        <v>0</v>
      </c>
      <c r="AT37" s="716">
        <f>IF(OR($C$24=$AR37,$D$24=$AR37),Schweine_Werte!$C37*0.5,IF(OR($C$24&gt;$AR37,$D$24&lt;$AR37),0,Schweine_Werte!$C37))</f>
        <v>0</v>
      </c>
      <c r="AU37" s="781">
        <f>IF(OR($C$36=$AR37,$D$36=$AR37),Schweine_Werte!$C37*0.5,IF(OR($C$36&gt;$AR37,$D$36&lt;$AR37),0,Schweine_Werte!$C37))</f>
        <v>0</v>
      </c>
      <c r="AV37" s="781">
        <f>IF(OR($C$48=$AR37,$D$48=$AR37),Schweine_Werte!$C37*0.5,IF(OR($C$48&gt;$AR37,$D$48&lt;$AR37),0,Schweine_Werte!$C37))</f>
        <v>0</v>
      </c>
      <c r="AW37" s="781">
        <f>IF(OR($C$60=$AR37,$D$60=$AR37),Schweine_Werte!$C37*0.5,IF(OR($C$60&gt;$AR37,$D$60&lt;$AR37),0,Schweine_Werte!$C37))</f>
        <v>0</v>
      </c>
      <c r="AX37" s="781">
        <f>IF(OR($C$12=$AR37,$D$12=$AR37),Schweine_Werte!$E37*0.5,IF(OR($C$12&gt;$AR37,$D$12&lt;$AR37),0,Schweine_Werte!$E37))</f>
        <v>0</v>
      </c>
      <c r="AY37" s="716">
        <f>IF(OR($C$24=$AR37,$D$24=$AR37),Schweine_Werte!$E37*0.5,IF(OR($C$24&gt;$AR37,$D$24&lt;$AR37),0,Schweine_Werte!$E37))</f>
        <v>0</v>
      </c>
      <c r="AZ37" s="716">
        <f>IF(OR($C$36=$AR37,$D$36=$AR37),Schweine_Werte!$E37*0.5,IF(OR($C$36&gt;$AR37,$D$36&lt;$AR37),0,Schweine_Werte!$E37))</f>
        <v>0</v>
      </c>
      <c r="BA37" s="716">
        <f>IF(OR($C$48=$AR37,$D$48=$AR37),Schweine_Werte!$E37*0.5,IF(OR($C$48&gt;$AR37,$D$48&lt;$AR37),0,Schweine_Werte!$E37))</f>
        <v>0</v>
      </c>
      <c r="BB37" s="716">
        <f>IF(OR($C$60=$AR37,$D$60=$AR37),Schweine_Werte!$E37*0.5,IF(OR($C$60&gt;$AR37,$D$60&lt;$AR37),0,Schweine_Werte!$E37))</f>
        <v>0</v>
      </c>
      <c r="BC37" s="781">
        <f>IF(OR($C$12=$AR37,$D$12=$AR37),Schweine_Werte!$G37*0.5,IF(OR($C$12&gt;$AR37,$D$12&lt;$AR37),0,Schweine_Werte!$G37))</f>
        <v>0</v>
      </c>
      <c r="BD37" s="716">
        <f>IF(OR($C$24=$AR37,$D$24=$AR37),Schweine_Werte!$G37*0.5,IF(OR($C$24&gt;$AR37,$D$24&lt;$AR37),0,Schweine_Werte!$G37))</f>
        <v>0</v>
      </c>
      <c r="BE37" s="716">
        <f>IF(OR($C$36=$AR37,$D$36=$AR37),Schweine_Werte!$G37*0.5,IF(OR($C$36&gt;$AR37,$D$36&lt;$AR37),0,Schweine_Werte!$G37))</f>
        <v>0</v>
      </c>
      <c r="BF37" s="716">
        <f>IF(OR($C$48=$AR37,$D$48=$AR37),Schweine_Werte!$G37*0.5,IF(OR($C$48&gt;$AR37,$D$48&lt;$AR37),0,Schweine_Werte!$G37))</f>
        <v>0</v>
      </c>
      <c r="BG37" s="716">
        <f>IF(OR($C$60=$AR37,$D$60=$AR37),Schweine_Werte!$G37*0.5,IF(OR($C$60&gt;$AR37,$D$60&lt;$AR37),0,Schweine_Werte!$G37))</f>
        <v>0</v>
      </c>
      <c r="BH37" s="781">
        <f>IF(OR($C$12=$AR37,$D$12=$AR37),Schweine_Werte!$I37*0.5,IF(OR($C$12&gt;$AR37,$D$12&lt;$AR37),0,Schweine_Werte!$I37))</f>
        <v>0</v>
      </c>
      <c r="BI37" s="716">
        <f>IF(OR($C$24=$AR37,$D$24=$AR37),Schweine_Werte!$I37*0.5,IF(OR($C$24&gt;$AR37,$D$24&lt;$AR37),0,Schweine_Werte!$I37))</f>
        <v>0</v>
      </c>
      <c r="BJ37" s="716">
        <f>IF(OR($C$36=$AR37,$D$36=$AR37),Schweine_Werte!$I37*0.5,IF(OR($C$36&gt;$AR37,$D$36&lt;$AR37),0,Schweine_Werte!$I37))</f>
        <v>0</v>
      </c>
      <c r="BK37" s="716">
        <f>IF(OR($C$48=$AR37,$D$48=$AR37),Schweine_Werte!$I37*0.5,IF(OR($C$48&gt;$AR37,$D$48&lt;$AR37),0,Schweine_Werte!$I37))</f>
        <v>0</v>
      </c>
      <c r="BL37" s="716">
        <f>IF(OR($C$60=$AR37,$D$60=$AR37),Schweine_Werte!$I37*0.5,IF(OR($C$60&gt;$AR37,$D$60&lt;$AR37),0,Schweine_Werte!$I37))</f>
        <v>0</v>
      </c>
      <c r="BM37" s="781"/>
      <c r="BN37" s="716"/>
      <c r="BO37" s="716"/>
      <c r="BP37" s="716"/>
      <c r="BQ37" s="716"/>
      <c r="BR37" s="781">
        <f>IF(OR($C$74=$AR37,$D$74=$AR37),Schweine_Werte!$M37*0.5,IF(OR($C$74&gt;$AR37,$D$74&lt;$AR37),0,Schweine_Werte!$M37))</f>
        <v>0</v>
      </c>
      <c r="BS37" s="781">
        <f>IF(OR($C$83=$AR37,$D$83=$AR37),Schweine_Werte!$M37*0.5,IF(OR($C$83&gt;$AR37,$D$83&lt;$AR37),0,Schweine_Werte!$M37))</f>
        <v>0</v>
      </c>
      <c r="BT37" s="783">
        <f>IF(OR($C$92=$AR37,$D$92=$AR37),Schweine_Werte!$M37*0.5,IF(OR($C$92&gt;$AR37,$D$92&lt;$AR37),0,Schweine_Werte!$M37))</f>
        <v>0</v>
      </c>
      <c r="BU37" s="783">
        <f>IF(OR($C$101=$AR37,$D$101=$AR37),Schweine_Werte!$M37*0.5,IF(OR($C$101&gt;$AR37,$D$101&lt;$AR37),0,Schweine_Werte!$M37))</f>
        <v>0</v>
      </c>
      <c r="BV37" s="783">
        <f>IF(OR($C$110=$AR37,$D$110=$AR37),Schweine_Werte!$M37*0.5,IF(OR($C$110&gt;$AR37,$D$110&lt;$AR37),0,Schweine_Werte!$M37))</f>
        <v>0</v>
      </c>
      <c r="BW37" s="783">
        <f>IF(OR(8=$AR37,$E$127=$AR37),Schweine_Werte!$M37*0.5,IF(OR(8&gt;$AR37,$E$127&lt;$AR37),0,Schweine_Werte!$M37))</f>
        <v>1.318079145127627</v>
      </c>
      <c r="BX37" s="783">
        <f>IF(OR(8=$AR37,$E$145=$AR37),Schweine_Werte!$M37*0.5,IF(OR(8&gt;$AR37,$E$145&lt;$AR37),0,Schweine_Werte!$M37))</f>
        <v>1.318079145127627</v>
      </c>
      <c r="BY37" s="781">
        <f>IF(OR($C$74=$AR37,$D$74=$AR37),Schweine_Werte!$O37*0.5,IF(OR($C$74&gt;$AR37,$D$74&lt;$AR37),0,Schweine_Werte!$O37))</f>
        <v>0</v>
      </c>
      <c r="BZ37" s="781">
        <f>IF(OR($C$83=$AR37,$D$83=$AR37),Schweine_Werte!$O37*0.5,IF(OR($C$83&gt;$AR37,$D$83&lt;$AR37),0,Schweine_Werte!$O37))</f>
        <v>0</v>
      </c>
      <c r="CA37" s="783">
        <f>IF(OR($C$92=$AR37,$D$92=$AR37),Schweine_Werte!$O37*0.5,IF(OR($C$92&gt;$AR37,$D$92&lt;$AR37),0,Schweine_Werte!$O37))</f>
        <v>0</v>
      </c>
      <c r="CB37" s="783">
        <f>IF(OR($C$101=$AR37,$D$101=$AR37),Schweine_Werte!$O37*0.5,IF(OR($C$101&gt;$AR37,$D$101&lt;$AR37),0,Schweine_Werte!$O37))</f>
        <v>0</v>
      </c>
      <c r="CC37" s="783">
        <f>IF(OR($C$110=$AR37,$D$110=$AR37),Schweine_Werte!$O37*0.5,IF(OR($C$110&gt;$AR37,$D$110&lt;$AR37),0,Schweine_Werte!$O37))</f>
        <v>0</v>
      </c>
    </row>
    <row r="38" spans="1:81" ht="18.75" x14ac:dyDescent="0.3">
      <c r="H38" s="770"/>
      <c r="I38" s="770"/>
      <c r="L38" s="804"/>
      <c r="W38" s="1587" t="s">
        <v>7662</v>
      </c>
      <c r="X38" s="1587"/>
      <c r="Y38" s="1587"/>
      <c r="AR38" s="792">
        <v>42</v>
      </c>
      <c r="AS38" s="781">
        <f>IF(OR($C$12=$AR38,$D$12=$AR38),Schweine_Werte!$C38*0.5,IF(OR($C$12&gt;$AR38,$D$12&lt;$AR38),0,Schweine_Werte!$C38))</f>
        <v>0</v>
      </c>
      <c r="AT38" s="716">
        <f>IF(OR($C$24=$AR38,$D$24=$AR38),Schweine_Werte!$C38*0.5,IF(OR($C$24&gt;$AR38,$D$24&lt;$AR38),0,Schweine_Werte!$C38))</f>
        <v>0</v>
      </c>
      <c r="AU38" s="781">
        <f>IF(OR($C$36=$AR38,$D$36=$AR38),Schweine_Werte!$C38*0.5,IF(OR($C$36&gt;$AR38,$D$36&lt;$AR38),0,Schweine_Werte!$C38))</f>
        <v>0</v>
      </c>
      <c r="AV38" s="781">
        <f>IF(OR($C$48=$AR38,$D$48=$AR38),Schweine_Werte!$C38*0.5,IF(OR($C$48&gt;$AR38,$D$48&lt;$AR38),0,Schweine_Werte!$C38))</f>
        <v>0</v>
      </c>
      <c r="AW38" s="781">
        <f>IF(OR($C$60=$AR38,$D$60=$AR38),Schweine_Werte!$C38*0.5,IF(OR($C$60&gt;$AR38,$D$60&lt;$AR38),0,Schweine_Werte!$C38))</f>
        <v>0</v>
      </c>
      <c r="AX38" s="781">
        <f>IF(OR($C$12=$AR38,$D$12=$AR38),Schweine_Werte!$E38*0.5,IF(OR($C$12&gt;$AR38,$D$12&lt;$AR38),0,Schweine_Werte!$E38))</f>
        <v>0</v>
      </c>
      <c r="AY38" s="716">
        <f>IF(OR($C$24=$AR38,$D$24=$AR38),Schweine_Werte!$E38*0.5,IF(OR($C$24&gt;$AR38,$D$24&lt;$AR38),0,Schweine_Werte!$E38))</f>
        <v>0</v>
      </c>
      <c r="AZ38" s="716">
        <f>IF(OR($C$36=$AR38,$D$36=$AR38),Schweine_Werte!$E38*0.5,IF(OR($C$36&gt;$AR38,$D$36&lt;$AR38),0,Schweine_Werte!$E38))</f>
        <v>0</v>
      </c>
      <c r="BA38" s="716">
        <f>IF(OR($C$48=$AR38,$D$48=$AR38),Schweine_Werte!$E38*0.5,IF(OR($C$48&gt;$AR38,$D$48&lt;$AR38),0,Schweine_Werte!$E38))</f>
        <v>0</v>
      </c>
      <c r="BB38" s="716">
        <f>IF(OR($C$60=$AR38,$D$60=$AR38),Schweine_Werte!$E38*0.5,IF(OR($C$60&gt;$AR38,$D$60&lt;$AR38),0,Schweine_Werte!$E38))</f>
        <v>0</v>
      </c>
      <c r="BC38" s="781">
        <f>IF(OR($C$12=$AR38,$D$12=$AR38),Schweine_Werte!$G38*0.5,IF(OR($C$12&gt;$AR38,$D$12&lt;$AR38),0,Schweine_Werte!$G38))</f>
        <v>0</v>
      </c>
      <c r="BD38" s="716">
        <f>IF(OR($C$24=$AR38,$D$24=$AR38),Schweine_Werte!$G38*0.5,IF(OR($C$24&gt;$AR38,$D$24&lt;$AR38),0,Schweine_Werte!$G38))</f>
        <v>0</v>
      </c>
      <c r="BE38" s="716">
        <f>IF(OR($C$36=$AR38,$D$36=$AR38),Schweine_Werte!$G38*0.5,IF(OR($C$36&gt;$AR38,$D$36&lt;$AR38),0,Schweine_Werte!$G38))</f>
        <v>0</v>
      </c>
      <c r="BF38" s="716">
        <f>IF(OR($C$48=$AR38,$D$48=$AR38),Schweine_Werte!$G38*0.5,IF(OR($C$48&gt;$AR38,$D$48&lt;$AR38),0,Schweine_Werte!$G38))</f>
        <v>0</v>
      </c>
      <c r="BG38" s="716">
        <f>IF(OR($C$60=$AR38,$D$60=$AR38),Schweine_Werte!$G38*0.5,IF(OR($C$60&gt;$AR38,$D$60&lt;$AR38),0,Schweine_Werte!$G38))</f>
        <v>0</v>
      </c>
      <c r="BH38" s="781">
        <f>IF(OR($C$12=$AR38,$D$12=$AR38),Schweine_Werte!$I38*0.5,IF(OR($C$12&gt;$AR38,$D$12&lt;$AR38),0,Schweine_Werte!$I38))</f>
        <v>0</v>
      </c>
      <c r="BI38" s="716">
        <f>IF(OR($C$24=$AR38,$D$24=$AR38),Schweine_Werte!$I38*0.5,IF(OR($C$24&gt;$AR38,$D$24&lt;$AR38),0,Schweine_Werte!$I38))</f>
        <v>0</v>
      </c>
      <c r="BJ38" s="716">
        <f>IF(OR($C$36=$AR38,$D$36=$AR38),Schweine_Werte!$I38*0.5,IF(OR($C$36&gt;$AR38,$D$36&lt;$AR38),0,Schweine_Werte!$I38))</f>
        <v>0</v>
      </c>
      <c r="BK38" s="716">
        <f>IF(OR($C$48=$AR38,$D$48=$AR38),Schweine_Werte!$I38*0.5,IF(OR($C$48&gt;$AR38,$D$48&lt;$AR38),0,Schweine_Werte!$I38))</f>
        <v>0</v>
      </c>
      <c r="BL38" s="716">
        <f>IF(OR($C$60=$AR38,$D$60=$AR38),Schweine_Werte!$I38*0.5,IF(OR($C$60&gt;$AR38,$D$60&lt;$AR38),0,Schweine_Werte!$I38))</f>
        <v>0</v>
      </c>
      <c r="BM38" s="781"/>
      <c r="BN38" s="716"/>
      <c r="BO38" s="716"/>
      <c r="BP38" s="716"/>
      <c r="BQ38" s="716"/>
      <c r="BR38" s="781">
        <f>IF(OR($C$74=$AR38,$D$74=$AR38),Schweine_Werte!$M38*0.5,IF(OR($C$74&gt;$AR38,$D$74&lt;$AR38),0,Schweine_Werte!$M38))</f>
        <v>0</v>
      </c>
      <c r="BS38" s="781">
        <f>IF(OR($C$83=$AR38,$D$83=$AR38),Schweine_Werte!$M38*0.5,IF(OR($C$83&gt;$AR38,$D$83&lt;$AR38),0,Schweine_Werte!$M38))</f>
        <v>0</v>
      </c>
      <c r="BT38" s="783">
        <f>IF(OR($C$92=$AR38,$D$92=$AR38),Schweine_Werte!$M38*0.5,IF(OR($C$92&gt;$AR38,$D$92&lt;$AR38),0,Schweine_Werte!$M38))</f>
        <v>0</v>
      </c>
      <c r="BU38" s="783">
        <f>IF(OR($C$101=$AR38,$D$101=$AR38),Schweine_Werte!$M38*0.5,IF(OR($C$101&gt;$AR38,$D$101&lt;$AR38),0,Schweine_Werte!$M38))</f>
        <v>0</v>
      </c>
      <c r="BV38" s="783">
        <f>IF(OR($C$110=$AR38,$D$110=$AR38),Schweine_Werte!$M38*0.5,IF(OR($C$110&gt;$AR38,$D$110&lt;$AR38),0,Schweine_Werte!$M38))</f>
        <v>0</v>
      </c>
      <c r="BW38" s="783">
        <f>IF(OR(8=$AR38,$E$127=$AR38),Schweine_Werte!$M38*0.5,IF(OR(8&gt;$AR38,$E$127&lt;$AR38),0,Schweine_Werte!$M38))</f>
        <v>1.3023868779742263</v>
      </c>
      <c r="BX38" s="783">
        <f>IF(OR(8=$AR38,$E$145=$AR38),Schweine_Werte!$M38*0.5,IF(OR(8&gt;$AR38,$E$145&lt;$AR38),0,Schweine_Werte!$M38))</f>
        <v>1.3023868779742263</v>
      </c>
      <c r="BY38" s="781">
        <f>IF(OR($C$74=$AR38,$D$74=$AR38),Schweine_Werte!$O38*0.5,IF(OR($C$74&gt;$AR38,$D$74&lt;$AR38),0,Schweine_Werte!$O38))</f>
        <v>0</v>
      </c>
      <c r="BZ38" s="781">
        <f>IF(OR($C$83=$AR38,$D$83=$AR38),Schweine_Werte!$O38*0.5,IF(OR($C$83&gt;$AR38,$D$83&lt;$AR38),0,Schweine_Werte!$O38))</f>
        <v>0</v>
      </c>
      <c r="CA38" s="783">
        <f>IF(OR($C$92=$AR38,$D$92=$AR38),Schweine_Werte!$O38*0.5,IF(OR($C$92&gt;$AR38,$D$92&lt;$AR38),0,Schweine_Werte!$O38))</f>
        <v>0</v>
      </c>
      <c r="CB38" s="783">
        <f>IF(OR($C$101=$AR38,$D$101=$AR38),Schweine_Werte!$O38*0.5,IF(OR($C$101&gt;$AR38,$D$101&lt;$AR38),0,Schweine_Werte!$O38))</f>
        <v>0</v>
      </c>
      <c r="CC38" s="783">
        <f>IF(OR($C$110=$AR38,$D$110=$AR38),Schweine_Werte!$O38*0.5,IF(OR($C$110&gt;$AR38,$D$110&lt;$AR38),0,Schweine_Werte!$O38))</f>
        <v>0</v>
      </c>
    </row>
    <row r="39" spans="1:81" ht="18.75" x14ac:dyDescent="0.3">
      <c r="B39" s="774"/>
      <c r="C39" s="774"/>
      <c r="D39" s="774"/>
      <c r="E39" s="774"/>
      <c r="F39" s="774"/>
      <c r="G39" s="774"/>
      <c r="H39" s="775"/>
      <c r="L39" s="125" t="s">
        <v>253</v>
      </c>
      <c r="Q39" s="1587" t="s">
        <v>7768</v>
      </c>
      <c r="R39" s="1587"/>
      <c r="S39" s="1587"/>
      <c r="T39" s="1587" t="s">
        <v>7769</v>
      </c>
      <c r="U39" s="1587"/>
      <c r="V39" s="1587"/>
      <c r="W39" t="s">
        <v>7675</v>
      </c>
      <c r="X39" t="s">
        <v>7676</v>
      </c>
      <c r="Y39" t="s">
        <v>7677</v>
      </c>
      <c r="Z39" t="s">
        <v>7770</v>
      </c>
      <c r="AG39" t="s">
        <v>7771</v>
      </c>
      <c r="AJ39" t="s">
        <v>7772</v>
      </c>
      <c r="AR39" s="792">
        <v>43</v>
      </c>
      <c r="AS39" s="781">
        <f>IF(OR($C$12=$AR39,$D$12=$AR39),Schweine_Werte!$C39*0.5,IF(OR($C$12&gt;$AR39,$D$12&lt;$AR39),0,Schweine_Werte!$C39))</f>
        <v>0</v>
      </c>
      <c r="AT39" s="716">
        <f>IF(OR($C$24=$AR39,$D$24=$AR39),Schweine_Werte!$C39*0.5,IF(OR($C$24&gt;$AR39,$D$24&lt;$AR39),0,Schweine_Werte!$C39))</f>
        <v>0</v>
      </c>
      <c r="AU39" s="781">
        <f>IF(OR($C$36=$AR39,$D$36=$AR39),Schweine_Werte!$C39*0.5,IF(OR($C$36&gt;$AR39,$D$36&lt;$AR39),0,Schweine_Werte!$C39))</f>
        <v>0</v>
      </c>
      <c r="AV39" s="781">
        <f>IF(OR($C$48=$AR39,$D$48=$AR39),Schweine_Werte!$C39*0.5,IF(OR($C$48&gt;$AR39,$D$48&lt;$AR39),0,Schweine_Werte!$C39))</f>
        <v>0</v>
      </c>
      <c r="AW39" s="781">
        <f>IF(OR($C$60=$AR39,$D$60=$AR39),Schweine_Werte!$C39*0.5,IF(OR($C$60&gt;$AR39,$D$60&lt;$AR39),0,Schweine_Werte!$C39))</f>
        <v>0</v>
      </c>
      <c r="AX39" s="781">
        <f>IF(OR($C$12=$AR39,$D$12=$AR39),Schweine_Werte!$E39*0.5,IF(OR($C$12&gt;$AR39,$D$12&lt;$AR39),0,Schweine_Werte!$E39))</f>
        <v>0</v>
      </c>
      <c r="AY39" s="716">
        <f>IF(OR($C$24=$AR39,$D$24=$AR39),Schweine_Werte!$E39*0.5,IF(OR($C$24&gt;$AR39,$D$24&lt;$AR39),0,Schweine_Werte!$E39))</f>
        <v>0</v>
      </c>
      <c r="AZ39" s="716">
        <f>IF(OR($C$36=$AR39,$D$36=$AR39),Schweine_Werte!$E39*0.5,IF(OR($C$36&gt;$AR39,$D$36&lt;$AR39),0,Schweine_Werte!$E39))</f>
        <v>0</v>
      </c>
      <c r="BA39" s="716">
        <f>IF(OR($C$48=$AR39,$D$48=$AR39),Schweine_Werte!$E39*0.5,IF(OR($C$48&gt;$AR39,$D$48&lt;$AR39),0,Schweine_Werte!$E39))</f>
        <v>0</v>
      </c>
      <c r="BB39" s="716">
        <f>IF(OR($C$60=$AR39,$D$60=$AR39),Schweine_Werte!$E39*0.5,IF(OR($C$60&gt;$AR39,$D$60&lt;$AR39),0,Schweine_Werte!$E39))</f>
        <v>0</v>
      </c>
      <c r="BC39" s="781">
        <f>IF(OR($C$12=$AR39,$D$12=$AR39),Schweine_Werte!$G39*0.5,IF(OR($C$12&gt;$AR39,$D$12&lt;$AR39),0,Schweine_Werte!$G39))</f>
        <v>0</v>
      </c>
      <c r="BD39" s="716">
        <f>IF(OR($C$24=$AR39,$D$24=$AR39),Schweine_Werte!$G39*0.5,IF(OR($C$24&gt;$AR39,$D$24&lt;$AR39),0,Schweine_Werte!$G39))</f>
        <v>0</v>
      </c>
      <c r="BE39" s="716">
        <f>IF(OR($C$36=$AR39,$D$36=$AR39),Schweine_Werte!$G39*0.5,IF(OR($C$36&gt;$AR39,$D$36&lt;$AR39),0,Schweine_Werte!$G39))</f>
        <v>0</v>
      </c>
      <c r="BF39" s="716">
        <f>IF(OR($C$48=$AR39,$D$48=$AR39),Schweine_Werte!$G39*0.5,IF(OR($C$48&gt;$AR39,$D$48&lt;$AR39),0,Schweine_Werte!$G39))</f>
        <v>0</v>
      </c>
      <c r="BG39" s="716">
        <f>IF(OR($C$60=$AR39,$D$60=$AR39),Schweine_Werte!$G39*0.5,IF(OR($C$60&gt;$AR39,$D$60&lt;$AR39),0,Schweine_Werte!$G39))</f>
        <v>0</v>
      </c>
      <c r="BH39" s="781">
        <f>IF(OR($C$12=$AR39,$D$12=$AR39),Schweine_Werte!$I39*0.5,IF(OR($C$12&gt;$AR39,$D$12&lt;$AR39),0,Schweine_Werte!$I39))</f>
        <v>0</v>
      </c>
      <c r="BI39" s="716">
        <f>IF(OR($C$24=$AR39,$D$24=$AR39),Schweine_Werte!$I39*0.5,IF(OR($C$24&gt;$AR39,$D$24&lt;$AR39),0,Schweine_Werte!$I39))</f>
        <v>0</v>
      </c>
      <c r="BJ39" s="716">
        <f>IF(OR($C$36=$AR39,$D$36=$AR39),Schweine_Werte!$I39*0.5,IF(OR($C$36&gt;$AR39,$D$36&lt;$AR39),0,Schweine_Werte!$I39))</f>
        <v>0</v>
      </c>
      <c r="BK39" s="716">
        <f>IF(OR($C$48=$AR39,$D$48=$AR39),Schweine_Werte!$I39*0.5,IF(OR($C$48&gt;$AR39,$D$48&lt;$AR39),0,Schweine_Werte!$I39))</f>
        <v>0</v>
      </c>
      <c r="BL39" s="716">
        <f>IF(OR($C$60=$AR39,$D$60=$AR39),Schweine_Werte!$I39*0.5,IF(OR($C$60&gt;$AR39,$D$60&lt;$AR39),0,Schweine_Werte!$I39))</f>
        <v>0</v>
      </c>
      <c r="BM39" s="781"/>
      <c r="BN39" s="716"/>
      <c r="BO39" s="716"/>
      <c r="BP39" s="716"/>
      <c r="BQ39" s="716"/>
      <c r="BR39" s="781">
        <f>IF(OR($C$74=$AR39,$D$74=$AR39),Schweine_Werte!$M39*0.5,IF(OR($C$74&gt;$AR39,$D$74&lt;$AR39),0,Schweine_Werte!$M39))</f>
        <v>0</v>
      </c>
      <c r="BS39" s="781">
        <f>IF(OR($C$83=$AR39,$D$83=$AR39),Schweine_Werte!$M39*0.5,IF(OR($C$83&gt;$AR39,$D$83&lt;$AR39),0,Schweine_Werte!$M39))</f>
        <v>0</v>
      </c>
      <c r="BT39" s="783">
        <f>IF(OR($C$92=$AR39,$D$92=$AR39),Schweine_Werte!$M39*0.5,IF(OR($C$92&gt;$AR39,$D$92&lt;$AR39),0,Schweine_Werte!$M39))</f>
        <v>0</v>
      </c>
      <c r="BU39" s="783">
        <f>IF(OR($C$101=$AR39,$D$101=$AR39),Schweine_Werte!$M39*0.5,IF(OR($C$101&gt;$AR39,$D$101&lt;$AR39),0,Schweine_Werte!$M39))</f>
        <v>0</v>
      </c>
      <c r="BV39" s="783">
        <f>IF(OR($C$110=$AR39,$D$110=$AR39),Schweine_Werte!$M39*0.5,IF(OR($C$110&gt;$AR39,$D$110&lt;$AR39),0,Schweine_Werte!$M39))</f>
        <v>0</v>
      </c>
      <c r="BW39" s="783">
        <f>IF(OR(8=$AR39,$E$127=$AR39),Schweine_Werte!$M39*0.5,IF(OR(8&gt;$AR39,$E$127&lt;$AR39),0,Schweine_Werte!$M39))</f>
        <v>1.2875469860865005</v>
      </c>
      <c r="BX39" s="783">
        <f>IF(OR(8=$AR39,$E$145=$AR39),Schweine_Werte!$M39*0.5,IF(OR(8&gt;$AR39,$E$145&lt;$AR39),0,Schweine_Werte!$M39))</f>
        <v>1.2875469860865005</v>
      </c>
      <c r="BY39" s="781">
        <f>IF(OR($C$74=$AR39,$D$74=$AR39),Schweine_Werte!$O39*0.5,IF(OR($C$74&gt;$AR39,$D$74&lt;$AR39),0,Schweine_Werte!$O39))</f>
        <v>0</v>
      </c>
      <c r="BZ39" s="781">
        <f>IF(OR($C$83=$AR39,$D$83=$AR39),Schweine_Werte!$O39*0.5,IF(OR($C$83&gt;$AR39,$D$83&lt;$AR39),0,Schweine_Werte!$O39))</f>
        <v>0</v>
      </c>
      <c r="CA39" s="783">
        <f>IF(OR($C$92=$AR39,$D$92=$AR39),Schweine_Werte!$O39*0.5,IF(OR($C$92&gt;$AR39,$D$92&lt;$AR39),0,Schweine_Werte!$O39))</f>
        <v>0</v>
      </c>
      <c r="CB39" s="783">
        <f>IF(OR($C$101=$AR39,$D$101=$AR39),Schweine_Werte!$O39*0.5,IF(OR($C$101&gt;$AR39,$D$101&lt;$AR39),0,Schweine_Werte!$O39))</f>
        <v>0</v>
      </c>
      <c r="CC39" s="783">
        <f>IF(OR($C$110=$AR39,$D$110=$AR39),Schweine_Werte!$O39*0.5,IF(OR($C$110&gt;$AR39,$D$110&lt;$AR39),0,Schweine_Werte!$O39))</f>
        <v>0</v>
      </c>
    </row>
    <row r="40" spans="1:81" x14ac:dyDescent="0.2">
      <c r="B40" t="s">
        <v>7687</v>
      </c>
      <c r="E40" t="s">
        <v>7688</v>
      </c>
      <c r="F40" t="s">
        <v>196</v>
      </c>
      <c r="G40" t="s">
        <v>7689</v>
      </c>
      <c r="H40" t="s">
        <v>7690</v>
      </c>
      <c r="I40" t="s">
        <v>7691</v>
      </c>
      <c r="J40" t="s">
        <v>589</v>
      </c>
      <c r="K40" t="s">
        <v>7692</v>
      </c>
      <c r="L40" s="125" t="s">
        <v>7693</v>
      </c>
      <c r="M40" t="s">
        <v>7694</v>
      </c>
      <c r="N40" t="s">
        <v>7695</v>
      </c>
      <c r="O40" t="s">
        <v>7696</v>
      </c>
      <c r="P40" t="s">
        <v>7697</v>
      </c>
      <c r="Q40" t="s">
        <v>39</v>
      </c>
      <c r="R40" t="s">
        <v>40</v>
      </c>
      <c r="S40" t="s">
        <v>41</v>
      </c>
      <c r="T40" t="s">
        <v>39</v>
      </c>
      <c r="U40" t="s">
        <v>40</v>
      </c>
      <c r="V40" t="s">
        <v>41</v>
      </c>
      <c r="AR40" s="792">
        <v>44</v>
      </c>
      <c r="AS40" s="781">
        <f>IF(OR($C$12=$AR40,$D$12=$AR40),Schweine_Werte!$C40*0.5,IF(OR($C$12&gt;$AR40,$D$12&lt;$AR40),0,Schweine_Werte!$C40))</f>
        <v>0</v>
      </c>
      <c r="AT40" s="716">
        <f>IF(OR($C$24=$AR40,$D$24=$AR40),Schweine_Werte!$C40*0.5,IF(OR($C$24&gt;$AR40,$D$24&lt;$AR40),0,Schweine_Werte!$C40))</f>
        <v>0</v>
      </c>
      <c r="AU40" s="781">
        <f>IF(OR($C$36=$AR40,$D$36=$AR40),Schweine_Werte!$C40*0.5,IF(OR($C$36&gt;$AR40,$D$36&lt;$AR40),0,Schweine_Werte!$C40))</f>
        <v>0</v>
      </c>
      <c r="AV40" s="781">
        <f>IF(OR($C$48=$AR40,$D$48=$AR40),Schweine_Werte!$C40*0.5,IF(OR($C$48&gt;$AR40,$D$48&lt;$AR40),0,Schweine_Werte!$C40))</f>
        <v>0</v>
      </c>
      <c r="AW40" s="781">
        <f>IF(OR($C$60=$AR40,$D$60=$AR40),Schweine_Werte!$C40*0.5,IF(OR($C$60&gt;$AR40,$D$60&lt;$AR40),0,Schweine_Werte!$C40))</f>
        <v>0</v>
      </c>
      <c r="AX40" s="781">
        <f>IF(OR($C$12=$AR40,$D$12=$AR40),Schweine_Werte!$E40*0.5,IF(OR($C$12&gt;$AR40,$D$12&lt;$AR40),0,Schweine_Werte!$E40))</f>
        <v>0</v>
      </c>
      <c r="AY40" s="716">
        <f>IF(OR($C$24=$AR40,$D$24=$AR40),Schweine_Werte!$E40*0.5,IF(OR($C$24&gt;$AR40,$D$24&lt;$AR40),0,Schweine_Werte!$E40))</f>
        <v>0</v>
      </c>
      <c r="AZ40" s="716">
        <f>IF(OR($C$36=$AR40,$D$36=$AR40),Schweine_Werte!$E40*0.5,IF(OR($C$36&gt;$AR40,$D$36&lt;$AR40),0,Schweine_Werte!$E40))</f>
        <v>0</v>
      </c>
      <c r="BA40" s="716">
        <f>IF(OR($C$48=$AR40,$D$48=$AR40),Schweine_Werte!$E40*0.5,IF(OR($C$48&gt;$AR40,$D$48&lt;$AR40),0,Schweine_Werte!$E40))</f>
        <v>0</v>
      </c>
      <c r="BB40" s="716">
        <f>IF(OR($C$60=$AR40,$D$60=$AR40),Schweine_Werte!$E40*0.5,IF(OR($C$60&gt;$AR40,$D$60&lt;$AR40),0,Schweine_Werte!$E40))</f>
        <v>0</v>
      </c>
      <c r="BC40" s="781">
        <f>IF(OR($C$12=$AR40,$D$12=$AR40),Schweine_Werte!$G40*0.5,IF(OR($C$12&gt;$AR40,$D$12&lt;$AR40),0,Schweine_Werte!$G40))</f>
        <v>0</v>
      </c>
      <c r="BD40" s="716">
        <f>IF(OR($C$24=$AR40,$D$24=$AR40),Schweine_Werte!$G40*0.5,IF(OR($C$24&gt;$AR40,$D$24&lt;$AR40),0,Schweine_Werte!$G40))</f>
        <v>0</v>
      </c>
      <c r="BE40" s="716">
        <f>IF(OR($C$36=$AR40,$D$36=$AR40),Schweine_Werte!$G40*0.5,IF(OR($C$36&gt;$AR40,$D$36&lt;$AR40),0,Schweine_Werte!$G40))</f>
        <v>0</v>
      </c>
      <c r="BF40" s="716">
        <f>IF(OR($C$48=$AR40,$D$48=$AR40),Schweine_Werte!$G40*0.5,IF(OR($C$48&gt;$AR40,$D$48&lt;$AR40),0,Schweine_Werte!$G40))</f>
        <v>0</v>
      </c>
      <c r="BG40" s="716">
        <f>IF(OR($C$60=$AR40,$D$60=$AR40),Schweine_Werte!$G40*0.5,IF(OR($C$60&gt;$AR40,$D$60&lt;$AR40),0,Schweine_Werte!$G40))</f>
        <v>0</v>
      </c>
      <c r="BH40" s="781">
        <f>IF(OR($C$12=$AR40,$D$12=$AR40),Schweine_Werte!$I40*0.5,IF(OR($C$12&gt;$AR40,$D$12&lt;$AR40),0,Schweine_Werte!$I40))</f>
        <v>0</v>
      </c>
      <c r="BI40" s="716">
        <f>IF(OR($C$24=$AR40,$D$24=$AR40),Schweine_Werte!$I40*0.5,IF(OR($C$24&gt;$AR40,$D$24&lt;$AR40),0,Schweine_Werte!$I40))</f>
        <v>0</v>
      </c>
      <c r="BJ40" s="716">
        <f>IF(OR($C$36=$AR40,$D$36=$AR40),Schweine_Werte!$I40*0.5,IF(OR($C$36&gt;$AR40,$D$36&lt;$AR40),0,Schweine_Werte!$I40))</f>
        <v>0</v>
      </c>
      <c r="BK40" s="716">
        <f>IF(OR($C$48=$AR40,$D$48=$AR40),Schweine_Werte!$I40*0.5,IF(OR($C$48&gt;$AR40,$D$48&lt;$AR40),0,Schweine_Werte!$I40))</f>
        <v>0</v>
      </c>
      <c r="BL40" s="716">
        <f>IF(OR($C$60=$AR40,$D$60=$AR40),Schweine_Werte!$I40*0.5,IF(OR($C$60&gt;$AR40,$D$60&lt;$AR40),0,Schweine_Werte!$I40))</f>
        <v>0</v>
      </c>
      <c r="BM40" s="781"/>
      <c r="BN40" s="716"/>
      <c r="BO40" s="716"/>
      <c r="BP40" s="716"/>
      <c r="BQ40" s="716"/>
      <c r="BR40" s="781">
        <f>IF(OR($C$74=$AR40,$D$74=$AR40),Schweine_Werte!$M40*0.5,IF(OR($C$74&gt;$AR40,$D$74&lt;$AR40),0,Schweine_Werte!$M40))</f>
        <v>0</v>
      </c>
      <c r="BS40" s="781">
        <f>IF(OR($C$83=$AR40,$D$83=$AR40),Schweine_Werte!$M40*0.5,IF(OR($C$83&gt;$AR40,$D$83&lt;$AR40),0,Schweine_Werte!$M40))</f>
        <v>0</v>
      </c>
      <c r="BT40" s="783">
        <f>IF(OR($C$92=$AR40,$D$92=$AR40),Schweine_Werte!$M40*0.5,IF(OR($C$92&gt;$AR40,$D$92&lt;$AR40),0,Schweine_Werte!$M40))</f>
        <v>0</v>
      </c>
      <c r="BU40" s="783">
        <f>IF(OR($C$101=$AR40,$D$101=$AR40),Schweine_Werte!$M40*0.5,IF(OR($C$101&gt;$AR40,$D$101&lt;$AR40),0,Schweine_Werte!$M40))</f>
        <v>0</v>
      </c>
      <c r="BV40" s="783">
        <f>IF(OR($C$110=$AR40,$D$110=$AR40),Schweine_Werte!$M40*0.5,IF(OR($C$110&gt;$AR40,$D$110&lt;$AR40),0,Schweine_Werte!$M40))</f>
        <v>0</v>
      </c>
      <c r="BW40" s="783">
        <f>IF(OR(8=$AR40,$E$127=$AR40),Schweine_Werte!$M40*0.5,IF(OR(8&gt;$AR40,$E$127&lt;$AR40),0,Schweine_Werte!$M40))</f>
        <v>1.2735146886492412</v>
      </c>
      <c r="BX40" s="783">
        <f>IF(OR(8=$AR40,$E$145=$AR40),Schweine_Werte!$M40*0.5,IF(OR(8&gt;$AR40,$E$145&lt;$AR40),0,Schweine_Werte!$M40))</f>
        <v>1.2735146886492412</v>
      </c>
      <c r="BY40" s="781">
        <f>IF(OR($C$74=$AR40,$D$74=$AR40),Schweine_Werte!$O40*0.5,IF(OR($C$74&gt;$AR40,$D$74&lt;$AR40),0,Schweine_Werte!$O40))</f>
        <v>0</v>
      </c>
      <c r="BZ40" s="781">
        <f>IF(OR($C$83=$AR40,$D$83=$AR40),Schweine_Werte!$O40*0.5,IF(OR($C$83&gt;$AR40,$D$83&lt;$AR40),0,Schweine_Werte!$O40))</f>
        <v>0</v>
      </c>
      <c r="CA40" s="783">
        <f>IF(OR($C$92=$AR40,$D$92=$AR40),Schweine_Werte!$O40*0.5,IF(OR($C$92&gt;$AR40,$D$92&lt;$AR40),0,Schweine_Werte!$O40))</f>
        <v>0</v>
      </c>
      <c r="CB40" s="783">
        <f>IF(OR($C$101=$AR40,$D$101=$AR40),Schweine_Werte!$O40*0.5,IF(OR($C$101&gt;$AR40,$D$101&lt;$AR40),0,Schweine_Werte!$O40))</f>
        <v>0</v>
      </c>
      <c r="CC40" s="783">
        <f>IF(OR($C$110=$AR40,$D$110=$AR40),Schweine_Werte!$O40*0.5,IF(OR($C$110&gt;$AR40,$D$110&lt;$AR40),0,Schweine_Werte!$O40))</f>
        <v>0</v>
      </c>
    </row>
    <row r="41" spans="1:81" x14ac:dyDescent="0.2">
      <c r="B41" s="691">
        <v>700</v>
      </c>
      <c r="D41" s="716"/>
      <c r="E41" s="716" t="e">
        <f>($D48-$C48)*1000/SUM($AV$4:$AV$146)</f>
        <v>#VALUE!</v>
      </c>
      <c r="F41" s="716" t="e">
        <f>SUMPRODUCT($AV$4:$AV$146,Schweine_Werte!$Q$4:$Q$146)/SUM($AV$4:$AV$146)</f>
        <v>#DIV/0!</v>
      </c>
      <c r="G41" s="716" t="e">
        <f>IF($B48=$A$8,SUMPRODUCT($AV$4:$AV$146,Schweine_Werte!EH$4:EH$146)/SUM($AV$4:$AV$146),IF($B48=$A$7,SUMPRODUCT($AV$4:$AV$146,Schweine_Werte!DB$4:DB$146)/SUM($AV$4:$AV$146),IF($B48=$A$6,SUMPRODUCT($AV$4:$AV$146,Schweine_Werte!BV$4:BV$146)/SUM($AV$4:$AV$146),SUMPRODUCT($AV$4:$AV$146,Schweine_Werte!AP$4:AP$146)/SUM($AV$4:$AV$146))))</f>
        <v>#DIV/0!</v>
      </c>
      <c r="H41" s="716" t="e">
        <f>IF($B48=$A$8,SUMPRODUCT($AV$4:$AV$146,Schweine_Werte!EI$4:EI$146)/SUM($AV$4:$AV$146),IF($B48=$A$7,SUMPRODUCT($AV$4:$AV$146,Schweine_Werte!DC$4:DC$146)/SUM($AV$4:$AV$146),IF($B48=$A$6,SUMPRODUCT($AV$4:$AV$146,Schweine_Werte!BW$4:BW$146)/SUM($AV$4:$AV$146),SUMPRODUCT($AV$4:$AV$146,Schweine_Werte!AQ$4:AQ$146)/SUM($AV$4:$AV$146))))</f>
        <v>#DIV/0!</v>
      </c>
      <c r="I41" s="716" t="e">
        <f>IF($B48=$A$8,SUMPRODUCT($AV$4:$AV$146,Schweine_Werte!EJ$4:EJ$146)/SUM($AV$4:$AV$146),IF($B48=$A$7,SUMPRODUCT($AV$4:$AV$146,Schweine_Werte!DD$4:DD$146)/SUM($AV$4:$AV$146),IF($B48=$A$6,SUMPRODUCT($AV$4:$AV$146,Schweine_Werte!BX$4:BX$146)/SUM($AV$4:$AV$146),SUMPRODUCT($AV$4:$AV$146,Schweine_Werte!AR$4:AR$146)/SUM($AV$4:$AV$146))))</f>
        <v>#DIV/0!</v>
      </c>
      <c r="J41" s="716" t="e">
        <f>SUMPRODUCT($AV$4:$AV$146,Schweine_Werte!$Y$4:$Y$146)/SUM($AV$4:$AV$146)</f>
        <v>#DIV/0!</v>
      </c>
      <c r="K41" s="716" t="e">
        <f>SUMPRODUCT($AV$4:$AV$146,Schweine_Werte!$AG$4:$AG$146)/SUM($AV$4:$AV$146)</f>
        <v>#DIV/0!</v>
      </c>
      <c r="L41" s="804" t="e">
        <f>T41*$F41*365/1000+$J41-$K41</f>
        <v>#DIV/0!</v>
      </c>
      <c r="M41" s="716" t="e">
        <f>U41*$F41*365/1000+$J41-$K41/2</f>
        <v>#DIV/0!</v>
      </c>
      <c r="N41" s="716" t="e">
        <f>V41*$F41*365/1000+$J41</f>
        <v>#DIV/0!</v>
      </c>
      <c r="O41" s="716">
        <f>IF($C48&lt;28,SUM($AV$4:$AV$23)+IF($D48&gt;28,$AV$24*0.5,$AV$24),0)</f>
        <v>0</v>
      </c>
      <c r="P41" s="716">
        <f>IF($D48&gt;28,SUM($AV$25:$AV$146)+IF($C48&lt;28,$AV$24*0.5,$AV$24),0)</f>
        <v>0</v>
      </c>
      <c r="Q41" s="716" t="e">
        <f t="shared" ref="Q41:S44" si="24">+T41*$F41</f>
        <v>#DIV/0!</v>
      </c>
      <c r="R41" s="716" t="e">
        <f t="shared" si="24"/>
        <v>#DIV/0!</v>
      </c>
      <c r="S41" s="716" t="e">
        <f t="shared" si="24"/>
        <v>#DIV/0!</v>
      </c>
      <c r="T41" s="716" t="e">
        <f>+($O41*Schweine_Werte!$HT$5+$P41*Schweine_Werte!$HU$5)/SUM($O41:$P41)</f>
        <v>#DIV/0!</v>
      </c>
      <c r="U41" s="716" t="e">
        <f>+($O41*Schweine_Werte!$HV$5+$P41*Schweine_Werte!$HW$5)/SUM($O41:$P41)</f>
        <v>#DIV/0!</v>
      </c>
      <c r="V41" s="716" t="e">
        <f>+($O41*Schweine_Werte!$HX$5+$P41*Schweine_Werte!$HY$5)/SUM($O41:$P41)</f>
        <v>#DIV/0!</v>
      </c>
      <c r="W41" s="771" t="e">
        <f>($J41*0.055+T41*0.365*0.86*$F41-$K41*0.018)/L41*100</f>
        <v>#DIV/0!</v>
      </c>
      <c r="X41" s="716" t="e">
        <f>($J41*0.055+U41*0.365*0.86*$F41-$K41*0.018/2)/M41*100</f>
        <v>#DIV/0!</v>
      </c>
      <c r="Y41" s="716" t="e">
        <f>($J41*0.055+V41*0.365*0.86*$F41)/N41*100</f>
        <v>#DIV/0!</v>
      </c>
      <c r="Z41" s="716"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16"/>
      <c r="AB41" s="716">
        <f>IF($B48=$A$8,SUMIF(Schweine_Werte!$AO$4:$AO$146,$C48,Schweine_Werte!$EL$4:$EL$146),IF($B48=$A$7,SUMIF(Schweine_Werte!$AO$4:$AO$146,$C48,Schweine_Werte!$DF$4:$DF$146),IF($B48=$A$6,SUMIF(Schweine_Werte!$AO$4:$AO$146,$C48,Schweine_Werte!$BZ$4:$BZ$146),SUMIF(Schweine_Werte!$AO$4:$AO$146,$C48,Schweine_Werte!$AT$4:$AT$146))))</f>
        <v>0</v>
      </c>
      <c r="AC41" s="716"/>
      <c r="AD41" s="716">
        <f>IF($B48=$A$8,SUMIF(Schweine_Werte!$AO$4:$AO$146,$D48,Schweine_Werte!$EL$4:$EL$146),IF($B48=$A$7,SUMIF(Schweine_Werte!$AO$4:$AO$146,$D48,Schweine_Werte!$DF$4:$DF$146),IF($B48=$A$6,SUMIF(Schweine_Werte!$AO$4:$AO$146,$D48,Schweine_Werte!$BZ$4:$BZ$146),SUMIF(Schweine_Werte!$AO$4:$AO$146,$D48,Schweine_Werte!$AT$4:$AT$146))))</f>
        <v>0</v>
      </c>
      <c r="AE41" s="716"/>
      <c r="AF41" s="716"/>
      <c r="AG41" s="716" t="e">
        <f>IF($B48=$A$8,SUMPRODUCT($AV$4:$AV$146,Schweine_Werte!$EK$4:$EK$146)/SUM($AV$4:$AV$146),IF($B48=$A$7,SUMPRODUCT($AV$4:$AV$146,Schweine_Werte!$DE$4:$DE$146)/SUM($AV$4:$AV$146),IF($B48=$A$6,SUMPRODUCT($AV$4:$AV$146,Schweine_Werte!$BY$4:$BY$146)/SUM($AV$4:$AV$146),SUMPRODUCT($AV$4:$AV$146,Schweine_Werte!$AS$4:$AS$146)/SUM($AV$4:$AV$146))))</f>
        <v>#DIV/0!</v>
      </c>
      <c r="AH41" s="716"/>
      <c r="AI41" s="716"/>
      <c r="AJ41" s="716"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16"/>
      <c r="AL41" s="716">
        <f>IF($B48=$A$8,SUMIF(Schweine_Werte!$AO$4:$AO$146,$C48,Schweine_Werte!$EM$4:$EM$146),IF($B48=$A$7,SUMIF(Schweine_Werte!$AO$4:$AO$146,$C48,Schweine_Werte!$DG$4:$DG$146),IF($B48=$A$6,SUMIF(Schweine_Werte!$AO$4:$AO$146,$C48,Schweine_Werte!$CA$4:$CA$146),SUMIF(Schweine_Werte!$AO$4:$AO$146,$C48,Schweine_Werte!$AU$4:$AU$146))))</f>
        <v>0</v>
      </c>
      <c r="AM41" s="716"/>
      <c r="AN41" s="716">
        <f>IF($B48=$A$8,SUMIF(Schweine_Werte!$AO$4:$AO$146,$D48,Schweine_Werte!$EM$4:$EM$146),IF($B48=$A$7,SUMIF(Schweine_Werte!$AO$4:$AO$146,$D48,Schweine_Werte!$DG$4:$DG$146),IF($B48=$A$6,SUMIF(Schweine_Werte!$AO$4:$AO$146,$D48,Schweine_Werte!$CA$4:$CA$146),SUMIF(Schweine_Werte!$AO$4:$AO$146,$D48,Schweine_Werte!$AU$4:$AU$146))))</f>
        <v>0</v>
      </c>
      <c r="AR41" s="792">
        <v>45</v>
      </c>
      <c r="AS41" s="781">
        <f>IF(OR($C$12=$AR41,$D$12=$AR41),Schweine_Werte!$C41*0.5,IF(OR($C$12&gt;$AR41,$D$12&lt;$AR41),0,Schweine_Werte!$C41))</f>
        <v>0</v>
      </c>
      <c r="AT41" s="716">
        <f>IF(OR($C$24=$AR41,$D$24=$AR41),Schweine_Werte!$C41*0.5,IF(OR($C$24&gt;$AR41,$D$24&lt;$AR41),0,Schweine_Werte!$C41))</f>
        <v>0</v>
      </c>
      <c r="AU41" s="781">
        <f>IF(OR($C$36=$AR41,$D$36=$AR41),Schweine_Werte!$C41*0.5,IF(OR($C$36&gt;$AR41,$D$36&lt;$AR41),0,Schweine_Werte!$C41))</f>
        <v>0</v>
      </c>
      <c r="AV41" s="781">
        <f>IF(OR($C$48=$AR41,$D$48=$AR41),Schweine_Werte!$C41*0.5,IF(OR($C$48&gt;$AR41,$D$48&lt;$AR41),0,Schweine_Werte!$C41))</f>
        <v>0</v>
      </c>
      <c r="AW41" s="781">
        <f>IF(OR($C$60=$AR41,$D$60=$AR41),Schweine_Werte!$C41*0.5,IF(OR($C$60&gt;$AR41,$D$60&lt;$AR41),0,Schweine_Werte!$C41))</f>
        <v>0</v>
      </c>
      <c r="AX41" s="781">
        <f>IF(OR($C$12=$AR41,$D$12=$AR41),Schweine_Werte!$E41*0.5,IF(OR($C$12&gt;$AR41,$D$12&lt;$AR41),0,Schweine_Werte!$E41))</f>
        <v>0</v>
      </c>
      <c r="AY41" s="716">
        <f>IF(OR($C$24=$AR41,$D$24=$AR41),Schweine_Werte!$E41*0.5,IF(OR($C$24&gt;$AR41,$D$24&lt;$AR41),0,Schweine_Werte!$E41))</f>
        <v>0</v>
      </c>
      <c r="AZ41" s="716">
        <f>IF(OR($C$36=$AR41,$D$36=$AR41),Schweine_Werte!$E41*0.5,IF(OR($C$36&gt;$AR41,$D$36&lt;$AR41),0,Schweine_Werte!$E41))</f>
        <v>0</v>
      </c>
      <c r="BA41" s="716">
        <f>IF(OR($C$48=$AR41,$D$48=$AR41),Schweine_Werte!$E41*0.5,IF(OR($C$48&gt;$AR41,$D$48&lt;$AR41),0,Schweine_Werte!$E41))</f>
        <v>0</v>
      </c>
      <c r="BB41" s="716">
        <f>IF(OR($C$60=$AR41,$D$60=$AR41),Schweine_Werte!$E41*0.5,IF(OR($C$60&gt;$AR41,$D$60&lt;$AR41),0,Schweine_Werte!$E41))</f>
        <v>0</v>
      </c>
      <c r="BC41" s="781">
        <f>IF(OR($C$12=$AR41,$D$12=$AR41),Schweine_Werte!$G41*0.5,IF(OR($C$12&gt;$AR41,$D$12&lt;$AR41),0,Schweine_Werte!$G41))</f>
        <v>0</v>
      </c>
      <c r="BD41" s="716">
        <f>IF(OR($C$24=$AR41,$D$24=$AR41),Schweine_Werte!$G41*0.5,IF(OR($C$24&gt;$AR41,$D$24&lt;$AR41),0,Schweine_Werte!$G41))</f>
        <v>0</v>
      </c>
      <c r="BE41" s="716">
        <f>IF(OR($C$36=$AR41,$D$36=$AR41),Schweine_Werte!$G41*0.5,IF(OR($C$36&gt;$AR41,$D$36&lt;$AR41),0,Schweine_Werte!$G41))</f>
        <v>0</v>
      </c>
      <c r="BF41" s="716">
        <f>IF(OR($C$48=$AR41,$D$48=$AR41),Schweine_Werte!$G41*0.5,IF(OR($C$48&gt;$AR41,$D$48&lt;$AR41),0,Schweine_Werte!$G41))</f>
        <v>0</v>
      </c>
      <c r="BG41" s="716">
        <f>IF(OR($C$60=$AR41,$D$60=$AR41),Schweine_Werte!$G41*0.5,IF(OR($C$60&gt;$AR41,$D$60&lt;$AR41),0,Schweine_Werte!$G41))</f>
        <v>0</v>
      </c>
      <c r="BH41" s="781">
        <f>IF(OR($C$12=$AR41,$D$12=$AR41),Schweine_Werte!$I41*0.5,IF(OR($C$12&gt;$AR41,$D$12&lt;$AR41),0,Schweine_Werte!$I41))</f>
        <v>0</v>
      </c>
      <c r="BI41" s="716">
        <f>IF(OR($C$24=$AR41,$D$24=$AR41),Schweine_Werte!$I41*0.5,IF(OR($C$24&gt;$AR41,$D$24&lt;$AR41),0,Schweine_Werte!$I41))</f>
        <v>0</v>
      </c>
      <c r="BJ41" s="716">
        <f>IF(OR($C$36=$AR41,$D$36=$AR41),Schweine_Werte!$I41*0.5,IF(OR($C$36&gt;$AR41,$D$36&lt;$AR41),0,Schweine_Werte!$I41))</f>
        <v>0</v>
      </c>
      <c r="BK41" s="716">
        <f>IF(OR($C$48=$AR41,$D$48=$AR41),Schweine_Werte!$I41*0.5,IF(OR($C$48&gt;$AR41,$D$48&lt;$AR41),0,Schweine_Werte!$I41))</f>
        <v>0</v>
      </c>
      <c r="BL41" s="716">
        <f>IF(OR($C$60=$AR41,$D$60=$AR41),Schweine_Werte!$I41*0.5,IF(OR($C$60&gt;$AR41,$D$60&lt;$AR41),0,Schweine_Werte!$I41))</f>
        <v>0</v>
      </c>
      <c r="BM41" s="781"/>
      <c r="BN41" s="716"/>
      <c r="BO41" s="716"/>
      <c r="BP41" s="716"/>
      <c r="BQ41" s="716"/>
      <c r="BR41" s="781">
        <f>IF(OR($C$74=$AR41,$D$74=$AR41),Schweine_Werte!$M41*0.5,IF(OR($C$74&gt;$AR41,$D$74&lt;$AR41),0,Schweine_Werte!$M41))</f>
        <v>0</v>
      </c>
      <c r="BS41" s="781">
        <f>IF(OR($C$83=$AR41,$D$83=$AR41),Schweine_Werte!$M41*0.5,IF(OR($C$83&gt;$AR41,$D$83&lt;$AR41),0,Schweine_Werte!$M41))</f>
        <v>0</v>
      </c>
      <c r="BT41" s="783">
        <f>IF(OR($C$92=$AR41,$D$92=$AR41),Schweine_Werte!$M41*0.5,IF(OR($C$92&gt;$AR41,$D$92&lt;$AR41),0,Schweine_Werte!$M41))</f>
        <v>0</v>
      </c>
      <c r="BU41" s="783">
        <f>IF(OR($C$101=$AR41,$D$101=$AR41),Schweine_Werte!$M41*0.5,IF(OR($C$101&gt;$AR41,$D$101&lt;$AR41),0,Schweine_Werte!$M41))</f>
        <v>0</v>
      </c>
      <c r="BV41" s="783">
        <f>IF(OR($C$110=$AR41,$D$110=$AR41),Schweine_Werte!$M41*0.5,IF(OR($C$110&gt;$AR41,$D$110&lt;$AR41),0,Schweine_Werte!$M41))</f>
        <v>0</v>
      </c>
      <c r="BW41" s="783">
        <f>IF(OR(8=$AR41,$E$127=$AR41),Schweine_Werte!$M41*0.5,IF(OR(8&gt;$AR41,$E$127&lt;$AR41),0,Schweine_Werte!$M41))</f>
        <v>1.2602489085502044</v>
      </c>
      <c r="BX41" s="783">
        <f>IF(OR(8=$AR41,$E$145=$AR41),Schweine_Werte!$M41*0.5,IF(OR(8&gt;$AR41,$E$145&lt;$AR41),0,Schweine_Werte!$M41))</f>
        <v>1.2602489085502044</v>
      </c>
      <c r="BY41" s="781">
        <f>IF(OR($C$74=$AR41,$D$74=$AR41),Schweine_Werte!$O41*0.5,IF(OR($C$74&gt;$AR41,$D$74&lt;$AR41),0,Schweine_Werte!$O41))</f>
        <v>0</v>
      </c>
      <c r="BZ41" s="781">
        <f>IF(OR($C$83=$AR41,$D$83=$AR41),Schweine_Werte!$O41*0.5,IF(OR($C$83&gt;$AR41,$D$83&lt;$AR41),0,Schweine_Werte!$O41))</f>
        <v>0</v>
      </c>
      <c r="CA41" s="783">
        <f>IF(OR($C$92=$AR41,$D$92=$AR41),Schweine_Werte!$O41*0.5,IF(OR($C$92&gt;$AR41,$D$92&lt;$AR41),0,Schweine_Werte!$O41))</f>
        <v>0</v>
      </c>
      <c r="CB41" s="783">
        <f>IF(OR($C$101=$AR41,$D$101=$AR41),Schweine_Werte!$O41*0.5,IF(OR($C$101&gt;$AR41,$D$101&lt;$AR41),0,Schweine_Werte!$O41))</f>
        <v>0</v>
      </c>
      <c r="CC41" s="783">
        <f>IF(OR($C$110=$AR41,$D$110=$AR41),Schweine_Werte!$O41*0.5,IF(OR($C$110&gt;$AR41,$D$110&lt;$AR41),0,Schweine_Werte!$O41))</f>
        <v>0</v>
      </c>
    </row>
    <row r="42" spans="1:81" x14ac:dyDescent="0.2">
      <c r="B42" s="691">
        <v>750</v>
      </c>
      <c r="D42" s="784"/>
      <c r="E42" s="716" t="e">
        <f>($D48-$C48)*1000/SUM($BA$4:$BA$146)</f>
        <v>#VALUE!</v>
      </c>
      <c r="F42" s="716" t="e">
        <f>SUMPRODUCT($BA$4:$BA$146,Schweine_Werte!$R$4:$R$146)/SUM($BA$4:$BA$146)</f>
        <v>#DIV/0!</v>
      </c>
      <c r="G42" s="716" t="e">
        <f>IF($B48=$A$8,SUMPRODUCT($BA$4:$BA$146,Schweine_Werte!EN$4:EN$146)/SUM($BA$4:$BA$146),IF($B48=$A$7,SUMPRODUCT($BA$4:$BA$146,Schweine_Werte!DH$4:DH$146)/SUM($BA$4:$BA$146),IF($B48=$A$6,SUMPRODUCT($BA$4:$BA$146,Schweine_Werte!CB$4:CB$146)/SUM($BA$4:$BA$146),SUMPRODUCT($BA$4:$BA$146,Schweine_Werte!AV$4:AV$146)/SUM($BA$4:$BA$146))))</f>
        <v>#DIV/0!</v>
      </c>
      <c r="H42" s="716" t="e">
        <f>IF($B48=$A$8,SUMPRODUCT($BA$4:$BA$146,Schweine_Werte!EO$4:EO$146)/SUM($BA$4:$BA$146),IF($B48=$A$7,SUMPRODUCT($BA$4:$BA$146,Schweine_Werte!DI$4:DI$146)/SUM($BA$4:$BA$146),IF($B48=$A$6,SUMPRODUCT($BA$4:$BA$146,Schweine_Werte!CC$4:CC$146)/SUM($BA$4:$BA$146),SUMPRODUCT($BA$4:$BA$146,Schweine_Werte!AW$4:AW$146)/SUM($BA$4:$BA$146))))</f>
        <v>#DIV/0!</v>
      </c>
      <c r="I42" s="716" t="e">
        <f>IF($B48=$A$8,SUMPRODUCT($BA$4:$BA$146,Schweine_Werte!EP$4:EP$146)/SUM($BA$4:$BA$146),IF($B48=$A$7,SUMPRODUCT($BA$4:$BA$146,Schweine_Werte!DJ$4:DJ$146)/SUM($BA$4:$BA$146),IF($B48=$A$6,SUMPRODUCT($BA$4:$BA$146,Schweine_Werte!CD$4:CD$146)/SUM($BA$4:$BA$146),SUMPRODUCT($BA$4:$BA$146,Schweine_Werte!AX$4:AX$146)/SUM($BA$4:$BA$146))))</f>
        <v>#DIV/0!</v>
      </c>
      <c r="J42" s="716" t="e">
        <f>SUMPRODUCT($BA$4:$BA$146,Schweine_Werte!$Z$4:$Z$146)/SUM($BA$4:$BA$146)</f>
        <v>#DIV/0!</v>
      </c>
      <c r="K42" s="716" t="e">
        <f>SUMPRODUCT($BA$4:$BA$146,Schweine_Werte!$AH$4:$AH$146)/SUM($BA$4:$BA$146)</f>
        <v>#DIV/0!</v>
      </c>
      <c r="L42" s="804" t="e">
        <f>T42*$F42*365/1000+$J42-$K42</f>
        <v>#DIV/0!</v>
      </c>
      <c r="M42" s="716" t="e">
        <f>U42*$F42*365/1000+$J42-$K42/2</f>
        <v>#DIV/0!</v>
      </c>
      <c r="N42" s="716" t="e">
        <f>V42*$F42*365/1000+$J42</f>
        <v>#DIV/0!</v>
      </c>
      <c r="O42" s="716">
        <f>IF($C48&lt;28,SUM($BA$4:$BA$23)+IF($D48&gt;28,$BA$24*0.5,$BA$24),0)</f>
        <v>0</v>
      </c>
      <c r="P42" s="716">
        <f>IF($D48&gt;28,SUM($BA$25:$BA$146)+IF($C48&lt;28,$BA$24*0.5,$BA$24),0)</f>
        <v>0</v>
      </c>
      <c r="Q42" s="716" t="e">
        <f t="shared" si="24"/>
        <v>#DIV/0!</v>
      </c>
      <c r="R42" s="716" t="e">
        <f t="shared" si="24"/>
        <v>#DIV/0!</v>
      </c>
      <c r="S42" s="716" t="e">
        <f t="shared" si="24"/>
        <v>#DIV/0!</v>
      </c>
      <c r="T42" s="716" t="e">
        <f>+($O42*Schweine_Werte!$HT$6+$P42*Schweine_Werte!$HU$6)/SUM($O42:$P42)</f>
        <v>#DIV/0!</v>
      </c>
      <c r="U42" s="716" t="e">
        <f>+($O42*Schweine_Werte!$HV$6+$P42*Schweine_Werte!$HW$6)/SUM($O42:$P42)</f>
        <v>#DIV/0!</v>
      </c>
      <c r="V42" s="716" t="e">
        <f>+($O42*Schweine_Werte!$HX$6+$P42*Schweine_Werte!$HY$6)/SUM($O42:$P42)</f>
        <v>#DIV/0!</v>
      </c>
      <c r="W42" s="771" t="e">
        <f>($J42*0.055+T42*0.365*0.86*$F42-$K42*0.018)/L42*100</f>
        <v>#DIV/0!</v>
      </c>
      <c r="X42" s="716" t="e">
        <f>($J42*0.055+U42*0.365*0.86*$F42-$K42*0.018/2)/M42*100</f>
        <v>#DIV/0!</v>
      </c>
      <c r="Y42" s="716" t="e">
        <f>($J42*0.055+V42*0.365*0.86*$F42)/N42*100</f>
        <v>#DIV/0!</v>
      </c>
      <c r="Z42" s="716"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16"/>
      <c r="AB42" s="716">
        <f>IF($B48=$A$8,SUMIF(Schweine_Werte!$AO$4:$AO$146,$C48,Schweine_Werte!$ER$4:$ER$146),IF($B48=$A$7,SUMIF(Schweine_Werte!$AO$4:$AO$146,$C48,Schweine_Werte!$DL$4:$DL$146),IF($B48=$A$6,SUMIF(Schweine_Werte!$AO$4:$AO$146,$C48,Schweine_Werte!$CF$4:$CF$146),SUMIF(Schweine_Werte!$AO$4:$AO$146,$C48,Schweine_Werte!$AZ$4:$AZ$146))))</f>
        <v>0</v>
      </c>
      <c r="AC42" s="716"/>
      <c r="AD42" s="716">
        <f>IF($B48=$A$8,SUMIF(Schweine_Werte!$AO$4:$AO$146,$D48,Schweine_Werte!$ER$4:$ER$146),IF($B48=$A$7,SUMIF(Schweine_Werte!$AO$4:$AO$146,$D48,Schweine_Werte!$DL$4:$DL$146),IF($B48=$A$6,SUMIF(Schweine_Werte!$AO$4:$AO$146,$D48,Schweine_Werte!$CF$4:$CF$146),SUMIF(Schweine_Werte!$AO$4:$AO$146,$D48,Schweine_Werte!$AZ$4:$AZ$146))))</f>
        <v>0</v>
      </c>
      <c r="AE42" s="716"/>
      <c r="AF42" s="716"/>
      <c r="AG42" s="716" t="e">
        <f>IF($B48=$A$8,SUMPRODUCT($BA$4:$BA$146,Schweine_Werte!$EQ$4:$EQ$146)/SUM($BA$4:$BA$146),IF($B48=$A$7,SUMPRODUCT($BA$4:$BA$146,Schweine_Werte!$DK$4:$DK$146)/SUM($BA$4:$BA$146),IF($B48=$A$6,SUMPRODUCT($BA$4:$BA$146,Schweine_Werte!$CE$4:$CE$146)/SUM($BA$4:$BA$146),SUMPRODUCT($BA$4:$BA$146,Schweine_Werte!$AY$4:$AY$146)/SUM($BA$4:$BA$146))))</f>
        <v>#DIV/0!</v>
      </c>
      <c r="AH42" s="716"/>
      <c r="AI42" s="716"/>
      <c r="AJ42" s="716"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16"/>
      <c r="AL42" s="716">
        <f>IF($B48=$A$8,SUMIF(Schweine_Werte!$AO$4:$AO$146,$C48,Schweine_Werte!$ES$4:$ES$146),IF($B48=$A$7,SUMIF(Schweine_Werte!$AO$4:$AO$146,$C48,Schweine_Werte!$DM$4:$DM$146),IF($B48=$A$6,SUMIF(Schweine_Werte!$AO$4:$AO$146,$C48,Schweine_Werte!$CG$4:$CG$146),SUMIF(Schweine_Werte!$AO$4:$AO$146,$C48,Schweine_Werte!$BA$4:$BA$146))))</f>
        <v>0</v>
      </c>
      <c r="AM42" s="716"/>
      <c r="AN42" s="716">
        <f>IF($B48=$A$8,SUMIF(Schweine_Werte!$AO$4:$AO$146,$D48,Schweine_Werte!$ES$4:$ES$146),IF($B48=$A$7,SUMIF(Schweine_Werte!$AO$4:$AO$146,$D48,Schweine_Werte!$DM$4:$DM$146),IF($B48=$A$6,SUMIF(Schweine_Werte!$AO$4:$AO$146,$D48,Schweine_Werte!$CG$4:$CG$146),SUMIF(Schweine_Werte!$AO$4:$AO$146,$D48,Schweine_Werte!$BA$4:$BA$146))))</f>
        <v>0</v>
      </c>
      <c r="AR42" s="792">
        <v>46</v>
      </c>
      <c r="AS42" s="781">
        <f>IF(OR($C$12=$AR42,$D$12=$AR42),Schweine_Werte!$C42*0.5,IF(OR($C$12&gt;$AR42,$D$12&lt;$AR42),0,Schweine_Werte!$C42))</f>
        <v>0</v>
      </c>
      <c r="AT42" s="716">
        <f>IF(OR($C$24=$AR42,$D$24=$AR42),Schweine_Werte!$C42*0.5,IF(OR($C$24&gt;$AR42,$D$24&lt;$AR42),0,Schweine_Werte!$C42))</f>
        <v>0</v>
      </c>
      <c r="AU42" s="781">
        <f>IF(OR($C$36=$AR42,$D$36=$AR42),Schweine_Werte!$C42*0.5,IF(OR($C$36&gt;$AR42,$D$36&lt;$AR42),0,Schweine_Werte!$C42))</f>
        <v>0</v>
      </c>
      <c r="AV42" s="781">
        <f>IF(OR($C$48=$AR42,$D$48=$AR42),Schweine_Werte!$C42*0.5,IF(OR($C$48&gt;$AR42,$D$48&lt;$AR42),0,Schweine_Werte!$C42))</f>
        <v>0</v>
      </c>
      <c r="AW42" s="781">
        <f>IF(OR($C$60=$AR42,$D$60=$AR42),Schweine_Werte!$C42*0.5,IF(OR($C$60&gt;$AR42,$D$60&lt;$AR42),0,Schweine_Werte!$C42))</f>
        <v>0</v>
      </c>
      <c r="AX42" s="781">
        <f>IF(OR($C$12=$AR42,$D$12=$AR42),Schweine_Werte!$E42*0.5,IF(OR($C$12&gt;$AR42,$D$12&lt;$AR42),0,Schweine_Werte!$E42))</f>
        <v>0</v>
      </c>
      <c r="AY42" s="716">
        <f>IF(OR($C$24=$AR42,$D$24=$AR42),Schweine_Werte!$E42*0.5,IF(OR($C$24&gt;$AR42,$D$24&lt;$AR42),0,Schweine_Werte!$E42))</f>
        <v>0</v>
      </c>
      <c r="AZ42" s="716">
        <f>IF(OR($C$36=$AR42,$D$36=$AR42),Schweine_Werte!$E42*0.5,IF(OR($C$36&gt;$AR42,$D$36&lt;$AR42),0,Schweine_Werte!$E42))</f>
        <v>0</v>
      </c>
      <c r="BA42" s="716">
        <f>IF(OR($C$48=$AR42,$D$48=$AR42),Schweine_Werte!$E42*0.5,IF(OR($C$48&gt;$AR42,$D$48&lt;$AR42),0,Schweine_Werte!$E42))</f>
        <v>0</v>
      </c>
      <c r="BB42" s="716">
        <f>IF(OR($C$60=$AR42,$D$60=$AR42),Schweine_Werte!$E42*0.5,IF(OR($C$60&gt;$AR42,$D$60&lt;$AR42),0,Schweine_Werte!$E42))</f>
        <v>0</v>
      </c>
      <c r="BC42" s="781">
        <f>IF(OR($C$12=$AR42,$D$12=$AR42),Schweine_Werte!$G42*0.5,IF(OR($C$12&gt;$AR42,$D$12&lt;$AR42),0,Schweine_Werte!$G42))</f>
        <v>0</v>
      </c>
      <c r="BD42" s="716">
        <f>IF(OR($C$24=$AR42,$D$24=$AR42),Schweine_Werte!$G42*0.5,IF(OR($C$24&gt;$AR42,$D$24&lt;$AR42),0,Schweine_Werte!$G42))</f>
        <v>0</v>
      </c>
      <c r="BE42" s="716">
        <f>IF(OR($C$36=$AR42,$D$36=$AR42),Schweine_Werte!$G42*0.5,IF(OR($C$36&gt;$AR42,$D$36&lt;$AR42),0,Schweine_Werte!$G42))</f>
        <v>0</v>
      </c>
      <c r="BF42" s="716">
        <f>IF(OR($C$48=$AR42,$D$48=$AR42),Schweine_Werte!$G42*0.5,IF(OR($C$48&gt;$AR42,$D$48&lt;$AR42),0,Schweine_Werte!$G42))</f>
        <v>0</v>
      </c>
      <c r="BG42" s="716">
        <f>IF(OR($C$60=$AR42,$D$60=$AR42),Schweine_Werte!$G42*0.5,IF(OR($C$60&gt;$AR42,$D$60&lt;$AR42),0,Schweine_Werte!$G42))</f>
        <v>0</v>
      </c>
      <c r="BH42" s="781">
        <f>IF(OR($C$12=$AR42,$D$12=$AR42),Schweine_Werte!$I42*0.5,IF(OR($C$12&gt;$AR42,$D$12&lt;$AR42),0,Schweine_Werte!$I42))</f>
        <v>0</v>
      </c>
      <c r="BI42" s="716">
        <f>IF(OR($C$24=$AR42,$D$24=$AR42),Schweine_Werte!$I42*0.5,IF(OR($C$24&gt;$AR42,$D$24&lt;$AR42),0,Schweine_Werte!$I42))</f>
        <v>0</v>
      </c>
      <c r="BJ42" s="716">
        <f>IF(OR($C$36=$AR42,$D$36=$AR42),Schweine_Werte!$I42*0.5,IF(OR($C$36&gt;$AR42,$D$36&lt;$AR42),0,Schweine_Werte!$I42))</f>
        <v>0</v>
      </c>
      <c r="BK42" s="716">
        <f>IF(OR($C$48=$AR42,$D$48=$AR42),Schweine_Werte!$I42*0.5,IF(OR($C$48&gt;$AR42,$D$48&lt;$AR42),0,Schweine_Werte!$I42))</f>
        <v>0</v>
      </c>
      <c r="BL42" s="716">
        <f>IF(OR($C$60=$AR42,$D$60=$AR42),Schweine_Werte!$I42*0.5,IF(OR($C$60&gt;$AR42,$D$60&lt;$AR42),0,Schweine_Werte!$I42))</f>
        <v>0</v>
      </c>
      <c r="BM42" s="781"/>
      <c r="BN42" s="716"/>
      <c r="BO42" s="716"/>
      <c r="BP42" s="716"/>
      <c r="BQ42" s="716"/>
      <c r="BR42" s="781">
        <f>IF(OR($C$74=$AR42,$D$74=$AR42),Schweine_Werte!$M42*0.5,IF(OR($C$74&gt;$AR42,$D$74&lt;$AR42),0,Schweine_Werte!$M42))</f>
        <v>0</v>
      </c>
      <c r="BS42" s="781">
        <f>IF(OR($C$83=$AR42,$D$83=$AR42),Schweine_Werte!$M42*0.5,IF(OR($C$83&gt;$AR42,$D$83&lt;$AR42),0,Schweine_Werte!$M42))</f>
        <v>0</v>
      </c>
      <c r="BT42" s="783">
        <f>IF(OR($C$92=$AR42,$D$92=$AR42),Schweine_Werte!$M42*0.5,IF(OR($C$92&gt;$AR42,$D$92&lt;$AR42),0,Schweine_Werte!$M42))</f>
        <v>0</v>
      </c>
      <c r="BU42" s="783">
        <f>IF(OR($C$101=$AR42,$D$101=$AR42),Schweine_Werte!$M42*0.5,IF(OR($C$101&gt;$AR42,$D$101&lt;$AR42),0,Schweine_Werte!$M42))</f>
        <v>0</v>
      </c>
      <c r="BV42" s="783">
        <f>IF(OR($C$110=$AR42,$D$110=$AR42),Schweine_Werte!$M42*0.5,IF(OR($C$110&gt;$AR42,$D$110&lt;$AR42),0,Schweine_Werte!$M42))</f>
        <v>0</v>
      </c>
      <c r="BW42" s="783">
        <f>IF(OR(8=$AR42,$E$127=$AR42),Schweine_Werte!$M42*0.5,IF(OR(8&gt;$AR42,$E$127&lt;$AR42),0,Schweine_Werte!$M42))</f>
        <v>1.2477119292368446</v>
      </c>
      <c r="BX42" s="783">
        <f>IF(OR(8=$AR42,$E$145=$AR42),Schweine_Werte!$M42*0.5,IF(OR(8&gt;$AR42,$E$145&lt;$AR42),0,Schweine_Werte!$M42))</f>
        <v>1.2477119292368446</v>
      </c>
      <c r="BY42" s="781">
        <f>IF(OR($C$74=$AR42,$D$74=$AR42),Schweine_Werte!$O42*0.5,IF(OR($C$74&gt;$AR42,$D$74&lt;$AR42),0,Schweine_Werte!$O42))</f>
        <v>0</v>
      </c>
      <c r="BZ42" s="781">
        <f>IF(OR($C$83=$AR42,$D$83=$AR42),Schweine_Werte!$O42*0.5,IF(OR($C$83&gt;$AR42,$D$83&lt;$AR42),0,Schweine_Werte!$O42))</f>
        <v>0</v>
      </c>
      <c r="CA42" s="783">
        <f>IF(OR($C$92=$AR42,$D$92=$AR42),Schweine_Werte!$O42*0.5,IF(OR($C$92&gt;$AR42,$D$92&lt;$AR42),0,Schweine_Werte!$O42))</f>
        <v>0</v>
      </c>
      <c r="CB42" s="783">
        <f>IF(OR($C$101=$AR42,$D$101=$AR42),Schweine_Werte!$O42*0.5,IF(OR($C$101&gt;$AR42,$D$101&lt;$AR42),0,Schweine_Werte!$O42))</f>
        <v>0</v>
      </c>
      <c r="CC42" s="783">
        <f>IF(OR($C$110=$AR42,$D$110=$AR42),Schweine_Werte!$O42*0.5,IF(OR($C$110&gt;$AR42,$D$110&lt;$AR42),0,Schweine_Werte!$O42))</f>
        <v>0</v>
      </c>
    </row>
    <row r="43" spans="1:81" x14ac:dyDescent="0.2">
      <c r="B43" s="691">
        <v>850</v>
      </c>
      <c r="D43" s="716"/>
      <c r="E43" s="716" t="e">
        <f>($D48-$C48)*1000/SUM($BF$4:$BF$146)</f>
        <v>#VALUE!</v>
      </c>
      <c r="F43" s="716" t="e">
        <f>SUMPRODUCT($BF$4:$BF$146,Schweine_Werte!$S$4:$S$146)/SUM($BF$4:$BF$146)</f>
        <v>#DIV/0!</v>
      </c>
      <c r="G43" s="716" t="e">
        <f>IF($B48=$A$8,SUMPRODUCT($BF$4:$BF$146,Schweine_Werte!ET$4:ET$146)/SUM($BF$4:$BF$146),IF($B48=$A$7,SUMPRODUCT($BF$4:$BF$146,Schweine_Werte!DN$4:DN$146)/SUM($BF$4:$BF$146),IF($B48=$A$6,SUMPRODUCT($BF$4:$BF$146,Schweine_Werte!CH$4:CH$146)/SUM($BF$4:$BF$146),SUMPRODUCT($BF$4:$BF$146,Schweine_Werte!BB$4:BB$146)/SUM($BF$4:$BF$146))))</f>
        <v>#DIV/0!</v>
      </c>
      <c r="H43" s="716" t="e">
        <f>IF($B48=$A$8,SUMPRODUCT($BF$4:$BF$146,Schweine_Werte!EU$4:EU$146)/SUM($BF$4:$BF$146),IF($B48=$A$7,SUMPRODUCT($BF$4:$BF$146,Schweine_Werte!DO$4:DO$146)/SUM($BF$4:$BF$146),IF($B48=$A$6,SUMPRODUCT($BF$4:$BF$146,Schweine_Werte!CI$4:CI$146)/SUM($BF$4:$BF$146),SUMPRODUCT($BF$4:$BF$146,Schweine_Werte!BC$4:BC$146)/SUM($BF$4:$BF$146))))</f>
        <v>#DIV/0!</v>
      </c>
      <c r="I43" s="716" t="e">
        <f>IF($B48=$A$8,SUMPRODUCT($BF$4:$BF$146,Schweine_Werte!EV$4:EV$146)/SUM($BF$4:$BF$146),IF($B48=$A$7,SUMPRODUCT($BF$4:$BF$146,Schweine_Werte!DP$4:DP$146)/SUM($BF$4:$BF$146),IF($B48=$A$6,SUMPRODUCT($BF$4:$BF$146,Schweine_Werte!CJ$4:CJ$146)/SUM($BF$4:$BF$146),SUMPRODUCT($BF$4:$BF$146,Schweine_Werte!BD$4:BD$146)/SUM($BF$4:$BF$146))))</f>
        <v>#DIV/0!</v>
      </c>
      <c r="J43" s="716" t="e">
        <f>SUMPRODUCT($BF$4:$BF$146,Schweine_Werte!$AA$4:$AA$146)/SUM($BF$4:$BF$146)</f>
        <v>#DIV/0!</v>
      </c>
      <c r="K43" s="716" t="e">
        <f>SUMPRODUCT($BF$4:$BF$146,Schweine_Werte!$AI$4:$AI$146)/SUM($BF$4:$BF$146)</f>
        <v>#DIV/0!</v>
      </c>
      <c r="L43" s="804" t="e">
        <f>T43*$F43*365/1000+$J43-$K43</f>
        <v>#DIV/0!</v>
      </c>
      <c r="M43" s="716" t="e">
        <f>U43*$F43*365/1000+$J43-$K43/2</f>
        <v>#DIV/0!</v>
      </c>
      <c r="N43" s="716" t="e">
        <f>V43*$F43*365/1000+$J43</f>
        <v>#DIV/0!</v>
      </c>
      <c r="O43" s="716">
        <f>IF($C48&lt;28,SUM($BF$4:$BF$23)+IF($D48&gt;28,$BF$24*0.5,$BF$24),0)</f>
        <v>0</v>
      </c>
      <c r="P43" s="716">
        <f>IF($D48&gt;28,SUM($BF$25:$BF$146)+IF($C48&lt;28,$BF$24*0.5,$BF$24),0)</f>
        <v>0</v>
      </c>
      <c r="Q43" s="716" t="e">
        <f t="shared" si="24"/>
        <v>#DIV/0!</v>
      </c>
      <c r="R43" s="716" t="e">
        <f t="shared" si="24"/>
        <v>#DIV/0!</v>
      </c>
      <c r="S43" s="716" t="e">
        <f t="shared" si="24"/>
        <v>#DIV/0!</v>
      </c>
      <c r="T43" s="716" t="e">
        <f>+($O43*Schweine_Werte!$HT$7+$P43*Schweine_Werte!$HU$7)/SUM($O43:$P43)</f>
        <v>#DIV/0!</v>
      </c>
      <c r="U43" s="716" t="e">
        <f>+($O43*Schweine_Werte!$HV$7+$P43*Schweine_Werte!$HW$7)/SUM($O43:$P43)</f>
        <v>#DIV/0!</v>
      </c>
      <c r="V43" s="716" t="e">
        <f>+($O43*Schweine_Werte!$HX$7+$P43*Schweine_Werte!$HY$7)/SUM($O43:$P43)</f>
        <v>#DIV/0!</v>
      </c>
      <c r="W43" s="716" t="e">
        <f>($J43*0.055+T43*0.365*0.86*$F43-$K43*0.018)/L43*100</f>
        <v>#DIV/0!</v>
      </c>
      <c r="X43" s="716" t="e">
        <f>($J43*0.055+U43*0.365*0.86*$F43-$K43*0.018/2)/M43*100</f>
        <v>#DIV/0!</v>
      </c>
      <c r="Y43" s="716" t="e">
        <f>($J43*0.055+V43*0.365*0.86*$F43)/N43*100</f>
        <v>#DIV/0!</v>
      </c>
      <c r="Z43" s="716"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16"/>
      <c r="AB43" s="716">
        <f>IF($B48=$A$8,SUMIF(Schweine_Werte!$AO$4:$AO$146,$C48,Schweine_Werte!$EX$4:$EX$146),IF($B48=$A$7,SUMIF(Schweine_Werte!$AO$4:$AO$146,$C48,Schweine_Werte!$DR$4:$DR$146),IF($B48=$A$6,SUMIF(Schweine_Werte!$AO$4:$AO$146,$C48,Schweine_Werte!$CL$4:$CL$146),SUMIF(Schweine_Werte!$AO$4:$AO$146,$C48,Schweine_Werte!$BF$4:$BF$146))))</f>
        <v>0</v>
      </c>
      <c r="AC43" s="716"/>
      <c r="AD43" s="716">
        <f>IF($B48=$A$8,SUMIF(Schweine_Werte!$AO$4:$AO$146,$D48,Schweine_Werte!$EX$4:$EX$146),IF($B48=$A$7,SUMIF(Schweine_Werte!$AO$4:$AO$146,$D48,Schweine_Werte!$DR$4:$DR$146),IF($B48=$A$6,SUMIF(Schweine_Werte!$AO$4:$AO$146,$D48,Schweine_Werte!$CL$4:$CL$146),SUMIF(Schweine_Werte!$AO$4:$AO$146,$D48,Schweine_Werte!$BF$4:$BF$146))))</f>
        <v>0</v>
      </c>
      <c r="AE43" s="716"/>
      <c r="AF43" s="716"/>
      <c r="AG43" s="716" t="e">
        <f>IF($B48=$A$8,SUMPRODUCT($BF$4:$BF$146,Schweine_Werte!$EW$4:$EW$146)/SUM($BF$4:$BF$146),IF($B48=$A$7,SUMPRODUCT($BF$4:$BF$146,Schweine_Werte!$DQ$4:$DQ$146)/SUM($BF$4:$BF$146),IF($B48=$A$6,SUMPRODUCT($BF$4:$BF$146,Schweine_Werte!$CK$4:$CK$146)/SUM($BF$4:$BF$146),SUMPRODUCT($BF$4:$BF$146,Schweine_Werte!$BE$4:$BE$146)/SUM($BF$4:$BF$146))))</f>
        <v>#DIV/0!</v>
      </c>
      <c r="AH43" s="716"/>
      <c r="AI43" s="716"/>
      <c r="AJ43" s="716"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16"/>
      <c r="AL43" s="716">
        <f>IF($B48=$A$8,SUMIF(Schweine_Werte!$AO$4:$AO$146,$C48,Schweine_Werte!$EY$4:$EY$146),IF($B48=$A$7,SUMIF(Schweine_Werte!$AO$4:$AO$146,$C48,Schweine_Werte!$DS$4:$DS$146),IF($B48=$A$6,SUMIF(Schweine_Werte!$AO$4:$AO$146,$C48,Schweine_Werte!$CM$4:$CM$146),SUMIF(Schweine_Werte!$AO$4:$AO$146,$C48,Schweine_Werte!$BG$4:$BG$146))))</f>
        <v>0</v>
      </c>
      <c r="AM43" s="716"/>
      <c r="AN43" s="716">
        <f>IF($B48=$A$8,SUMIF(Schweine_Werte!$AO$4:$AO$146,$D48,Schweine_Werte!$EY$4:$EY$146),IF($B48=$A$7,SUMIF(Schweine_Werte!$AO$4:$AO$146,$D48,Schweine_Werte!$DS$4:$DS$146),IF($B48=$A$6,SUMIF(Schweine_Werte!$AO$4:$AO$146,$D48,Schweine_Werte!$CM$4:$CM$146),SUMIF(Schweine_Werte!$AO$4:$AO$146,$D48,Schweine_Werte!$BG$4:$BG$146))))</f>
        <v>0</v>
      </c>
      <c r="AR43" s="792">
        <v>47</v>
      </c>
      <c r="AS43" s="781">
        <f>IF(OR($C$12=$AR43,$D$12=$AR43),Schweine_Werte!$C43*0.5,IF(OR($C$12&gt;$AR43,$D$12&lt;$AR43),0,Schweine_Werte!$C43))</f>
        <v>0</v>
      </c>
      <c r="AT43" s="716">
        <f>IF(OR($C$24=$AR43,$D$24=$AR43),Schweine_Werte!$C43*0.5,IF(OR($C$24&gt;$AR43,$D$24&lt;$AR43),0,Schweine_Werte!$C43))</f>
        <v>0</v>
      </c>
      <c r="AU43" s="781">
        <f>IF(OR($C$36=$AR43,$D$36=$AR43),Schweine_Werte!$C43*0.5,IF(OR($C$36&gt;$AR43,$D$36&lt;$AR43),0,Schweine_Werte!$C43))</f>
        <v>0</v>
      </c>
      <c r="AV43" s="781">
        <f>IF(OR($C$48=$AR43,$D$48=$AR43),Schweine_Werte!$C43*0.5,IF(OR($C$48&gt;$AR43,$D$48&lt;$AR43),0,Schweine_Werte!$C43))</f>
        <v>0</v>
      </c>
      <c r="AW43" s="781">
        <f>IF(OR($C$60=$AR43,$D$60=$AR43),Schweine_Werte!$C43*0.5,IF(OR($C$60&gt;$AR43,$D$60&lt;$AR43),0,Schweine_Werte!$C43))</f>
        <v>0</v>
      </c>
      <c r="AX43" s="781">
        <f>IF(OR($C$12=$AR43,$D$12=$AR43),Schweine_Werte!$E43*0.5,IF(OR($C$12&gt;$AR43,$D$12&lt;$AR43),0,Schweine_Werte!$E43))</f>
        <v>0</v>
      </c>
      <c r="AY43" s="716">
        <f>IF(OR($C$24=$AR43,$D$24=$AR43),Schweine_Werte!$E43*0.5,IF(OR($C$24&gt;$AR43,$D$24&lt;$AR43),0,Schweine_Werte!$E43))</f>
        <v>0</v>
      </c>
      <c r="AZ43" s="716">
        <f>IF(OR($C$36=$AR43,$D$36=$AR43),Schweine_Werte!$E43*0.5,IF(OR($C$36&gt;$AR43,$D$36&lt;$AR43),0,Schweine_Werte!$E43))</f>
        <v>0</v>
      </c>
      <c r="BA43" s="716">
        <f>IF(OR($C$48=$AR43,$D$48=$AR43),Schweine_Werte!$E43*0.5,IF(OR($C$48&gt;$AR43,$D$48&lt;$AR43),0,Schweine_Werte!$E43))</f>
        <v>0</v>
      </c>
      <c r="BB43" s="716">
        <f>IF(OR($C$60=$AR43,$D$60=$AR43),Schweine_Werte!$E43*0.5,IF(OR($C$60&gt;$AR43,$D$60&lt;$AR43),0,Schweine_Werte!$E43))</f>
        <v>0</v>
      </c>
      <c r="BC43" s="781">
        <f>IF(OR($C$12=$AR43,$D$12=$AR43),Schweine_Werte!$G43*0.5,IF(OR($C$12&gt;$AR43,$D$12&lt;$AR43),0,Schweine_Werte!$G43))</f>
        <v>0</v>
      </c>
      <c r="BD43" s="716">
        <f>IF(OR($C$24=$AR43,$D$24=$AR43),Schweine_Werte!$G43*0.5,IF(OR($C$24&gt;$AR43,$D$24&lt;$AR43),0,Schweine_Werte!$G43))</f>
        <v>0</v>
      </c>
      <c r="BE43" s="716">
        <f>IF(OR($C$36=$AR43,$D$36=$AR43),Schweine_Werte!$G43*0.5,IF(OR($C$36&gt;$AR43,$D$36&lt;$AR43),0,Schweine_Werte!$G43))</f>
        <v>0</v>
      </c>
      <c r="BF43" s="716">
        <f>IF(OR($C$48=$AR43,$D$48=$AR43),Schweine_Werte!$G43*0.5,IF(OR($C$48&gt;$AR43,$D$48&lt;$AR43),0,Schweine_Werte!$G43))</f>
        <v>0</v>
      </c>
      <c r="BG43" s="716">
        <f>IF(OR($C$60=$AR43,$D$60=$AR43),Schweine_Werte!$G43*0.5,IF(OR($C$60&gt;$AR43,$D$60&lt;$AR43),0,Schweine_Werte!$G43))</f>
        <v>0</v>
      </c>
      <c r="BH43" s="781">
        <f>IF(OR($C$12=$AR43,$D$12=$AR43),Schweine_Werte!$I43*0.5,IF(OR($C$12&gt;$AR43,$D$12&lt;$AR43),0,Schweine_Werte!$I43))</f>
        <v>0</v>
      </c>
      <c r="BI43" s="716">
        <f>IF(OR($C$24=$AR43,$D$24=$AR43),Schweine_Werte!$I43*0.5,IF(OR($C$24&gt;$AR43,$D$24&lt;$AR43),0,Schweine_Werte!$I43))</f>
        <v>0</v>
      </c>
      <c r="BJ43" s="716">
        <f>IF(OR($C$36=$AR43,$D$36=$AR43),Schweine_Werte!$I43*0.5,IF(OR($C$36&gt;$AR43,$D$36&lt;$AR43),0,Schweine_Werte!$I43))</f>
        <v>0</v>
      </c>
      <c r="BK43" s="716">
        <f>IF(OR($C$48=$AR43,$D$48=$AR43),Schweine_Werte!$I43*0.5,IF(OR($C$48&gt;$AR43,$D$48&lt;$AR43),0,Schweine_Werte!$I43))</f>
        <v>0</v>
      </c>
      <c r="BL43" s="716">
        <f>IF(OR($C$60=$AR43,$D$60=$AR43),Schweine_Werte!$I43*0.5,IF(OR($C$60&gt;$AR43,$D$60&lt;$AR43),0,Schweine_Werte!$I43))</f>
        <v>0</v>
      </c>
      <c r="BM43" s="781"/>
      <c r="BN43" s="716"/>
      <c r="BO43" s="716"/>
      <c r="BP43" s="716"/>
      <c r="BQ43" s="716"/>
      <c r="BR43" s="781">
        <f>IF(OR($C$74=$AR43,$D$74=$AR43),Schweine_Werte!$M43*0.5,IF(OR($C$74&gt;$AR43,$D$74&lt;$AR43),0,Schweine_Werte!$M43))</f>
        <v>0</v>
      </c>
      <c r="BS43" s="781">
        <f>IF(OR($C$83=$AR43,$D$83=$AR43),Schweine_Werte!$M43*0.5,IF(OR($C$83&gt;$AR43,$D$83&lt;$AR43),0,Schweine_Werte!$M43))</f>
        <v>0</v>
      </c>
      <c r="BT43" s="783">
        <f>IF(OR($C$92=$AR43,$D$92=$AR43),Schweine_Werte!$M43*0.5,IF(OR($C$92&gt;$AR43,$D$92&lt;$AR43),0,Schweine_Werte!$M43))</f>
        <v>0</v>
      </c>
      <c r="BU43" s="783">
        <f>IF(OR($C$101=$AR43,$D$101=$AR43),Schweine_Werte!$M43*0.5,IF(OR($C$101&gt;$AR43,$D$101&lt;$AR43),0,Schweine_Werte!$M43))</f>
        <v>0</v>
      </c>
      <c r="BV43" s="783">
        <f>IF(OR($C$110=$AR43,$D$110=$AR43),Schweine_Werte!$M43*0.5,IF(OR($C$110&gt;$AR43,$D$110&lt;$AR43),0,Schweine_Werte!$M43))</f>
        <v>0</v>
      </c>
      <c r="BW43" s="783">
        <f>IF(OR(8=$AR43,$E$127=$AR43),Schweine_Werte!$M43*0.5,IF(OR(8&gt;$AR43,$E$127&lt;$AR43),0,Schweine_Werte!$M43))</f>
        <v>1.2358690906989118</v>
      </c>
      <c r="BX43" s="783">
        <f>IF(OR(8=$AR43,$E$145=$AR43),Schweine_Werte!$M43*0.5,IF(OR(8&gt;$AR43,$E$145&lt;$AR43),0,Schweine_Werte!$M43))</f>
        <v>1.2358690906989118</v>
      </c>
      <c r="BY43" s="781">
        <f>IF(OR($C$74=$AR43,$D$74=$AR43),Schweine_Werte!$O43*0.5,IF(OR($C$74&gt;$AR43,$D$74&lt;$AR43),0,Schweine_Werte!$O43))</f>
        <v>0</v>
      </c>
      <c r="BZ43" s="781">
        <f>IF(OR($C$83=$AR43,$D$83=$AR43),Schweine_Werte!$O43*0.5,IF(OR($C$83&gt;$AR43,$D$83&lt;$AR43),0,Schweine_Werte!$O43))</f>
        <v>0</v>
      </c>
      <c r="CA43" s="783">
        <f>IF(OR($C$92=$AR43,$D$92=$AR43),Schweine_Werte!$O43*0.5,IF(OR($C$92&gt;$AR43,$D$92&lt;$AR43),0,Schweine_Werte!$O43))</f>
        <v>0</v>
      </c>
      <c r="CB43" s="783">
        <f>IF(OR($C$101=$AR43,$D$101=$AR43),Schweine_Werte!$O43*0.5,IF(OR($C$101&gt;$AR43,$D$101&lt;$AR43),0,Schweine_Werte!$O43))</f>
        <v>0</v>
      </c>
      <c r="CC43" s="783">
        <f>IF(OR($C$110=$AR43,$D$110=$AR43),Schweine_Werte!$O43*0.5,IF(OR($C$110&gt;$AR43,$D$110&lt;$AR43),0,Schweine_Werte!$O43))</f>
        <v>0</v>
      </c>
    </row>
    <row r="44" spans="1:81" x14ac:dyDescent="0.2">
      <c r="B44" s="691">
        <v>950</v>
      </c>
      <c r="D44" s="716"/>
      <c r="E44" s="716" t="e">
        <f>($D48-$C48)*1000/SUM($BK$4:$BK$146)</f>
        <v>#VALUE!</v>
      </c>
      <c r="F44" s="716" t="e">
        <f>SUMPRODUCT($BK$4:$BK$146,Schweine_Werte!$T$4:$T$146)/SUM($BK$4:$BK$146)</f>
        <v>#DIV/0!</v>
      </c>
      <c r="G44" s="716" t="e">
        <f>IF($B48=$A$8,SUMPRODUCT($BK$4:$BK$146,Schweine_Werte!EZ$4:EZ$146)/SUM($BK$4:$BK$146),IF($B48=$A$7,SUMPRODUCT($BK$4:$BK$146,Schweine_Werte!DT$4:DT$146)/SUM($BK$4:$BK$146),IF($B48=$A$6,SUMPRODUCT($BK$4:$BK$146,Schweine_Werte!CN$4:CN$146)/SUM($BK$4:$BK$146),SUMPRODUCT($BK$4:$BK$146,Schweine_Werte!BH$4:BH$146)/SUM($BK$4:$BK$146))))</f>
        <v>#DIV/0!</v>
      </c>
      <c r="H44" s="716" t="e">
        <f>IF($B48=$A$8,SUMPRODUCT($BK$4:$BK$146,Schweine_Werte!FA$4:FA$146)/SUM($BK$4:$BK$146),IF($B48=$A$7,SUMPRODUCT($BK$4:$BK$146,Schweine_Werte!DU$4:DU$146)/SUM($BK$4:$BK$146),IF($B48=$A$6,SUMPRODUCT($BK$4:$BK$146,Schweine_Werte!CO$4:CO$146)/SUM($BK$4:$BK$146),SUMPRODUCT($BK$4:$BK$146,Schweine_Werte!BI$4:BI$146)/SUM($BK$4:$BK$146))))</f>
        <v>#DIV/0!</v>
      </c>
      <c r="I44" s="716" t="e">
        <f>IF($B48=$A$8,SUMPRODUCT($BK$4:$BK$146,Schweine_Werte!FB$4:FB$146)/SUM($BK$4:$BK$146),IF($B48=$A$7,SUMPRODUCT($BK$4:$BK$146,Schweine_Werte!DV$4:DV$146)/SUM($BK$4:$BK$146),IF($B48=$A$6,SUMPRODUCT($BK$4:$BK$146,Schweine_Werte!CP$4:CP$146)/SUM($BK$4:$BK$146),SUMPRODUCT($BK$4:$BK$146,Schweine_Werte!BJ$4:BJ$146)/SUM($BK$4:$BK$146))))</f>
        <v>#DIV/0!</v>
      </c>
      <c r="J44" s="716" t="e">
        <f>SUMPRODUCT($BK$4:$BK$146,Schweine_Werte!$AB$4:$AB$146)/SUM($BK$4:$BK$146)</f>
        <v>#DIV/0!</v>
      </c>
      <c r="K44" s="716" t="e">
        <f>SUMPRODUCT($BK$4:$BK$146,Schweine_Werte!$AJ$4:$AJ$146)/SUM($BK$4:$BK$146)</f>
        <v>#DIV/0!</v>
      </c>
      <c r="L44" s="804" t="e">
        <f>T44*$F44*365/1000+$J44-$K44</f>
        <v>#DIV/0!</v>
      </c>
      <c r="M44" s="716" t="e">
        <f>U44*$F44*365/1000+$J44-$K44/2</f>
        <v>#DIV/0!</v>
      </c>
      <c r="N44" s="716" t="e">
        <f>V44*$F44*365/1000+$J44</f>
        <v>#DIV/0!</v>
      </c>
      <c r="O44" s="716">
        <f>IF($C48&lt;28,SUM($BK$4:$BK$23)+IF($D48&gt;28,$BK$24*0.5,$BK$24),0)</f>
        <v>0</v>
      </c>
      <c r="P44" s="716">
        <f>IF($D48&gt;28,SUM($BK$25:$BK$146)+IF($C48&lt;28,$BK$24*0.5,$BK$24),0)</f>
        <v>0</v>
      </c>
      <c r="Q44" s="716" t="e">
        <f t="shared" si="24"/>
        <v>#DIV/0!</v>
      </c>
      <c r="R44" s="716" t="e">
        <f t="shared" si="24"/>
        <v>#DIV/0!</v>
      </c>
      <c r="S44" s="716" t="e">
        <f t="shared" si="24"/>
        <v>#DIV/0!</v>
      </c>
      <c r="T44" s="716" t="e">
        <f>+($O44*Schweine_Werte!$HT$8+$P44*Schweine_Werte!$HU$8)/SUM($O44:$P44)</f>
        <v>#DIV/0!</v>
      </c>
      <c r="U44" s="716" t="e">
        <f>+($O44*Schweine_Werte!$HV$8+$P44*Schweine_Werte!$HW$8)/SUM($O44:$P44)</f>
        <v>#DIV/0!</v>
      </c>
      <c r="V44" s="716" t="e">
        <f>+($O44*Schweine_Werte!$HX$8+$P44*Schweine_Werte!$HY$8)/SUM($O44:$P44)</f>
        <v>#DIV/0!</v>
      </c>
      <c r="W44" s="771" t="e">
        <f>($J44*0.055+T44*0.365*0.86*$F44-$K44*0.018)/L44*100</f>
        <v>#DIV/0!</v>
      </c>
      <c r="X44" s="716" t="e">
        <f>($J44*0.055+U44*0.365*0.86*$F44-$K44*0.018/2)/M44*100</f>
        <v>#DIV/0!</v>
      </c>
      <c r="Y44" s="716" t="e">
        <f>($J44*0.055+V44*0.365*0.86*$F44)/N44*100</f>
        <v>#DIV/0!</v>
      </c>
      <c r="Z44" s="716"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16"/>
      <c r="AB44" s="716">
        <f>IF($B48=$A$8,SUMIF(Schweine_Werte!$AO$4:$AO$146,$C48,Schweine_Werte!$FD$4:$FD$146),IF($B48=$A$7,SUMIF(Schweine_Werte!$AO$4:$AO$146,$C48,Schweine_Werte!$DX$4:$DX$146),IF($B48=$A$6,SUMIF(Schweine_Werte!$AO$4:$AO$146,$C48,Schweine_Werte!$CR$4:$CR$146),SUMIF(Schweine_Werte!$AO$4:$AO$146,$C48,Schweine_Werte!$BL$4:$BL$146))))</f>
        <v>0</v>
      </c>
      <c r="AC44" s="716"/>
      <c r="AD44" s="716">
        <f>IF($B48=$A$8,SUMIF(Schweine_Werte!$AO$4:$AO$146,$D48,Schweine_Werte!$FD$4:$FD$146),IF($B48=$A$7,SUMIF(Schweine_Werte!$AO$4:$AO$146,$D48,Schweine_Werte!$DX$4:$DX$146),IF($B48=$A$6,SUMIF(Schweine_Werte!$AO$4:$AO$146,$D48,Schweine_Werte!$CR$4:$CR$146),SUMIF(Schweine_Werte!$AO$4:$AO$146,$D48,Schweine_Werte!$BL$4:$BL$146))))</f>
        <v>0</v>
      </c>
      <c r="AE44" s="716"/>
      <c r="AF44" s="716"/>
      <c r="AG44" s="716" t="e">
        <f>IF($B48=$A$8,SUMPRODUCT($BK$4:$BK$146,Schweine_Werte!$FC$4:$FC$146)/SUM($BK$4:$BK$146),IF($B48=$A$7,SUMPRODUCT($BK$4:$BK$146,Schweine_Werte!$DW$4:$DW$146)/SUM($BK$4:$BK$146),IF($B48=$A$6,SUMPRODUCT($BK$4:$BK$146,Schweine_Werte!$CQ$4:$CQ$146)/SUM($BK$4:$BK$146),SUMPRODUCT($BK$4:$BK$146,Schweine_Werte!$BK$4:$BK$146)/SUM($BK$4:$BK$146))))</f>
        <v>#DIV/0!</v>
      </c>
      <c r="AH44" s="716"/>
      <c r="AI44" s="716"/>
      <c r="AJ44" s="716"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16"/>
      <c r="AL44" s="716">
        <f>IF($B48=$A$8,SUMIF(Schweine_Werte!$AO$4:$AO$146,$C48,Schweine_Werte!$FE$4:$FE$146),IF($B48=$A$7,SUMIF(Schweine_Werte!$AO$4:$AO$146,$C48,Schweine_Werte!$DY$4:$DY$146),IF($B48=$A$6,SUMIF(Schweine_Werte!$AO$4:$AO$146,$C48,Schweine_Werte!$CS$4:$CS$146),SUMIF(Schweine_Werte!$AO$4:$AO$146,$C48,Schweine_Werte!$BM$4:$BM$146))))</f>
        <v>0</v>
      </c>
      <c r="AM44" s="716"/>
      <c r="AN44" s="716">
        <f>IF($B48=$A$8,SUMIF(Schweine_Werte!$AO$4:$AO$146,$D48,Schweine_Werte!$FE$4:$FE$146),IF($B48=$A$7,SUMIF(Schweine_Werte!$AO$4:$AO$146,$D48,Schweine_Werte!$DY$4:$DY$146),IF($B48=$A$6,SUMIF(Schweine_Werte!$AO$4:$AO$146,$D48,Schweine_Werte!$CS$4:$CS$146),SUMIF(Schweine_Werte!$AO$4:$AO$146,$D48,Schweine_Werte!$BM$4:$BM$146))))</f>
        <v>0</v>
      </c>
      <c r="AR44" s="792">
        <v>48</v>
      </c>
      <c r="AS44" s="781">
        <f>IF(OR($C$12=$AR44,$D$12=$AR44),Schweine_Werte!$C44*0.5,IF(OR($C$12&gt;$AR44,$D$12&lt;$AR44),0,Schweine_Werte!$C44))</f>
        <v>0</v>
      </c>
      <c r="AT44" s="716">
        <f>IF(OR($C$24=$AR44,$D$24=$AR44),Schweine_Werte!$C44*0.5,IF(OR($C$24&gt;$AR44,$D$24&lt;$AR44),0,Schweine_Werte!$C44))</f>
        <v>0</v>
      </c>
      <c r="AU44" s="781">
        <f>IF(OR($C$36=$AR44,$D$36=$AR44),Schweine_Werte!$C44*0.5,IF(OR($C$36&gt;$AR44,$D$36&lt;$AR44),0,Schweine_Werte!$C44))</f>
        <v>0</v>
      </c>
      <c r="AV44" s="781">
        <f>IF(OR($C$48=$AR44,$D$48=$AR44),Schweine_Werte!$C44*0.5,IF(OR($C$48&gt;$AR44,$D$48&lt;$AR44),0,Schweine_Werte!$C44))</f>
        <v>0</v>
      </c>
      <c r="AW44" s="781">
        <f>IF(OR($C$60=$AR44,$D$60=$AR44),Schweine_Werte!$C44*0.5,IF(OR($C$60&gt;$AR44,$D$60&lt;$AR44),0,Schweine_Werte!$C44))</f>
        <v>0</v>
      </c>
      <c r="AX44" s="781">
        <f>IF(OR($C$12=$AR44,$D$12=$AR44),Schweine_Werte!$E44*0.5,IF(OR($C$12&gt;$AR44,$D$12&lt;$AR44),0,Schweine_Werte!$E44))</f>
        <v>0</v>
      </c>
      <c r="AY44" s="716">
        <f>IF(OR($C$24=$AR44,$D$24=$AR44),Schweine_Werte!$E44*0.5,IF(OR($C$24&gt;$AR44,$D$24&lt;$AR44),0,Schweine_Werte!$E44))</f>
        <v>0</v>
      </c>
      <c r="AZ44" s="716">
        <f>IF(OR($C$36=$AR44,$D$36=$AR44),Schweine_Werte!$E44*0.5,IF(OR($C$36&gt;$AR44,$D$36&lt;$AR44),0,Schweine_Werte!$E44))</f>
        <v>0</v>
      </c>
      <c r="BA44" s="716">
        <f>IF(OR($C$48=$AR44,$D$48=$AR44),Schweine_Werte!$E44*0.5,IF(OR($C$48&gt;$AR44,$D$48&lt;$AR44),0,Schweine_Werte!$E44))</f>
        <v>0</v>
      </c>
      <c r="BB44" s="716">
        <f>IF(OR($C$60=$AR44,$D$60=$AR44),Schweine_Werte!$E44*0.5,IF(OR($C$60&gt;$AR44,$D$60&lt;$AR44),0,Schweine_Werte!$E44))</f>
        <v>0</v>
      </c>
      <c r="BC44" s="781">
        <f>IF(OR($C$12=$AR44,$D$12=$AR44),Schweine_Werte!$G44*0.5,IF(OR($C$12&gt;$AR44,$D$12&lt;$AR44),0,Schweine_Werte!$G44))</f>
        <v>0</v>
      </c>
      <c r="BD44" s="716">
        <f>IF(OR($C$24=$AR44,$D$24=$AR44),Schweine_Werte!$G44*0.5,IF(OR($C$24&gt;$AR44,$D$24&lt;$AR44),0,Schweine_Werte!$G44))</f>
        <v>0</v>
      </c>
      <c r="BE44" s="716">
        <f>IF(OR($C$36=$AR44,$D$36=$AR44),Schweine_Werte!$G44*0.5,IF(OR($C$36&gt;$AR44,$D$36&lt;$AR44),0,Schweine_Werte!$G44))</f>
        <v>0</v>
      </c>
      <c r="BF44" s="716">
        <f>IF(OR($C$48=$AR44,$D$48=$AR44),Schweine_Werte!$G44*0.5,IF(OR($C$48&gt;$AR44,$D$48&lt;$AR44),0,Schweine_Werte!$G44))</f>
        <v>0</v>
      </c>
      <c r="BG44" s="716">
        <f>IF(OR($C$60=$AR44,$D$60=$AR44),Schweine_Werte!$G44*0.5,IF(OR($C$60&gt;$AR44,$D$60&lt;$AR44),0,Schweine_Werte!$G44))</f>
        <v>0</v>
      </c>
      <c r="BH44" s="781">
        <f>IF(OR($C$12=$AR44,$D$12=$AR44),Schweine_Werte!$I44*0.5,IF(OR($C$12&gt;$AR44,$D$12&lt;$AR44),0,Schweine_Werte!$I44))</f>
        <v>0</v>
      </c>
      <c r="BI44" s="716">
        <f>IF(OR($C$24=$AR44,$D$24=$AR44),Schweine_Werte!$I44*0.5,IF(OR($C$24&gt;$AR44,$D$24&lt;$AR44),0,Schweine_Werte!$I44))</f>
        <v>0</v>
      </c>
      <c r="BJ44" s="716">
        <f>IF(OR($C$36=$AR44,$D$36=$AR44),Schweine_Werte!$I44*0.5,IF(OR($C$36&gt;$AR44,$D$36&lt;$AR44),0,Schweine_Werte!$I44))</f>
        <v>0</v>
      </c>
      <c r="BK44" s="716">
        <f>IF(OR($C$48=$AR44,$D$48=$AR44),Schweine_Werte!$I44*0.5,IF(OR($C$48&gt;$AR44,$D$48&lt;$AR44),0,Schweine_Werte!$I44))</f>
        <v>0</v>
      </c>
      <c r="BL44" s="716">
        <f>IF(OR($C$60=$AR44,$D$60=$AR44),Schweine_Werte!$I44*0.5,IF(OR($C$60&gt;$AR44,$D$60&lt;$AR44),0,Schweine_Werte!$I44))</f>
        <v>0</v>
      </c>
      <c r="BM44" s="781"/>
      <c r="BN44" s="716"/>
      <c r="BO44" s="716"/>
      <c r="BP44" s="716"/>
      <c r="BQ44" s="716"/>
      <c r="BR44" s="781">
        <f>IF(OR($C$74=$AR44,$D$74=$AR44),Schweine_Werte!$M44*0.5,IF(OR($C$74&gt;$AR44,$D$74&lt;$AR44),0,Schweine_Werte!$M44))</f>
        <v>0</v>
      </c>
      <c r="BS44" s="781">
        <f>IF(OR($C$83=$AR44,$D$83=$AR44),Schweine_Werte!$M44*0.5,IF(OR($C$83&gt;$AR44,$D$83&lt;$AR44),0,Schweine_Werte!$M44))</f>
        <v>0</v>
      </c>
      <c r="BT44" s="783">
        <f>IF(OR($C$92=$AR44,$D$92=$AR44),Schweine_Werte!$M44*0.5,IF(OR($C$92&gt;$AR44,$D$92&lt;$AR44),0,Schweine_Werte!$M44))</f>
        <v>0</v>
      </c>
      <c r="BU44" s="783">
        <f>IF(OR($C$101=$AR44,$D$101=$AR44),Schweine_Werte!$M44*0.5,IF(OR($C$101&gt;$AR44,$D$101&lt;$AR44),0,Schweine_Werte!$M44))</f>
        <v>0</v>
      </c>
      <c r="BV44" s="783">
        <f>IF(OR($C$110=$AR44,$D$110=$AR44),Schweine_Werte!$M44*0.5,IF(OR($C$110&gt;$AR44,$D$110&lt;$AR44),0,Schweine_Werte!$M44))</f>
        <v>0</v>
      </c>
      <c r="BW44" s="783">
        <f>IF(OR(8=$AR44,$E$127=$AR44),Schweine_Werte!$M44*0.5,IF(OR(8&gt;$AR44,$E$127&lt;$AR44),0,Schweine_Werte!$M44))</f>
        <v>1.2246885195813491</v>
      </c>
      <c r="BX44" s="783">
        <f>IF(OR(8=$AR44,$E$145=$AR44),Schweine_Werte!$M44*0.5,IF(OR(8&gt;$AR44,$E$145&lt;$AR44),0,Schweine_Werte!$M44))</f>
        <v>1.2246885195813491</v>
      </c>
      <c r="BY44" s="781">
        <f>IF(OR($C$74=$AR44,$D$74=$AR44),Schweine_Werte!$O44*0.5,IF(OR($C$74&gt;$AR44,$D$74&lt;$AR44),0,Schweine_Werte!$O44))</f>
        <v>0</v>
      </c>
      <c r="BZ44" s="781">
        <f>IF(OR($C$83=$AR44,$D$83=$AR44),Schweine_Werte!$O44*0.5,IF(OR($C$83&gt;$AR44,$D$83&lt;$AR44),0,Schweine_Werte!$O44))</f>
        <v>0</v>
      </c>
      <c r="CA44" s="783">
        <f>IF(OR($C$92=$AR44,$D$92=$AR44),Schweine_Werte!$O44*0.5,IF(OR($C$92&gt;$AR44,$D$92&lt;$AR44),0,Schweine_Werte!$O44))</f>
        <v>0</v>
      </c>
      <c r="CB44" s="783">
        <f>IF(OR($C$101=$AR44,$D$101=$AR44),Schweine_Werte!$O44*0.5,IF(OR($C$101&gt;$AR44,$D$101&lt;$AR44),0,Schweine_Werte!$O44))</f>
        <v>0</v>
      </c>
      <c r="CC44" s="783">
        <f>IF(OR($C$110=$AR44,$D$110=$AR44),Schweine_Werte!$O44*0.5,IF(OR($C$110&gt;$AR44,$D$110&lt;$AR44),0,Schweine_Werte!$O44))</f>
        <v>0</v>
      </c>
    </row>
    <row r="45" spans="1:81" x14ac:dyDescent="0.2">
      <c r="B45" s="691"/>
      <c r="D45" s="716"/>
      <c r="E45" s="716"/>
      <c r="F45" s="716"/>
      <c r="G45" s="716"/>
      <c r="H45" s="716"/>
      <c r="I45" s="716"/>
      <c r="J45" s="716"/>
      <c r="K45" s="716"/>
      <c r="L45" s="804"/>
      <c r="M45" s="716"/>
      <c r="N45" s="716"/>
      <c r="O45" s="716"/>
      <c r="P45" s="716"/>
      <c r="Q45" s="716"/>
      <c r="R45" s="716"/>
      <c r="S45" s="716"/>
      <c r="T45" s="716"/>
      <c r="U45" s="716"/>
      <c r="V45" s="716"/>
      <c r="W45" s="771"/>
      <c r="X45" s="716"/>
      <c r="Y45" s="716"/>
      <c r="Z45" s="716"/>
      <c r="AA45" s="716"/>
      <c r="AB45" s="716"/>
      <c r="AC45" s="716"/>
      <c r="AD45" s="716"/>
      <c r="AE45" s="716"/>
      <c r="AF45" s="716"/>
      <c r="AG45" s="716"/>
      <c r="AH45" s="716"/>
      <c r="AI45" s="716"/>
      <c r="AJ45" s="716"/>
      <c r="AK45" s="716"/>
      <c r="AL45" s="716"/>
      <c r="AM45" s="716"/>
      <c r="AN45" s="716"/>
      <c r="AR45" s="792">
        <v>49</v>
      </c>
      <c r="AS45" s="781">
        <f>IF(OR($C$12=$AR45,$D$12=$AR45),Schweine_Werte!$C45*0.5,IF(OR($C$12&gt;$AR45,$D$12&lt;$AR45),0,Schweine_Werte!$C45))</f>
        <v>0</v>
      </c>
      <c r="AT45" s="716">
        <f>IF(OR($C$24=$AR45,$D$24=$AR45),Schweine_Werte!$C45*0.5,IF(OR($C$24&gt;$AR45,$D$24&lt;$AR45),0,Schweine_Werte!$C45))</f>
        <v>0</v>
      </c>
      <c r="AU45" s="781">
        <f>IF(OR($C$36=$AR45,$D$36=$AR45),Schweine_Werte!$C45*0.5,IF(OR($C$36&gt;$AR45,$D$36&lt;$AR45),0,Schweine_Werte!$C45))</f>
        <v>0</v>
      </c>
      <c r="AV45" s="781">
        <f>IF(OR($C$48=$AR45,$D$48=$AR45),Schweine_Werte!$C45*0.5,IF(OR($C$48&gt;$AR45,$D$48&lt;$AR45),0,Schweine_Werte!$C45))</f>
        <v>0</v>
      </c>
      <c r="AW45" s="781">
        <f>IF(OR($C$60=$AR45,$D$60=$AR45),Schweine_Werte!$C45*0.5,IF(OR($C$60&gt;$AR45,$D$60&lt;$AR45),0,Schweine_Werte!$C45))</f>
        <v>0</v>
      </c>
      <c r="AX45" s="781">
        <f>IF(OR($C$12=$AR45,$D$12=$AR45),Schweine_Werte!$E45*0.5,IF(OR($C$12&gt;$AR45,$D$12&lt;$AR45),0,Schweine_Werte!$E45))</f>
        <v>0</v>
      </c>
      <c r="AY45" s="716">
        <f>IF(OR($C$24=$AR45,$D$24=$AR45),Schweine_Werte!$E45*0.5,IF(OR($C$24&gt;$AR45,$D$24&lt;$AR45),0,Schweine_Werte!$E45))</f>
        <v>0</v>
      </c>
      <c r="AZ45" s="716">
        <f>IF(OR($C$36=$AR45,$D$36=$AR45),Schweine_Werte!$E45*0.5,IF(OR($C$36&gt;$AR45,$D$36&lt;$AR45),0,Schweine_Werte!$E45))</f>
        <v>0</v>
      </c>
      <c r="BA45" s="716">
        <f>IF(OR($C$48=$AR45,$D$48=$AR45),Schweine_Werte!$E45*0.5,IF(OR($C$48&gt;$AR45,$D$48&lt;$AR45),0,Schweine_Werte!$E45))</f>
        <v>0</v>
      </c>
      <c r="BB45" s="716">
        <f>IF(OR($C$60=$AR45,$D$60=$AR45),Schweine_Werte!$E45*0.5,IF(OR($C$60&gt;$AR45,$D$60&lt;$AR45),0,Schweine_Werte!$E45))</f>
        <v>0</v>
      </c>
      <c r="BC45" s="781">
        <f>IF(OR($C$12=$AR45,$D$12=$AR45),Schweine_Werte!$G45*0.5,IF(OR($C$12&gt;$AR45,$D$12&lt;$AR45),0,Schweine_Werte!$G45))</f>
        <v>0</v>
      </c>
      <c r="BD45" s="716">
        <f>IF(OR($C$24=$AR45,$D$24=$AR45),Schweine_Werte!$G45*0.5,IF(OR($C$24&gt;$AR45,$D$24&lt;$AR45),0,Schweine_Werte!$G45))</f>
        <v>0</v>
      </c>
      <c r="BE45" s="716">
        <f>IF(OR($C$36=$AR45,$D$36=$AR45),Schweine_Werte!$G45*0.5,IF(OR($C$36&gt;$AR45,$D$36&lt;$AR45),0,Schweine_Werte!$G45))</f>
        <v>0</v>
      </c>
      <c r="BF45" s="716">
        <f>IF(OR($C$48=$AR45,$D$48=$AR45),Schweine_Werte!$G45*0.5,IF(OR($C$48&gt;$AR45,$D$48&lt;$AR45),0,Schweine_Werte!$G45))</f>
        <v>0</v>
      </c>
      <c r="BG45" s="716">
        <f>IF(OR($C$60=$AR45,$D$60=$AR45),Schweine_Werte!$G45*0.5,IF(OR($C$60&gt;$AR45,$D$60&lt;$AR45),0,Schweine_Werte!$G45))</f>
        <v>0</v>
      </c>
      <c r="BH45" s="781">
        <f>IF(OR($C$12=$AR45,$D$12=$AR45),Schweine_Werte!$I45*0.5,IF(OR($C$12&gt;$AR45,$D$12&lt;$AR45),0,Schweine_Werte!$I45))</f>
        <v>0</v>
      </c>
      <c r="BI45" s="716">
        <f>IF(OR($C$24=$AR45,$D$24=$AR45),Schweine_Werte!$I45*0.5,IF(OR($C$24&gt;$AR45,$D$24&lt;$AR45),0,Schweine_Werte!$I45))</f>
        <v>0</v>
      </c>
      <c r="BJ45" s="716">
        <f>IF(OR($C$36=$AR45,$D$36=$AR45),Schweine_Werte!$I45*0.5,IF(OR($C$36&gt;$AR45,$D$36&lt;$AR45),0,Schweine_Werte!$I45))</f>
        <v>0</v>
      </c>
      <c r="BK45" s="716">
        <f>IF(OR($C$48=$AR45,$D$48=$AR45),Schweine_Werte!$I45*0.5,IF(OR($C$48&gt;$AR45,$D$48&lt;$AR45),0,Schweine_Werte!$I45))</f>
        <v>0</v>
      </c>
      <c r="BL45" s="716">
        <f>IF(OR($C$60=$AR45,$D$60=$AR45),Schweine_Werte!$I45*0.5,IF(OR($C$60&gt;$AR45,$D$60&lt;$AR45),0,Schweine_Werte!$I45))</f>
        <v>0</v>
      </c>
      <c r="BM45" s="781"/>
      <c r="BN45" s="716"/>
      <c r="BO45" s="716"/>
      <c r="BP45" s="716"/>
      <c r="BQ45" s="716"/>
      <c r="BR45" s="781">
        <f>IF(OR($C$74=$AR45,$D$74=$AR45),Schweine_Werte!$M45*0.5,IF(OR($C$74&gt;$AR45,$D$74&lt;$AR45),0,Schweine_Werte!$M45))</f>
        <v>0</v>
      </c>
      <c r="BS45" s="781">
        <f>IF(OR($C$83=$AR45,$D$83=$AR45),Schweine_Werte!$M45*0.5,IF(OR($C$83&gt;$AR45,$D$83&lt;$AR45),0,Schweine_Werte!$M45))</f>
        <v>0</v>
      </c>
      <c r="BT45" s="783">
        <f>IF(OR($C$92=$AR45,$D$92=$AR45),Schweine_Werte!$M45*0.5,IF(OR($C$92&gt;$AR45,$D$92&lt;$AR45),0,Schweine_Werte!$M45))</f>
        <v>0</v>
      </c>
      <c r="BU45" s="783">
        <f>IF(OR($C$101=$AR45,$D$101=$AR45),Schweine_Werte!$M45*0.5,IF(OR($C$101&gt;$AR45,$D$101&lt;$AR45),0,Schweine_Werte!$M45))</f>
        <v>0</v>
      </c>
      <c r="BV45" s="783">
        <f>IF(OR($C$110=$AR45,$D$110=$AR45),Schweine_Werte!$M45*0.5,IF(OR($C$110&gt;$AR45,$D$110&lt;$AR45),0,Schweine_Werte!$M45))</f>
        <v>0</v>
      </c>
      <c r="BW45" s="783">
        <f>IF(OR(8=$AR45,$E$127=$AR45),Schweine_Werte!$M45*0.5,IF(OR(8&gt;$AR45,$E$127&lt;$AR45),0,Schweine_Werte!$M45))</f>
        <v>1.2141408891561545</v>
      </c>
      <c r="BX45" s="783">
        <f>IF(OR(8=$AR45,$E$145=$AR45),Schweine_Werte!$M45*0.5,IF(OR(8&gt;$AR45,$E$145&lt;$AR45),0,Schweine_Werte!$M45))</f>
        <v>1.2141408891561545</v>
      </c>
      <c r="BY45" s="781">
        <f>IF(OR($C$74=$AR45,$D$74=$AR45),Schweine_Werte!$O45*0.5,IF(OR($C$74&gt;$AR45,$D$74&lt;$AR45),0,Schweine_Werte!$O45))</f>
        <v>0</v>
      </c>
      <c r="BZ45" s="781">
        <f>IF(OR($C$83=$AR45,$D$83=$AR45),Schweine_Werte!$O45*0.5,IF(OR($C$83&gt;$AR45,$D$83&lt;$AR45),0,Schweine_Werte!$O45))</f>
        <v>0</v>
      </c>
      <c r="CA45" s="783">
        <f>IF(OR($C$92=$AR45,$D$92=$AR45),Schweine_Werte!$O45*0.5,IF(OR($C$92&gt;$AR45,$D$92&lt;$AR45),0,Schweine_Werte!$O45))</f>
        <v>0</v>
      </c>
      <c r="CB45" s="783">
        <f>IF(OR($C$101=$AR45,$D$101=$AR45),Schweine_Werte!$O45*0.5,IF(OR($C$101&gt;$AR45,$D$101&lt;$AR45),0,Schweine_Werte!$O45))</f>
        <v>0</v>
      </c>
      <c r="CC45" s="783">
        <f>IF(OR($C$110=$AR45,$D$110=$AR45),Schweine_Werte!$O45*0.5,IF(OR($C$110&gt;$AR45,$D$110&lt;$AR45),0,Schweine_Werte!$O45))</f>
        <v>0</v>
      </c>
    </row>
    <row r="46" spans="1:81" ht="15.75" x14ac:dyDescent="0.25">
      <c r="F46" s="352"/>
      <c r="G46" s="1588" t="s">
        <v>7701</v>
      </c>
      <c r="H46" s="1589"/>
      <c r="I46" s="1590"/>
      <c r="J46" s="973" t="s">
        <v>589</v>
      </c>
      <c r="K46" s="973" t="s">
        <v>224</v>
      </c>
      <c r="L46" s="1591" t="s">
        <v>7702</v>
      </c>
      <c r="M46" s="1592"/>
      <c r="N46" s="1593"/>
      <c r="O46" s="1591" t="s">
        <v>7703</v>
      </c>
      <c r="P46" s="1593"/>
      <c r="Q46" s="1591" t="s">
        <v>7758</v>
      </c>
      <c r="R46" s="1592"/>
      <c r="S46" s="1593"/>
      <c r="T46" s="1591" t="s">
        <v>7704</v>
      </c>
      <c r="U46" s="1592"/>
      <c r="V46" s="1593"/>
      <c r="W46" s="1591" t="s">
        <v>7785</v>
      </c>
      <c r="X46" s="1592"/>
      <c r="Y46" s="1593"/>
      <c r="Z46" s="1596" t="s">
        <v>7786</v>
      </c>
      <c r="AA46" s="1597"/>
      <c r="AB46" s="1596" t="s">
        <v>7787</v>
      </c>
      <c r="AC46" s="1597"/>
      <c r="AD46" s="1596" t="s">
        <v>7788</v>
      </c>
      <c r="AE46" s="1597"/>
      <c r="AF46" s="974" t="s">
        <v>7888</v>
      </c>
      <c r="AG46" s="1598" t="s">
        <v>7791</v>
      </c>
      <c r="AH46" s="1599"/>
      <c r="AI46" s="1081" t="s">
        <v>7889</v>
      </c>
      <c r="AJ46" s="1596" t="s">
        <v>7786</v>
      </c>
      <c r="AK46" s="1597"/>
      <c r="AL46" s="1596" t="s">
        <v>7787</v>
      </c>
      <c r="AM46" s="1597"/>
      <c r="AN46" s="1596" t="s">
        <v>7788</v>
      </c>
      <c r="AO46" s="1597"/>
      <c r="AR46" s="792">
        <v>50</v>
      </c>
      <c r="AS46" s="781">
        <f>IF(OR($C$12=$AR46,$D$12=$AR46),Schweine_Werte!$C46*0.5,IF(OR($C$12&gt;$AR46,$D$12&lt;$AR46),0,Schweine_Werte!$C46))</f>
        <v>0</v>
      </c>
      <c r="AT46" s="716">
        <f>IF(OR($C$24=$AR46,$D$24=$AR46),Schweine_Werte!$C46*0.5,IF(OR($C$24&gt;$AR46,$D$24&lt;$AR46),0,Schweine_Werte!$C46))</f>
        <v>0</v>
      </c>
      <c r="AU46" s="781">
        <f>IF(OR($C$36=$AR46,$D$36=$AR46),Schweine_Werte!$C46*0.5,IF(OR($C$36&gt;$AR46,$D$36&lt;$AR46),0,Schweine_Werte!$C46))</f>
        <v>0</v>
      </c>
      <c r="AV46" s="781">
        <f>IF(OR($C$48=$AR46,$D$48=$AR46),Schweine_Werte!$C46*0.5,IF(OR($C$48&gt;$AR46,$D$48&lt;$AR46),0,Schweine_Werte!$C46))</f>
        <v>0</v>
      </c>
      <c r="AW46" s="781">
        <f>IF(OR($C$60=$AR46,$D$60=$AR46),Schweine_Werte!$C46*0.5,IF(OR($C$60&gt;$AR46,$D$60&lt;$AR46),0,Schweine_Werte!$C46))</f>
        <v>0</v>
      </c>
      <c r="AX46" s="781">
        <f>IF(OR($C$12=$AR46,$D$12=$AR46),Schweine_Werte!$E46*0.5,IF(OR($C$12&gt;$AR46,$D$12&lt;$AR46),0,Schweine_Werte!$E46))</f>
        <v>0</v>
      </c>
      <c r="AY46" s="716">
        <f>IF(OR($C$24=$AR46,$D$24=$AR46),Schweine_Werte!$E46*0.5,IF(OR($C$24&gt;$AR46,$D$24&lt;$AR46),0,Schweine_Werte!$E46))</f>
        <v>0</v>
      </c>
      <c r="AZ46" s="716">
        <f>IF(OR($C$36=$AR46,$D$36=$AR46),Schweine_Werte!$E46*0.5,IF(OR($C$36&gt;$AR46,$D$36&lt;$AR46),0,Schweine_Werte!$E46))</f>
        <v>0</v>
      </c>
      <c r="BA46" s="716">
        <f>IF(OR($C$48=$AR46,$D$48=$AR46),Schweine_Werte!$E46*0.5,IF(OR($C$48&gt;$AR46,$D$48&lt;$AR46),0,Schweine_Werte!$E46))</f>
        <v>0</v>
      </c>
      <c r="BB46" s="716">
        <f>IF(OR($C$60=$AR46,$D$60=$AR46),Schweine_Werte!$E46*0.5,IF(OR($C$60&gt;$AR46,$D$60&lt;$AR46),0,Schweine_Werte!$E46))</f>
        <v>0</v>
      </c>
      <c r="BC46" s="781">
        <f>IF(OR($C$12=$AR46,$D$12=$AR46),Schweine_Werte!$G46*0.5,IF(OR($C$12&gt;$AR46,$D$12&lt;$AR46),0,Schweine_Werte!$G46))</f>
        <v>0</v>
      </c>
      <c r="BD46" s="716">
        <f>IF(OR($C$24=$AR46,$D$24=$AR46),Schweine_Werte!$G46*0.5,IF(OR($C$24&gt;$AR46,$D$24&lt;$AR46),0,Schweine_Werte!$G46))</f>
        <v>0</v>
      </c>
      <c r="BE46" s="716">
        <f>IF(OR($C$36=$AR46,$D$36=$AR46),Schweine_Werte!$G46*0.5,IF(OR($C$36&gt;$AR46,$D$36&lt;$AR46),0,Schweine_Werte!$G46))</f>
        <v>0</v>
      </c>
      <c r="BF46" s="716">
        <f>IF(OR($C$48=$AR46,$D$48=$AR46),Schweine_Werte!$G46*0.5,IF(OR($C$48&gt;$AR46,$D$48&lt;$AR46),0,Schweine_Werte!$G46))</f>
        <v>0</v>
      </c>
      <c r="BG46" s="716">
        <f>IF(OR($C$60=$AR46,$D$60=$AR46),Schweine_Werte!$G46*0.5,IF(OR($C$60&gt;$AR46,$D$60&lt;$AR46),0,Schweine_Werte!$G46))</f>
        <v>0</v>
      </c>
      <c r="BH46" s="781">
        <f>IF(OR($C$12=$AR46,$D$12=$AR46),Schweine_Werte!$I46*0.5,IF(OR($C$12&gt;$AR46,$D$12&lt;$AR46),0,Schweine_Werte!$I46))</f>
        <v>0</v>
      </c>
      <c r="BI46" s="716">
        <f>IF(OR($C$24=$AR46,$D$24=$AR46),Schweine_Werte!$I46*0.5,IF(OR($C$24&gt;$AR46,$D$24&lt;$AR46),0,Schweine_Werte!$I46))</f>
        <v>0</v>
      </c>
      <c r="BJ46" s="716">
        <f>IF(OR($C$36=$AR46,$D$36=$AR46),Schweine_Werte!$I46*0.5,IF(OR($C$36&gt;$AR46,$D$36&lt;$AR46),0,Schweine_Werte!$I46))</f>
        <v>0</v>
      </c>
      <c r="BK46" s="716">
        <f>IF(OR($C$48=$AR46,$D$48=$AR46),Schweine_Werte!$I46*0.5,IF(OR($C$48&gt;$AR46,$D$48&lt;$AR46),0,Schweine_Werte!$I46))</f>
        <v>0</v>
      </c>
      <c r="BL46" s="716">
        <f>IF(OR($C$60=$AR46,$D$60=$AR46),Schweine_Werte!$I46*0.5,IF(OR($C$60&gt;$AR46,$D$60&lt;$AR46),0,Schweine_Werte!$I46))</f>
        <v>0</v>
      </c>
      <c r="BM46" s="781"/>
      <c r="BN46" s="716"/>
      <c r="BO46" s="716"/>
      <c r="BP46" s="716"/>
      <c r="BQ46" s="716"/>
      <c r="BR46" s="781">
        <f>IF(OR($C$74=$AR46,$D$74=$AR46),Schweine_Werte!$M46*0.5,IF(OR($C$74&gt;$AR46,$D$74&lt;$AR46),0,Schweine_Werte!$M46))</f>
        <v>0</v>
      </c>
      <c r="BS46" s="781">
        <f>IF(OR($C$83=$AR46,$D$83=$AR46),Schweine_Werte!$M46*0.5,IF(OR($C$83&gt;$AR46,$D$83&lt;$AR46),0,Schweine_Werte!$M46))</f>
        <v>0</v>
      </c>
      <c r="BT46" s="783">
        <f>IF(OR($C$92=$AR46,$D$92=$AR46),Schweine_Werte!$M46*0.5,IF(OR($C$92&gt;$AR46,$D$92&lt;$AR46),0,Schweine_Werte!$M46))</f>
        <v>0</v>
      </c>
      <c r="BU46" s="783">
        <f>IF(OR($C$101=$AR46,$D$101=$AR46),Schweine_Werte!$M46*0.5,IF(OR($C$101&gt;$AR46,$D$101&lt;$AR46),0,Schweine_Werte!$M46))</f>
        <v>0</v>
      </c>
      <c r="BV46" s="783">
        <f>IF(OR($C$110=$AR46,$D$110=$AR46),Schweine_Werte!$M46*0.5,IF(OR($C$110&gt;$AR46,$D$110&lt;$AR46),0,Schweine_Werte!$M46))</f>
        <v>0</v>
      </c>
      <c r="BW46" s="783">
        <f>IF(OR(8=$AR46,$E$127=$AR46),Schweine_Werte!$M46*0.5,IF(OR(8&gt;$AR46,$E$127&lt;$AR46),0,Schweine_Werte!$M46))</f>
        <v>1.204199205490788</v>
      </c>
      <c r="BX46" s="783">
        <f>IF(OR(8=$AR46,$E$145=$AR46),Schweine_Werte!$M46*0.5,IF(OR(8&gt;$AR46,$E$145&lt;$AR46),0,Schweine_Werte!$M46))</f>
        <v>1.204199205490788</v>
      </c>
      <c r="BY46" s="781">
        <f>IF(OR($C$74=$AR46,$D$74=$AR46),Schweine_Werte!$O46*0.5,IF(OR($C$74&gt;$AR46,$D$74&lt;$AR46),0,Schweine_Werte!$O46))</f>
        <v>0</v>
      </c>
      <c r="BZ46" s="781">
        <f>IF(OR($C$83=$AR46,$D$83=$AR46),Schweine_Werte!$O46*0.5,IF(OR($C$83&gt;$AR46,$D$83&lt;$AR46),0,Schweine_Werte!$O46))</f>
        <v>0</v>
      </c>
      <c r="CA46" s="783">
        <f>IF(OR($C$92=$AR46,$D$92=$AR46),Schweine_Werte!$O46*0.5,IF(OR($C$92&gt;$AR46,$D$92&lt;$AR46),0,Schweine_Werte!$O46))</f>
        <v>0</v>
      </c>
      <c r="CB46" s="783">
        <f>IF(OR($C$101=$AR46,$D$101=$AR46),Schweine_Werte!$O46*0.5,IF(OR($C$101&gt;$AR46,$D$101&lt;$AR46),0,Schweine_Werte!$O46))</f>
        <v>0</v>
      </c>
      <c r="CC46" s="783">
        <f>IF(OR($C$110=$AR46,$D$110=$AR46),Schweine_Werte!$O46*0.5,IF(OR($C$110&gt;$AR46,$D$110&lt;$AR46),0,Schweine_Werte!$O46))</f>
        <v>0</v>
      </c>
    </row>
    <row r="47" spans="1:81" ht="18.75" x14ac:dyDescent="0.2">
      <c r="B47" s="786" t="s">
        <v>7705</v>
      </c>
      <c r="C47" s="787" t="s">
        <v>7645</v>
      </c>
      <c r="D47" s="787" t="s">
        <v>7706</v>
      </c>
      <c r="E47" s="787" t="s">
        <v>7647</v>
      </c>
      <c r="F47" s="733" t="s">
        <v>196</v>
      </c>
      <c r="G47" s="662" t="s">
        <v>4</v>
      </c>
      <c r="H47" s="662" t="s">
        <v>7707</v>
      </c>
      <c r="I47" s="662" t="s">
        <v>7708</v>
      </c>
      <c r="J47" s="663" t="s">
        <v>7709</v>
      </c>
      <c r="K47" s="663" t="s">
        <v>7709</v>
      </c>
      <c r="L47" s="664" t="s">
        <v>39</v>
      </c>
      <c r="M47" s="664" t="s">
        <v>7710</v>
      </c>
      <c r="N47" s="664" t="s">
        <v>41</v>
      </c>
      <c r="O47" s="665" t="s">
        <v>0</v>
      </c>
      <c r="P47" s="665" t="s">
        <v>8</v>
      </c>
      <c r="Q47" s="664" t="s">
        <v>39</v>
      </c>
      <c r="R47" s="664" t="s">
        <v>40</v>
      </c>
      <c r="S47" s="664" t="s">
        <v>41</v>
      </c>
      <c r="T47" s="664" t="s">
        <v>39</v>
      </c>
      <c r="U47" s="664" t="s">
        <v>40</v>
      </c>
      <c r="V47" s="664" t="s">
        <v>41</v>
      </c>
      <c r="W47" s="663" t="s">
        <v>7684</v>
      </c>
      <c r="X47" s="663" t="s">
        <v>7685</v>
      </c>
      <c r="Y47" s="663" t="s">
        <v>7686</v>
      </c>
      <c r="Z47" s="788" t="s">
        <v>7789</v>
      </c>
      <c r="AA47" s="788" t="s">
        <v>7790</v>
      </c>
      <c r="AB47" s="788" t="s">
        <v>7789</v>
      </c>
      <c r="AC47" s="788" t="s">
        <v>7790</v>
      </c>
      <c r="AD47" s="788" t="s">
        <v>7789</v>
      </c>
      <c r="AE47" s="788" t="s">
        <v>7790</v>
      </c>
      <c r="AF47" s="788" t="s">
        <v>7890</v>
      </c>
      <c r="AG47" s="983" t="s">
        <v>7891</v>
      </c>
      <c r="AH47" s="788" t="s">
        <v>7892</v>
      </c>
      <c r="AI47" s="788"/>
      <c r="AJ47" s="788" t="s">
        <v>7765</v>
      </c>
      <c r="AK47" s="788" t="s">
        <v>7792</v>
      </c>
      <c r="AL47" s="788" t="s">
        <v>7793</v>
      </c>
      <c r="AM47" s="788" t="s">
        <v>7794</v>
      </c>
      <c r="AN47" s="788" t="s">
        <v>7793</v>
      </c>
      <c r="AO47" s="788" t="s">
        <v>7795</v>
      </c>
      <c r="AR47" s="792">
        <v>51</v>
      </c>
      <c r="AS47" s="781">
        <f>IF(OR($C$12=$AR47,$D$12=$AR47),Schweine_Werte!$C47*0.5,IF(OR($C$12&gt;$AR47,$D$12&lt;$AR47),0,Schweine_Werte!$C47))</f>
        <v>0</v>
      </c>
      <c r="AT47" s="716">
        <f>IF(OR($C$24=$AR47,$D$24=$AR47),Schweine_Werte!$C47*0.5,IF(OR($C$24&gt;$AR47,$D$24&lt;$AR47),0,Schweine_Werte!$C47))</f>
        <v>0</v>
      </c>
      <c r="AU47" s="781">
        <f>IF(OR($C$36=$AR47,$D$36=$AR47),Schweine_Werte!$C47*0.5,IF(OR($C$36&gt;$AR47,$D$36&lt;$AR47),0,Schweine_Werte!$C47))</f>
        <v>0</v>
      </c>
      <c r="AV47" s="781">
        <f>IF(OR($C$48=$AR47,$D$48=$AR47),Schweine_Werte!$C47*0.5,IF(OR($C$48&gt;$AR47,$D$48&lt;$AR47),0,Schweine_Werte!$C47))</f>
        <v>0</v>
      </c>
      <c r="AW47" s="781">
        <f>IF(OR($C$60=$AR47,$D$60=$AR47),Schweine_Werte!$C47*0.5,IF(OR($C$60&gt;$AR47,$D$60&lt;$AR47),0,Schweine_Werte!$C47))</f>
        <v>0</v>
      </c>
      <c r="AX47" s="781">
        <f>IF(OR($C$12=$AR47,$D$12=$AR47),Schweine_Werte!$E47*0.5,IF(OR($C$12&gt;$AR47,$D$12&lt;$AR47),0,Schweine_Werte!$E47))</f>
        <v>0</v>
      </c>
      <c r="AY47" s="716">
        <f>IF(OR($C$24=$AR47,$D$24=$AR47),Schweine_Werte!$E47*0.5,IF(OR($C$24&gt;$AR47,$D$24&lt;$AR47),0,Schweine_Werte!$E47))</f>
        <v>0</v>
      </c>
      <c r="AZ47" s="716">
        <f>IF(OR($C$36=$AR47,$D$36=$AR47),Schweine_Werte!$E47*0.5,IF(OR($C$36&gt;$AR47,$D$36&lt;$AR47),0,Schweine_Werte!$E47))</f>
        <v>0</v>
      </c>
      <c r="BA47" s="716">
        <f>IF(OR($C$48=$AR47,$D$48=$AR47),Schweine_Werte!$E47*0.5,IF(OR($C$48&gt;$AR47,$D$48&lt;$AR47),0,Schweine_Werte!$E47))</f>
        <v>0</v>
      </c>
      <c r="BB47" s="716">
        <f>IF(OR($C$60=$AR47,$D$60=$AR47),Schweine_Werte!$E47*0.5,IF(OR($C$60&gt;$AR47,$D$60&lt;$AR47),0,Schweine_Werte!$E47))</f>
        <v>0</v>
      </c>
      <c r="BC47" s="781">
        <f>IF(OR($C$12=$AR47,$D$12=$AR47),Schweine_Werte!$G47*0.5,IF(OR($C$12&gt;$AR47,$D$12&lt;$AR47),0,Schweine_Werte!$G47))</f>
        <v>0</v>
      </c>
      <c r="BD47" s="716">
        <f>IF(OR($C$24=$AR47,$D$24=$AR47),Schweine_Werte!$G47*0.5,IF(OR($C$24&gt;$AR47,$D$24&lt;$AR47),0,Schweine_Werte!$G47))</f>
        <v>0</v>
      </c>
      <c r="BE47" s="716">
        <f>IF(OR($C$36=$AR47,$D$36=$AR47),Schweine_Werte!$G47*0.5,IF(OR($C$36&gt;$AR47,$D$36&lt;$AR47),0,Schweine_Werte!$G47))</f>
        <v>0</v>
      </c>
      <c r="BF47" s="716">
        <f>IF(OR($C$48=$AR47,$D$48=$AR47),Schweine_Werte!$G47*0.5,IF(OR($C$48&gt;$AR47,$D$48&lt;$AR47),0,Schweine_Werte!$G47))</f>
        <v>0</v>
      </c>
      <c r="BG47" s="716">
        <f>IF(OR($C$60=$AR47,$D$60=$AR47),Schweine_Werte!$G47*0.5,IF(OR($C$60&gt;$AR47,$D$60&lt;$AR47),0,Schweine_Werte!$G47))</f>
        <v>0</v>
      </c>
      <c r="BH47" s="781">
        <f>IF(OR($C$12=$AR47,$D$12=$AR47),Schweine_Werte!$I47*0.5,IF(OR($C$12&gt;$AR47,$D$12&lt;$AR47),0,Schweine_Werte!$I47))</f>
        <v>0</v>
      </c>
      <c r="BI47" s="716">
        <f>IF(OR($C$24=$AR47,$D$24=$AR47),Schweine_Werte!$I47*0.5,IF(OR($C$24&gt;$AR47,$D$24&lt;$AR47),0,Schweine_Werte!$I47))</f>
        <v>0</v>
      </c>
      <c r="BJ47" s="716">
        <f>IF(OR($C$36=$AR47,$D$36=$AR47),Schweine_Werte!$I47*0.5,IF(OR($C$36&gt;$AR47,$D$36&lt;$AR47),0,Schweine_Werte!$I47))</f>
        <v>0</v>
      </c>
      <c r="BK47" s="716">
        <f>IF(OR($C$48=$AR47,$D$48=$AR47),Schweine_Werte!$I47*0.5,IF(OR($C$48&gt;$AR47,$D$48&lt;$AR47),0,Schweine_Werte!$I47))</f>
        <v>0</v>
      </c>
      <c r="BL47" s="716">
        <f>IF(OR($C$60=$AR47,$D$60=$AR47),Schweine_Werte!$I47*0.5,IF(OR($C$60&gt;$AR47,$D$60&lt;$AR47),0,Schweine_Werte!$I47))</f>
        <v>0</v>
      </c>
      <c r="BM47" s="781"/>
      <c r="BN47" s="716"/>
      <c r="BO47" s="716"/>
      <c r="BP47" s="716"/>
      <c r="BQ47" s="716"/>
      <c r="BR47" s="781">
        <f>IF(OR($C$74=$AR47,$D$74=$AR47),Schweine_Werte!$M47*0.5,IF(OR($C$74&gt;$AR47,$D$74&lt;$AR47),0,Schweine_Werte!$M47))</f>
        <v>0</v>
      </c>
      <c r="BS47" s="781">
        <f>IF(OR($C$83=$AR47,$D$83=$AR47),Schweine_Werte!$M47*0.5,IF(OR($C$83&gt;$AR47,$D$83&lt;$AR47),0,Schweine_Werte!$M47))</f>
        <v>0</v>
      </c>
      <c r="BT47" s="783">
        <f>IF(OR($C$92=$AR47,$D$92=$AR47),Schweine_Werte!$M47*0.5,IF(OR($C$92&gt;$AR47,$D$92&lt;$AR47),0,Schweine_Werte!$M47))</f>
        <v>0</v>
      </c>
      <c r="BU47" s="783">
        <f>IF(OR($C$101=$AR47,$D$101=$AR47),Schweine_Werte!$M47*0.5,IF(OR($C$101&gt;$AR47,$D$101&lt;$AR47),0,Schweine_Werte!$M47))</f>
        <v>0</v>
      </c>
      <c r="BV47" s="783">
        <f>IF(OR($C$110=$AR47,$D$110=$AR47),Schweine_Werte!$M47*0.5,IF(OR($C$110&gt;$AR47,$D$110&lt;$AR47),0,Schweine_Werte!$M47))</f>
        <v>0</v>
      </c>
      <c r="BW47" s="783">
        <f>IF(OR(8=$AR47,$E$127=$AR47),Schweine_Werte!$M47*0.5,IF(OR(8&gt;$AR47,$E$127&lt;$AR47),0,Schweine_Werte!$M47))</f>
        <v>1.1948386166644513</v>
      </c>
      <c r="BX47" s="783">
        <f>IF(OR(8=$AR47,$E$145=$AR47),Schweine_Werte!$M47*0.5,IF(OR(8&gt;$AR47,$E$145&lt;$AR47),0,Schweine_Werte!$M47))</f>
        <v>1.1948386166644513</v>
      </c>
      <c r="BY47" s="781">
        <f>IF(OR($C$74=$AR47,$D$74=$AR47),Schweine_Werte!$O47*0.5,IF(OR($C$74&gt;$AR47,$D$74&lt;$AR47),0,Schweine_Werte!$O47))</f>
        <v>0</v>
      </c>
      <c r="BZ47" s="781">
        <f>IF(OR($C$83=$AR47,$D$83=$AR47),Schweine_Werte!$O47*0.5,IF(OR($C$83&gt;$AR47,$D$83&lt;$AR47),0,Schweine_Werte!$O47))</f>
        <v>0</v>
      </c>
      <c r="CA47" s="783">
        <f>IF(OR($C$92=$AR47,$D$92=$AR47),Schweine_Werte!$O47*0.5,IF(OR($C$92&gt;$AR47,$D$92&lt;$AR47),0,Schweine_Werte!$O47))</f>
        <v>0</v>
      </c>
      <c r="CB47" s="783">
        <f>IF(OR($C$101=$AR47,$D$101=$AR47),Schweine_Werte!$O47*0.5,IF(OR($C$101&gt;$AR47,$D$101&lt;$AR47),0,Schweine_Werte!$O47))</f>
        <v>0</v>
      </c>
      <c r="CC47" s="783">
        <f>IF(OR($C$110=$AR47,$D$110=$AR47),Schweine_Werte!$O47*0.5,IF(OR($C$110&gt;$AR47,$D$110&lt;$AR47),0,Schweine_Werte!$O47))</f>
        <v>0</v>
      </c>
    </row>
    <row r="48" spans="1:81" ht="15.75" x14ac:dyDescent="0.2">
      <c r="A48" t="s">
        <v>7776</v>
      </c>
      <c r="B48" s="756" t="str">
        <f>IF('Abweichende Werte'!W8=1,'Abweichende Werte'!F8,"")</f>
        <v/>
      </c>
      <c r="C48" s="666" t="str">
        <f>IF('Abweichende Werte'!W8=1,'Abweichende Werte'!J8,"")</f>
        <v/>
      </c>
      <c r="D48" s="666" t="str">
        <f>IF('Abweichende Werte'!W8=1,'Abweichende Werte'!M8,"")</f>
        <v/>
      </c>
      <c r="E48" s="801" t="str">
        <f>IF('Abweichende Werte'!W8=1,'Abweichende Werte'!P8,"")</f>
        <v/>
      </c>
      <c r="F48" s="789" t="e">
        <f>IF($E48&lt;=$E41,F41,IF(AND($E48&gt;$E41,$E48&lt;=$E42),F41+(F42-F41)/($E42-$E41)*($E48-$E41),IF(AND($E48&gt;$E42,$E48&lt;=$E43),F42+(F43-F42)/($E43-$E42)*($E48-$E42),IF(AND($E48&gt;$E43,$E48&lt;=$E44),F43+(F44-F43)/($E44-$E43)*($E48-$E43),IF($E48&gt;$E44,F44)))))</f>
        <v>#VALUE!</v>
      </c>
      <c r="G48" s="789" t="e">
        <f t="shared" ref="G48:N48" si="25">IF($E48&lt;=$E41,G41,IF(AND($E48&gt;$E41,$E48&lt;=$E42),G41+(G42-G41)/($E42-$E41)*($E48-$E41),IF(AND($E48&gt;$E42,$E48&lt;=$E43),G42+(G43-G42)/($E43-$E42)*($E48-$E42),IF(AND($E48&gt;$E43,$E48&lt;=$E44),G43+(G44-G43)/($E44-$E43)*($E48-$E43),IF($E48&gt;$E44,G44)))))</f>
        <v>#VALUE!</v>
      </c>
      <c r="H48" s="789" t="e">
        <f t="shared" si="25"/>
        <v>#VALUE!</v>
      </c>
      <c r="I48" s="789" t="e">
        <f t="shared" si="25"/>
        <v>#VALUE!</v>
      </c>
      <c r="J48" s="789" t="e">
        <f t="shared" si="25"/>
        <v>#VALUE!</v>
      </c>
      <c r="K48" s="789" t="e">
        <f t="shared" si="25"/>
        <v>#VALUE!</v>
      </c>
      <c r="L48" s="789" t="e">
        <f t="shared" si="25"/>
        <v>#VALUE!</v>
      </c>
      <c r="M48" s="789" t="e">
        <f t="shared" si="25"/>
        <v>#VALUE!</v>
      </c>
      <c r="N48" s="789" t="e">
        <f t="shared" si="25"/>
        <v>#VALUE!</v>
      </c>
      <c r="O48" s="790">
        <v>5.5</v>
      </c>
      <c r="P48" s="790">
        <v>1.8</v>
      </c>
      <c r="Q48" s="789" t="e">
        <f t="shared" ref="Q48:Z48" si="26">IF($E48&lt;=$E41,Q41,IF(AND($E48&gt;$E41,$E48&lt;=$E42),Q41+(Q42-Q41)/($E42-$E41)*($E48-$E41),IF(AND($E48&gt;$E42,$E48&lt;=$E43),Q42+(Q43-Q42)/($E43-$E42)*($E48-$E42),IF(AND($E48&gt;$E43,$E48&lt;=$E44),Q43+(Q44-Q43)/($E44-$E43)*($E48-$E43),IF($E48&gt;$E44,Q44)))))</f>
        <v>#VALUE!</v>
      </c>
      <c r="R48" s="789" t="e">
        <f t="shared" si="26"/>
        <v>#VALUE!</v>
      </c>
      <c r="S48" s="789" t="e">
        <f t="shared" si="26"/>
        <v>#VALUE!</v>
      </c>
      <c r="T48" s="789" t="e">
        <f t="shared" si="26"/>
        <v>#VALUE!</v>
      </c>
      <c r="U48" s="789" t="e">
        <f t="shared" si="26"/>
        <v>#VALUE!</v>
      </c>
      <c r="V48" s="789" t="e">
        <f t="shared" si="26"/>
        <v>#VALUE!</v>
      </c>
      <c r="W48" s="789" t="e">
        <f t="shared" si="26"/>
        <v>#VALUE!</v>
      </c>
      <c r="X48" s="789" t="e">
        <f t="shared" si="26"/>
        <v>#VALUE!</v>
      </c>
      <c r="Y48" s="789" t="e">
        <f t="shared" si="26"/>
        <v>#VALUE!</v>
      </c>
      <c r="Z48" s="789" t="e">
        <f t="shared" si="26"/>
        <v>#VALUE!</v>
      </c>
      <c r="AA48" s="791" t="e">
        <f>+Z48*6.25</f>
        <v>#VALUE!</v>
      </c>
      <c r="AB48" s="789" t="e">
        <f t="shared" ref="AB48" si="27">IF($E48&lt;=$E41,AB41,IF(AND($E48&gt;$E41,$E48&lt;=$E42),AB41+(AB42-AB41)/($E42-$E41)*($E48-$E41),IF(AND($E48&gt;$E42,$E48&lt;=$E43),AB42+(AB43-AB42)/($E43-$E42)*($E48-$E42),IF(AND($E48&gt;$E43,$E48&lt;=$E44),AB43+(AB44-AB43)/($E44-$E43)*($E48-$E43),IF($E48&gt;$E44,AB44)))))</f>
        <v>#VALUE!</v>
      </c>
      <c r="AC48" s="791" t="e">
        <f>+AB48*6.25</f>
        <v>#VALUE!</v>
      </c>
      <c r="AD48" s="789" t="e">
        <f t="shared" ref="AD48" si="28">IF($E48&lt;=$E41,AD41,IF(AND($E48&gt;$E41,$E48&lt;=$E42),AD41+(AD42-AD41)/($E42-$E41)*($E48-$E41),IF(AND($E48&gt;$E42,$E48&lt;=$E43),AD42+(AD43-AD42)/($E43-$E42)*($E48-$E42),IF(AND($E48&gt;$E43,$E48&lt;=$E44),AD43+(AD44-AD43)/($E44-$E43)*($E48-$E43),IF($E48&gt;$E44,AD44)))))</f>
        <v>#VALUE!</v>
      </c>
      <c r="AE48" s="791" t="e">
        <f>+AD48*6.25</f>
        <v>#VALUE!</v>
      </c>
      <c r="AF48" s="791" t="e">
        <f>365/((D48-C48)/E48*1000)</f>
        <v>#VALUE!</v>
      </c>
      <c r="AG48" s="789" t="e">
        <f>IF($E48&lt;=$E41,AG41,IF(AND($E48&gt;$E41,$E48&lt;=$E42),AG41+(AG42-AG41)/($E42-$E41)*($E48-$E41),IF(AND($E48&gt;$E42,$E48&lt;=$E43),AG42+(AG43-AG42)/($E43-$E42)*($E48-$E42),IF(AND($E48&gt;$E43,$E48&lt;=$E44),AG43+(AG44-AG43)/($E44-$E43)*($E48-$E43),IF($E48&gt;$E44,AG44)))))</f>
        <v>#VALUE!</v>
      </c>
      <c r="AH48" s="791" t="e">
        <f>+AG48/AF48</f>
        <v>#VALUE!</v>
      </c>
      <c r="AI48" s="791" t="e">
        <f>+CONCATENATE(ROUND(AH48/(D48-C48),1)," : 1")</f>
        <v>#VALUE!</v>
      </c>
      <c r="AJ48" s="789" t="e">
        <f t="shared" ref="AJ48" si="29">IF($E48&lt;=$E41,AJ41,IF(AND($E48&gt;$E41,$E48&lt;=$E42),AJ41+(AJ42-AJ41)/($E42-$E41)*($E48-$E41),IF(AND($E48&gt;$E42,$E48&lt;=$E43),AJ42+(AJ43-AJ42)/($E43-$E42)*($E48-$E42),IF(AND($E48&gt;$E43,$E48&lt;=$E44),AJ43+(AJ44-AJ43)/($E44-$E43)*($E48-$E43),IF($E48&gt;$E44,AJ44)))))</f>
        <v>#VALUE!</v>
      </c>
      <c r="AK48" s="791" t="e">
        <f>+AJ48/2.291</f>
        <v>#VALUE!</v>
      </c>
      <c r="AL48" s="789" t="e">
        <f t="shared" ref="AL48" si="30">IF($E48&lt;=$E41,AL41,IF(AND($E48&gt;$E41,$E48&lt;=$E42),AL41+(AL42-AL41)/($E42-$E41)*($E48-$E41),IF(AND($E48&gt;$E42,$E48&lt;=$E43),AL42+(AL43-AL42)/($E43-$E42)*($E48-$E42),IF(AND($E48&gt;$E43,$E48&lt;=$E44),AL43+(AL44-AL43)/($E44-$E43)*($E48-$E43),IF($E48&gt;$E44,AL44)))))</f>
        <v>#VALUE!</v>
      </c>
      <c r="AM48" s="791" t="e">
        <f>+AL48/2.291</f>
        <v>#VALUE!</v>
      </c>
      <c r="AN48" s="789" t="e">
        <f t="shared" ref="AN48" si="31">IF($E48&lt;=$E41,AN41,IF(AND($E48&gt;$E41,$E48&lt;=$E42),AN41+(AN42-AN41)/($E42-$E41)*($E48-$E41),IF(AND($E48&gt;$E42,$E48&lt;=$E43),AN42+(AN43-AN42)/($E43-$E42)*($E48-$E42),IF(AND($E48&gt;$E43,$E48&lt;=$E44),AN43+(AN44-AN43)/($E44-$E43)*($E48-$E43),IF($E48&gt;$E44,AN44)))))</f>
        <v>#VALUE!</v>
      </c>
      <c r="AO48" s="791" t="e">
        <f>+AN48/2.291</f>
        <v>#VALUE!</v>
      </c>
      <c r="AR48" s="792">
        <v>52</v>
      </c>
      <c r="AS48" s="781">
        <f>IF(OR($C$12=$AR48,$D$12=$AR48),Schweine_Werte!$C48*0.5,IF(OR($C$12&gt;$AR48,$D$12&lt;$AR48),0,Schweine_Werte!$C48))</f>
        <v>0</v>
      </c>
      <c r="AT48" s="716">
        <f>IF(OR($C$24=$AR48,$D$24=$AR48),Schweine_Werte!$C48*0.5,IF(OR($C$24&gt;$AR48,$D$24&lt;$AR48),0,Schweine_Werte!$C48))</f>
        <v>0</v>
      </c>
      <c r="AU48" s="781">
        <f>IF(OR($C$36=$AR48,$D$36=$AR48),Schweine_Werte!$C48*0.5,IF(OR($C$36&gt;$AR48,$D$36&lt;$AR48),0,Schweine_Werte!$C48))</f>
        <v>0</v>
      </c>
      <c r="AV48" s="781">
        <f>IF(OR($C$48=$AR48,$D$48=$AR48),Schweine_Werte!$C48*0.5,IF(OR($C$48&gt;$AR48,$D$48&lt;$AR48),0,Schweine_Werte!$C48))</f>
        <v>0</v>
      </c>
      <c r="AW48" s="781">
        <f>IF(OR($C$60=$AR48,$D$60=$AR48),Schweine_Werte!$C48*0.5,IF(OR($C$60&gt;$AR48,$D$60&lt;$AR48),0,Schweine_Werte!$C48))</f>
        <v>0</v>
      </c>
      <c r="AX48" s="781">
        <f>IF(OR($C$12=$AR48,$D$12=$AR48),Schweine_Werte!$E48*0.5,IF(OR($C$12&gt;$AR48,$D$12&lt;$AR48),0,Schweine_Werte!$E48))</f>
        <v>0</v>
      </c>
      <c r="AY48" s="716">
        <f>IF(OR($C$24=$AR48,$D$24=$AR48),Schweine_Werte!$E48*0.5,IF(OR($C$24&gt;$AR48,$D$24&lt;$AR48),0,Schweine_Werte!$E48))</f>
        <v>0</v>
      </c>
      <c r="AZ48" s="716">
        <f>IF(OR($C$36=$AR48,$D$36=$AR48),Schweine_Werte!$E48*0.5,IF(OR($C$36&gt;$AR48,$D$36&lt;$AR48),0,Schweine_Werte!$E48))</f>
        <v>0</v>
      </c>
      <c r="BA48" s="716">
        <f>IF(OR($C$48=$AR48,$D$48=$AR48),Schweine_Werte!$E48*0.5,IF(OR($C$48&gt;$AR48,$D$48&lt;$AR48),0,Schweine_Werte!$E48))</f>
        <v>0</v>
      </c>
      <c r="BB48" s="716">
        <f>IF(OR($C$60=$AR48,$D$60=$AR48),Schweine_Werte!$E48*0.5,IF(OR($C$60&gt;$AR48,$D$60&lt;$AR48),0,Schweine_Werte!$E48))</f>
        <v>0</v>
      </c>
      <c r="BC48" s="781">
        <f>IF(OR($C$12=$AR48,$D$12=$AR48),Schweine_Werte!$G48*0.5,IF(OR($C$12&gt;$AR48,$D$12&lt;$AR48),0,Schweine_Werte!$G48))</f>
        <v>0</v>
      </c>
      <c r="BD48" s="716">
        <f>IF(OR($C$24=$AR48,$D$24=$AR48),Schweine_Werte!$G48*0.5,IF(OR($C$24&gt;$AR48,$D$24&lt;$AR48),0,Schweine_Werte!$G48))</f>
        <v>0</v>
      </c>
      <c r="BE48" s="716">
        <f>IF(OR($C$36=$AR48,$D$36=$AR48),Schweine_Werte!$G48*0.5,IF(OR($C$36&gt;$AR48,$D$36&lt;$AR48),0,Schweine_Werte!$G48))</f>
        <v>0</v>
      </c>
      <c r="BF48" s="716">
        <f>IF(OR($C$48=$AR48,$D$48=$AR48),Schweine_Werte!$G48*0.5,IF(OR($C$48&gt;$AR48,$D$48&lt;$AR48),0,Schweine_Werte!$G48))</f>
        <v>0</v>
      </c>
      <c r="BG48" s="716">
        <f>IF(OR($C$60=$AR48,$D$60=$AR48),Schweine_Werte!$G48*0.5,IF(OR($C$60&gt;$AR48,$D$60&lt;$AR48),0,Schweine_Werte!$G48))</f>
        <v>0</v>
      </c>
      <c r="BH48" s="781">
        <f>IF(OR($C$12=$AR48,$D$12=$AR48),Schweine_Werte!$I48*0.5,IF(OR($C$12&gt;$AR48,$D$12&lt;$AR48),0,Schweine_Werte!$I48))</f>
        <v>0</v>
      </c>
      <c r="BI48" s="716">
        <f>IF(OR($C$24=$AR48,$D$24=$AR48),Schweine_Werte!$I48*0.5,IF(OR($C$24&gt;$AR48,$D$24&lt;$AR48),0,Schweine_Werte!$I48))</f>
        <v>0</v>
      </c>
      <c r="BJ48" s="716">
        <f>IF(OR($C$36=$AR48,$D$36=$AR48),Schweine_Werte!$I48*0.5,IF(OR($C$36&gt;$AR48,$D$36&lt;$AR48),0,Schweine_Werte!$I48))</f>
        <v>0</v>
      </c>
      <c r="BK48" s="716">
        <f>IF(OR($C$48=$AR48,$D$48=$AR48),Schweine_Werte!$I48*0.5,IF(OR($C$48&gt;$AR48,$D$48&lt;$AR48),0,Schweine_Werte!$I48))</f>
        <v>0</v>
      </c>
      <c r="BL48" s="716">
        <f>IF(OR($C$60=$AR48,$D$60=$AR48),Schweine_Werte!$I48*0.5,IF(OR($C$60&gt;$AR48,$D$60&lt;$AR48),0,Schweine_Werte!$I48))</f>
        <v>0</v>
      </c>
      <c r="BM48" s="781"/>
      <c r="BN48" s="716"/>
      <c r="BO48" s="716"/>
      <c r="BP48" s="716"/>
      <c r="BQ48" s="716"/>
      <c r="BR48" s="781">
        <f>IF(OR($C$74=$AR48,$D$74=$AR48),Schweine_Werte!$M48*0.5,IF(OR($C$74&gt;$AR48,$D$74&lt;$AR48),0,Schweine_Werte!$M48))</f>
        <v>0</v>
      </c>
      <c r="BS48" s="781">
        <f>IF(OR($C$83=$AR48,$D$83=$AR48),Schweine_Werte!$M48*0.5,IF(OR($C$83&gt;$AR48,$D$83&lt;$AR48),0,Schweine_Werte!$M48))</f>
        <v>0</v>
      </c>
      <c r="BT48" s="783">
        <f>IF(OR($C$92=$AR48,$D$92=$AR48),Schweine_Werte!$M48*0.5,IF(OR($C$92&gt;$AR48,$D$92&lt;$AR48),0,Schweine_Werte!$M48))</f>
        <v>0</v>
      </c>
      <c r="BU48" s="783">
        <f>IF(OR($C$101=$AR48,$D$101=$AR48),Schweine_Werte!$M48*0.5,IF(OR($C$101&gt;$AR48,$D$101&lt;$AR48),0,Schweine_Werte!$M48))</f>
        <v>0</v>
      </c>
      <c r="BV48" s="783">
        <f>IF(OR($C$110=$AR48,$D$110=$AR48),Schweine_Werte!$M48*0.5,IF(OR($C$110&gt;$AR48,$D$110&lt;$AR48),0,Schweine_Werte!$M48))</f>
        <v>0</v>
      </c>
      <c r="BW48" s="783">
        <f>IF(OR(8=$AR48,$E$127=$AR48),Schweine_Werte!$M48*0.5,IF(OR(8&gt;$AR48,$E$127&lt;$AR48),0,Schweine_Werte!$M48))</f>
        <v>1.1860362423184319</v>
      </c>
      <c r="BX48" s="783">
        <f>IF(OR(8=$AR48,$E$145=$AR48),Schweine_Werte!$M48*0.5,IF(OR(8&gt;$AR48,$E$145&lt;$AR48),0,Schweine_Werte!$M48))</f>
        <v>1.1860362423184319</v>
      </c>
      <c r="BY48" s="781">
        <f>IF(OR($C$74=$AR48,$D$74=$AR48),Schweine_Werte!$O48*0.5,IF(OR($C$74&gt;$AR48,$D$74&lt;$AR48),0,Schweine_Werte!$O48))</f>
        <v>0</v>
      </c>
      <c r="BZ48" s="781">
        <f>IF(OR($C$83=$AR48,$D$83=$AR48),Schweine_Werte!$O48*0.5,IF(OR($C$83&gt;$AR48,$D$83&lt;$AR48),0,Schweine_Werte!$O48))</f>
        <v>0</v>
      </c>
      <c r="CA48" s="783">
        <f>IF(OR($C$92=$AR48,$D$92=$AR48),Schweine_Werte!$O48*0.5,IF(OR($C$92&gt;$AR48,$D$92&lt;$AR48),0,Schweine_Werte!$O48))</f>
        <v>0</v>
      </c>
      <c r="CB48" s="783">
        <f>IF(OR($C$101=$AR48,$D$101=$AR48),Schweine_Werte!$O48*0.5,IF(OR($C$101&gt;$AR48,$D$101&lt;$AR48),0,Schweine_Werte!$O48))</f>
        <v>0</v>
      </c>
      <c r="CC48" s="783">
        <f>IF(OR($C$110=$AR48,$D$110=$AR48),Schweine_Werte!$O48*0.5,IF(OR($C$110&gt;$AR48,$D$110&lt;$AR48),0,Schweine_Werte!$O48))</f>
        <v>0</v>
      </c>
    </row>
    <row r="49" spans="1:81" x14ac:dyDescent="0.2">
      <c r="AR49" s="792">
        <v>53</v>
      </c>
      <c r="AS49" s="781">
        <f>IF(OR($C$12=$AR49,$D$12=$AR49),Schweine_Werte!$C49*0.5,IF(OR($C$12&gt;$AR49,$D$12&lt;$AR49),0,Schweine_Werte!$C49))</f>
        <v>0</v>
      </c>
      <c r="AT49" s="716">
        <f>IF(OR($C$24=$AR49,$D$24=$AR49),Schweine_Werte!$C49*0.5,IF(OR($C$24&gt;$AR49,$D$24&lt;$AR49),0,Schweine_Werte!$C49))</f>
        <v>0</v>
      </c>
      <c r="AU49" s="781">
        <f>IF(OR($C$36=$AR49,$D$36=$AR49),Schweine_Werte!$C49*0.5,IF(OR($C$36&gt;$AR49,$D$36&lt;$AR49),0,Schweine_Werte!$C49))</f>
        <v>0</v>
      </c>
      <c r="AV49" s="781">
        <f>IF(OR($C$48=$AR49,$D$48=$AR49),Schweine_Werte!$C49*0.5,IF(OR($C$48&gt;$AR49,$D$48&lt;$AR49),0,Schweine_Werte!$C49))</f>
        <v>0</v>
      </c>
      <c r="AW49" s="781">
        <f>IF(OR($C$60=$AR49,$D$60=$AR49),Schweine_Werte!$C49*0.5,IF(OR($C$60&gt;$AR49,$D$60&lt;$AR49),0,Schweine_Werte!$C49))</f>
        <v>0</v>
      </c>
      <c r="AX49" s="781">
        <f>IF(OR($C$12=$AR49,$D$12=$AR49),Schweine_Werte!$E49*0.5,IF(OR($C$12&gt;$AR49,$D$12&lt;$AR49),0,Schweine_Werte!$E49))</f>
        <v>0</v>
      </c>
      <c r="AY49" s="716">
        <f>IF(OR($C$24=$AR49,$D$24=$AR49),Schweine_Werte!$E49*0.5,IF(OR($C$24&gt;$AR49,$D$24&lt;$AR49),0,Schweine_Werte!$E49))</f>
        <v>0</v>
      </c>
      <c r="AZ49" s="716">
        <f>IF(OR($C$36=$AR49,$D$36=$AR49),Schweine_Werte!$E49*0.5,IF(OR($C$36&gt;$AR49,$D$36&lt;$AR49),0,Schweine_Werte!$E49))</f>
        <v>0</v>
      </c>
      <c r="BA49" s="716">
        <f>IF(OR($C$48=$AR49,$D$48=$AR49),Schweine_Werte!$E49*0.5,IF(OR($C$48&gt;$AR49,$D$48&lt;$AR49),0,Schweine_Werte!$E49))</f>
        <v>0</v>
      </c>
      <c r="BB49" s="716">
        <f>IF(OR($C$60=$AR49,$D$60=$AR49),Schweine_Werte!$E49*0.5,IF(OR($C$60&gt;$AR49,$D$60&lt;$AR49),0,Schweine_Werte!$E49))</f>
        <v>0</v>
      </c>
      <c r="BC49" s="781">
        <f>IF(OR($C$12=$AR49,$D$12=$AR49),Schweine_Werte!$G49*0.5,IF(OR($C$12&gt;$AR49,$D$12&lt;$AR49),0,Schweine_Werte!$G49))</f>
        <v>0</v>
      </c>
      <c r="BD49" s="716">
        <f>IF(OR($C$24=$AR49,$D$24=$AR49),Schweine_Werte!$G49*0.5,IF(OR($C$24&gt;$AR49,$D$24&lt;$AR49),0,Schweine_Werte!$G49))</f>
        <v>0</v>
      </c>
      <c r="BE49" s="716">
        <f>IF(OR($C$36=$AR49,$D$36=$AR49),Schweine_Werte!$G49*0.5,IF(OR($C$36&gt;$AR49,$D$36&lt;$AR49),0,Schweine_Werte!$G49))</f>
        <v>0</v>
      </c>
      <c r="BF49" s="716">
        <f>IF(OR($C$48=$AR49,$D$48=$AR49),Schweine_Werte!$G49*0.5,IF(OR($C$48&gt;$AR49,$D$48&lt;$AR49),0,Schweine_Werte!$G49))</f>
        <v>0</v>
      </c>
      <c r="BG49" s="716">
        <f>IF(OR($C$60=$AR49,$D$60=$AR49),Schweine_Werte!$G49*0.5,IF(OR($C$60&gt;$AR49,$D$60&lt;$AR49),0,Schweine_Werte!$G49))</f>
        <v>0</v>
      </c>
      <c r="BH49" s="781">
        <f>IF(OR($C$12=$AR49,$D$12=$AR49),Schweine_Werte!$I49*0.5,IF(OR($C$12&gt;$AR49,$D$12&lt;$AR49),0,Schweine_Werte!$I49))</f>
        <v>0</v>
      </c>
      <c r="BI49" s="716">
        <f>IF(OR($C$24=$AR49,$D$24=$AR49),Schweine_Werte!$I49*0.5,IF(OR($C$24&gt;$AR49,$D$24&lt;$AR49),0,Schweine_Werte!$I49))</f>
        <v>0</v>
      </c>
      <c r="BJ49" s="716">
        <f>IF(OR($C$36=$AR49,$D$36=$AR49),Schweine_Werte!$I49*0.5,IF(OR($C$36&gt;$AR49,$D$36&lt;$AR49),0,Schweine_Werte!$I49))</f>
        <v>0</v>
      </c>
      <c r="BK49" s="716">
        <f>IF(OR($C$48=$AR49,$D$48=$AR49),Schweine_Werte!$I49*0.5,IF(OR($C$48&gt;$AR49,$D$48&lt;$AR49),0,Schweine_Werte!$I49))</f>
        <v>0</v>
      </c>
      <c r="BL49" s="716">
        <f>IF(OR($C$60=$AR49,$D$60=$AR49),Schweine_Werte!$I49*0.5,IF(OR($C$60&gt;$AR49,$D$60&lt;$AR49),0,Schweine_Werte!$I49))</f>
        <v>0</v>
      </c>
      <c r="BM49" s="781"/>
      <c r="BN49" s="716"/>
      <c r="BO49" s="716"/>
      <c r="BP49" s="716"/>
      <c r="BQ49" s="716"/>
      <c r="BR49" s="781">
        <f>IF(OR($C$74=$AR49,$D$74=$AR49),Schweine_Werte!$M49*0.5,IF(OR($C$74&gt;$AR49,$D$74&lt;$AR49),0,Schweine_Werte!$M49))</f>
        <v>0</v>
      </c>
      <c r="BS49" s="781">
        <f>IF(OR($C$83=$AR49,$D$83=$AR49),Schweine_Werte!$M49*0.5,IF(OR($C$83&gt;$AR49,$D$83&lt;$AR49),0,Schweine_Werte!$M49))</f>
        <v>0</v>
      </c>
      <c r="BT49" s="783">
        <f>IF(OR($C$92=$AR49,$D$92=$AR49),Schweine_Werte!$M49*0.5,IF(OR($C$92&gt;$AR49,$D$92&lt;$AR49),0,Schweine_Werte!$M49))</f>
        <v>0</v>
      </c>
      <c r="BU49" s="783">
        <f>IF(OR($C$101=$AR49,$D$101=$AR49),Schweine_Werte!$M49*0.5,IF(OR($C$101&gt;$AR49,$D$101&lt;$AR49),0,Schweine_Werte!$M49))</f>
        <v>0</v>
      </c>
      <c r="BV49" s="783">
        <f>IF(OR($C$110=$AR49,$D$110=$AR49),Schweine_Werte!$M49*0.5,IF(OR($C$110&gt;$AR49,$D$110&lt;$AR49),0,Schweine_Werte!$M49))</f>
        <v>0</v>
      </c>
      <c r="BW49" s="783">
        <f>IF(OR(8=$AR49,$E$127=$AR49),Schweine_Werte!$M49*0.5,IF(OR(8&gt;$AR49,$E$127&lt;$AR49),0,Schweine_Werte!$M49))</f>
        <v>1.1777710211960304</v>
      </c>
      <c r="BX49" s="783">
        <f>IF(OR(8=$AR49,$E$145=$AR49),Schweine_Werte!$M49*0.5,IF(OR(8&gt;$AR49,$E$145&lt;$AR49),0,Schweine_Werte!$M49))</f>
        <v>1.1777710211960304</v>
      </c>
      <c r="BY49" s="781">
        <f>IF(OR($C$74=$AR49,$D$74=$AR49),Schweine_Werte!$O49*0.5,IF(OR($C$74&gt;$AR49,$D$74&lt;$AR49),0,Schweine_Werte!$O49))</f>
        <v>0</v>
      </c>
      <c r="BZ49" s="781">
        <f>IF(OR($C$83=$AR49,$D$83=$AR49),Schweine_Werte!$O49*0.5,IF(OR($C$83&gt;$AR49,$D$83&lt;$AR49),0,Schweine_Werte!$O49))</f>
        <v>0</v>
      </c>
      <c r="CA49" s="783">
        <f>IF(OR($C$92=$AR49,$D$92=$AR49),Schweine_Werte!$O49*0.5,IF(OR($C$92&gt;$AR49,$D$92&lt;$AR49),0,Schweine_Werte!$O49))</f>
        <v>0</v>
      </c>
      <c r="CB49" s="783">
        <f>IF(OR($C$101=$AR49,$D$101=$AR49),Schweine_Werte!$O49*0.5,IF(OR($C$101&gt;$AR49,$D$101&lt;$AR49),0,Schweine_Werte!$O49))</f>
        <v>0</v>
      </c>
      <c r="CC49" s="783">
        <f>IF(OR($C$110=$AR49,$D$110=$AR49),Schweine_Werte!$O49*0.5,IF(OR($C$110&gt;$AR49,$D$110&lt;$AR49),0,Schweine_Werte!$O49))</f>
        <v>0</v>
      </c>
    </row>
    <row r="50" spans="1:81" ht="18.75" x14ac:dyDescent="0.3">
      <c r="H50" s="770"/>
      <c r="I50" s="770"/>
      <c r="L50" s="804"/>
      <c r="W50" s="1587" t="s">
        <v>7662</v>
      </c>
      <c r="X50" s="1587"/>
      <c r="Y50" s="1587"/>
      <c r="AR50" s="792">
        <v>54</v>
      </c>
      <c r="AS50" s="781">
        <f>IF(OR($C$12=$AR50,$D$12=$AR50),Schweine_Werte!$C50*0.5,IF(OR($C$12&gt;$AR50,$D$12&lt;$AR50),0,Schweine_Werte!$C50))</f>
        <v>0</v>
      </c>
      <c r="AT50" s="716">
        <f>IF(OR($C$24=$AR50,$D$24=$AR50),Schweine_Werte!$C50*0.5,IF(OR($C$24&gt;$AR50,$D$24&lt;$AR50),0,Schweine_Werte!$C50))</f>
        <v>0</v>
      </c>
      <c r="AU50" s="781">
        <f>IF(OR($C$36=$AR50,$D$36=$AR50),Schweine_Werte!$C50*0.5,IF(OR($C$36&gt;$AR50,$D$36&lt;$AR50),0,Schweine_Werte!$C50))</f>
        <v>0</v>
      </c>
      <c r="AV50" s="781">
        <f>IF(OR($C$48=$AR50,$D$48=$AR50),Schweine_Werte!$C50*0.5,IF(OR($C$48&gt;$AR50,$D$48&lt;$AR50),0,Schweine_Werte!$C50))</f>
        <v>0</v>
      </c>
      <c r="AW50" s="781">
        <f>IF(OR($C$60=$AR50,$D$60=$AR50),Schweine_Werte!$C50*0.5,IF(OR($C$60&gt;$AR50,$D$60&lt;$AR50),0,Schweine_Werte!$C50))</f>
        <v>0</v>
      </c>
      <c r="AX50" s="781">
        <f>IF(OR($C$12=$AR50,$D$12=$AR50),Schweine_Werte!$E50*0.5,IF(OR($C$12&gt;$AR50,$D$12&lt;$AR50),0,Schweine_Werte!$E50))</f>
        <v>0</v>
      </c>
      <c r="AY50" s="716">
        <f>IF(OR($C$24=$AR50,$D$24=$AR50),Schweine_Werte!$E50*0.5,IF(OR($C$24&gt;$AR50,$D$24&lt;$AR50),0,Schweine_Werte!$E50))</f>
        <v>0</v>
      </c>
      <c r="AZ50" s="716">
        <f>IF(OR($C$36=$AR50,$D$36=$AR50),Schweine_Werte!$E50*0.5,IF(OR($C$36&gt;$AR50,$D$36&lt;$AR50),0,Schweine_Werte!$E50))</f>
        <v>0</v>
      </c>
      <c r="BA50" s="716">
        <f>IF(OR($C$48=$AR50,$D$48=$AR50),Schweine_Werte!$E50*0.5,IF(OR($C$48&gt;$AR50,$D$48&lt;$AR50),0,Schweine_Werte!$E50))</f>
        <v>0</v>
      </c>
      <c r="BB50" s="716">
        <f>IF(OR($C$60=$AR50,$D$60=$AR50),Schweine_Werte!$E50*0.5,IF(OR($C$60&gt;$AR50,$D$60&lt;$AR50),0,Schweine_Werte!$E50))</f>
        <v>0</v>
      </c>
      <c r="BC50" s="781">
        <f>IF(OR($C$12=$AR50,$D$12=$AR50),Schweine_Werte!$G50*0.5,IF(OR($C$12&gt;$AR50,$D$12&lt;$AR50),0,Schweine_Werte!$G50))</f>
        <v>0</v>
      </c>
      <c r="BD50" s="716">
        <f>IF(OR($C$24=$AR50,$D$24=$AR50),Schweine_Werte!$G50*0.5,IF(OR($C$24&gt;$AR50,$D$24&lt;$AR50),0,Schweine_Werte!$G50))</f>
        <v>0</v>
      </c>
      <c r="BE50" s="716">
        <f>IF(OR($C$36=$AR50,$D$36=$AR50),Schweine_Werte!$G50*0.5,IF(OR($C$36&gt;$AR50,$D$36&lt;$AR50),0,Schweine_Werte!$G50))</f>
        <v>0</v>
      </c>
      <c r="BF50" s="716">
        <f>IF(OR($C$48=$AR50,$D$48=$AR50),Schweine_Werte!$G50*0.5,IF(OR($C$48&gt;$AR50,$D$48&lt;$AR50),0,Schweine_Werte!$G50))</f>
        <v>0</v>
      </c>
      <c r="BG50" s="716">
        <f>IF(OR($C$60=$AR50,$D$60=$AR50),Schweine_Werte!$G50*0.5,IF(OR($C$60&gt;$AR50,$D$60&lt;$AR50),0,Schweine_Werte!$G50))</f>
        <v>0</v>
      </c>
      <c r="BH50" s="781">
        <f>IF(OR($C$12=$AR50,$D$12=$AR50),Schweine_Werte!$I50*0.5,IF(OR($C$12&gt;$AR50,$D$12&lt;$AR50),0,Schweine_Werte!$I50))</f>
        <v>0</v>
      </c>
      <c r="BI50" s="716">
        <f>IF(OR($C$24=$AR50,$D$24=$AR50),Schweine_Werte!$I50*0.5,IF(OR($C$24&gt;$AR50,$D$24&lt;$AR50),0,Schweine_Werte!$I50))</f>
        <v>0</v>
      </c>
      <c r="BJ50" s="716">
        <f>IF(OR($C$36=$AR50,$D$36=$AR50),Schweine_Werte!$I50*0.5,IF(OR($C$36&gt;$AR50,$D$36&lt;$AR50),0,Schweine_Werte!$I50))</f>
        <v>0</v>
      </c>
      <c r="BK50" s="716">
        <f>IF(OR($C$48=$AR50,$D$48=$AR50),Schweine_Werte!$I50*0.5,IF(OR($C$48&gt;$AR50,$D$48&lt;$AR50),0,Schweine_Werte!$I50))</f>
        <v>0</v>
      </c>
      <c r="BL50" s="716">
        <f>IF(OR($C$60=$AR50,$D$60=$AR50),Schweine_Werte!$I50*0.5,IF(OR($C$60&gt;$AR50,$D$60&lt;$AR50),0,Schweine_Werte!$I50))</f>
        <v>0</v>
      </c>
      <c r="BM50" s="781"/>
      <c r="BN50" s="716"/>
      <c r="BO50" s="716"/>
      <c r="BP50" s="716"/>
      <c r="BQ50" s="716"/>
      <c r="BR50" s="781">
        <f>IF(OR($C$74=$AR50,$D$74=$AR50),Schweine_Werte!$M50*0.5,IF(OR($C$74&gt;$AR50,$D$74&lt;$AR50),0,Schweine_Werte!$M50))</f>
        <v>0</v>
      </c>
      <c r="BS50" s="781">
        <f>IF(OR($C$83=$AR50,$D$83=$AR50),Schweine_Werte!$M50*0.5,IF(OR($C$83&gt;$AR50,$D$83&lt;$AR50),0,Schweine_Werte!$M50))</f>
        <v>0</v>
      </c>
      <c r="BT50" s="783">
        <f>IF(OR($C$92=$AR50,$D$92=$AR50),Schweine_Werte!$M50*0.5,IF(OR($C$92&gt;$AR50,$D$92&lt;$AR50),0,Schweine_Werte!$M50))</f>
        <v>0</v>
      </c>
      <c r="BU50" s="783">
        <f>IF(OR($C$101=$AR50,$D$101=$AR50),Schweine_Werte!$M50*0.5,IF(OR($C$101&gt;$AR50,$D$101&lt;$AR50),0,Schweine_Werte!$M50))</f>
        <v>0</v>
      </c>
      <c r="BV50" s="783">
        <f>IF(OR($C$110=$AR50,$D$110=$AR50),Schweine_Werte!$M50*0.5,IF(OR($C$110&gt;$AR50,$D$110&lt;$AR50),0,Schweine_Werte!$M50))</f>
        <v>0</v>
      </c>
      <c r="BW50" s="783">
        <f>IF(OR(8=$AR50,$E$127=$AR50),Schweine_Werte!$M50*0.5,IF(OR(8&gt;$AR50,$E$127&lt;$AR50),0,Schweine_Werte!$M50))</f>
        <v>1.1700235746422327</v>
      </c>
      <c r="BX50" s="783">
        <f>IF(OR(8=$AR50,$E$145=$AR50),Schweine_Werte!$M50*0.5,IF(OR(8&gt;$AR50,$E$145&lt;$AR50),0,Schweine_Werte!$M50))</f>
        <v>1.1700235746422327</v>
      </c>
      <c r="BY50" s="781">
        <f>IF(OR($C$74=$AR50,$D$74=$AR50),Schweine_Werte!$O50*0.5,IF(OR($C$74&gt;$AR50,$D$74&lt;$AR50),0,Schweine_Werte!$O50))</f>
        <v>0</v>
      </c>
      <c r="BZ50" s="781">
        <f>IF(OR($C$83=$AR50,$D$83=$AR50),Schweine_Werte!$O50*0.5,IF(OR($C$83&gt;$AR50,$D$83&lt;$AR50),0,Schweine_Werte!$O50))</f>
        <v>0</v>
      </c>
      <c r="CA50" s="783">
        <f>IF(OR($C$92=$AR50,$D$92=$AR50),Schweine_Werte!$O50*0.5,IF(OR($C$92&gt;$AR50,$D$92&lt;$AR50),0,Schweine_Werte!$O50))</f>
        <v>0</v>
      </c>
      <c r="CB50" s="783">
        <f>IF(OR($C$101=$AR50,$D$101=$AR50),Schweine_Werte!$O50*0.5,IF(OR($C$101&gt;$AR50,$D$101&lt;$AR50),0,Schweine_Werte!$O50))</f>
        <v>0</v>
      </c>
      <c r="CC50" s="783">
        <f>IF(OR($C$110=$AR50,$D$110=$AR50),Schweine_Werte!$O50*0.5,IF(OR($C$110&gt;$AR50,$D$110&lt;$AR50),0,Schweine_Werte!$O50))</f>
        <v>0</v>
      </c>
    </row>
    <row r="51" spans="1:81" ht="18.75" x14ac:dyDescent="0.3">
      <c r="B51" s="774"/>
      <c r="C51" s="774"/>
      <c r="D51" s="774"/>
      <c r="E51" s="774"/>
      <c r="F51" s="774"/>
      <c r="G51" s="774"/>
      <c r="H51" s="775"/>
      <c r="L51" t="s">
        <v>253</v>
      </c>
      <c r="Q51" s="1587" t="s">
        <v>7768</v>
      </c>
      <c r="R51" s="1587"/>
      <c r="S51" s="1587"/>
      <c r="T51" s="1587" t="s">
        <v>7769</v>
      </c>
      <c r="U51" s="1587"/>
      <c r="V51" s="1587"/>
      <c r="W51" t="s">
        <v>7675</v>
      </c>
      <c r="X51" t="s">
        <v>7676</v>
      </c>
      <c r="Y51" t="s">
        <v>7677</v>
      </c>
      <c r="Z51" t="s">
        <v>7770</v>
      </c>
      <c r="AG51" t="s">
        <v>7771</v>
      </c>
      <c r="AJ51" t="s">
        <v>7772</v>
      </c>
      <c r="AR51" s="792">
        <v>55</v>
      </c>
      <c r="AS51" s="781">
        <f>IF(OR($C$12=$AR51,$D$12=$AR51),Schweine_Werte!$C51*0.5,IF(OR($C$12&gt;$AR51,$D$12&lt;$AR51),0,Schweine_Werte!$C51))</f>
        <v>0</v>
      </c>
      <c r="AT51" s="716">
        <f>IF(OR($C$24=$AR51,$D$24=$AR51),Schweine_Werte!$C51*0.5,IF(OR($C$24&gt;$AR51,$D$24&lt;$AR51),0,Schweine_Werte!$C51))</f>
        <v>0</v>
      </c>
      <c r="AU51" s="781">
        <f>IF(OR($C$36=$AR51,$D$36=$AR51),Schweine_Werte!$C51*0.5,IF(OR($C$36&gt;$AR51,$D$36&lt;$AR51),0,Schweine_Werte!$C51))</f>
        <v>0</v>
      </c>
      <c r="AV51" s="781">
        <f>IF(OR($C$48=$AR51,$D$48=$AR51),Schweine_Werte!$C51*0.5,IF(OR($C$48&gt;$AR51,$D$48&lt;$AR51),0,Schweine_Werte!$C51))</f>
        <v>0</v>
      </c>
      <c r="AW51" s="781">
        <f>IF(OR($C$60=$AR51,$D$60=$AR51),Schweine_Werte!$C51*0.5,IF(OR($C$60&gt;$AR51,$D$60&lt;$AR51),0,Schweine_Werte!$C51))</f>
        <v>0</v>
      </c>
      <c r="AX51" s="781">
        <f>IF(OR($C$12=$AR51,$D$12=$AR51),Schweine_Werte!$E51*0.5,IF(OR($C$12&gt;$AR51,$D$12&lt;$AR51),0,Schweine_Werte!$E51))</f>
        <v>0</v>
      </c>
      <c r="AY51" s="716">
        <f>IF(OR($C$24=$AR51,$D$24=$AR51),Schweine_Werte!$E51*0.5,IF(OR($C$24&gt;$AR51,$D$24&lt;$AR51),0,Schweine_Werte!$E51))</f>
        <v>0</v>
      </c>
      <c r="AZ51" s="716">
        <f>IF(OR($C$36=$AR51,$D$36=$AR51),Schweine_Werte!$E51*0.5,IF(OR($C$36&gt;$AR51,$D$36&lt;$AR51),0,Schweine_Werte!$E51))</f>
        <v>0</v>
      </c>
      <c r="BA51" s="716">
        <f>IF(OR($C$48=$AR51,$D$48=$AR51),Schweine_Werte!$E51*0.5,IF(OR($C$48&gt;$AR51,$D$48&lt;$AR51),0,Schweine_Werte!$E51))</f>
        <v>0</v>
      </c>
      <c r="BB51" s="716">
        <f>IF(OR($C$60=$AR51,$D$60=$AR51),Schweine_Werte!$E51*0.5,IF(OR($C$60&gt;$AR51,$D$60&lt;$AR51),0,Schweine_Werte!$E51))</f>
        <v>0</v>
      </c>
      <c r="BC51" s="781">
        <f>IF(OR($C$12=$AR51,$D$12=$AR51),Schweine_Werte!$G51*0.5,IF(OR($C$12&gt;$AR51,$D$12&lt;$AR51),0,Schweine_Werte!$G51))</f>
        <v>0</v>
      </c>
      <c r="BD51" s="716">
        <f>IF(OR($C$24=$AR51,$D$24=$AR51),Schweine_Werte!$G51*0.5,IF(OR($C$24&gt;$AR51,$D$24&lt;$AR51),0,Schweine_Werte!$G51))</f>
        <v>0</v>
      </c>
      <c r="BE51" s="716">
        <f>IF(OR($C$36=$AR51,$D$36=$AR51),Schweine_Werte!$G51*0.5,IF(OR($C$36&gt;$AR51,$D$36&lt;$AR51),0,Schweine_Werte!$G51))</f>
        <v>0</v>
      </c>
      <c r="BF51" s="716">
        <f>IF(OR($C$48=$AR51,$D$48=$AR51),Schweine_Werte!$G51*0.5,IF(OR($C$48&gt;$AR51,$D$48&lt;$AR51),0,Schweine_Werte!$G51))</f>
        <v>0</v>
      </c>
      <c r="BG51" s="716">
        <f>IF(OR($C$60=$AR51,$D$60=$AR51),Schweine_Werte!$G51*0.5,IF(OR($C$60&gt;$AR51,$D$60&lt;$AR51),0,Schweine_Werte!$G51))</f>
        <v>0</v>
      </c>
      <c r="BH51" s="781">
        <f>IF(OR($C$12=$AR51,$D$12=$AR51),Schweine_Werte!$I51*0.5,IF(OR($C$12&gt;$AR51,$D$12&lt;$AR51),0,Schweine_Werte!$I51))</f>
        <v>0</v>
      </c>
      <c r="BI51" s="716">
        <f>IF(OR($C$24=$AR51,$D$24=$AR51),Schweine_Werte!$I51*0.5,IF(OR($C$24&gt;$AR51,$D$24&lt;$AR51),0,Schweine_Werte!$I51))</f>
        <v>0</v>
      </c>
      <c r="BJ51" s="716">
        <f>IF(OR($C$36=$AR51,$D$36=$AR51),Schweine_Werte!$I51*0.5,IF(OR($C$36&gt;$AR51,$D$36&lt;$AR51),0,Schweine_Werte!$I51))</f>
        <v>0</v>
      </c>
      <c r="BK51" s="716">
        <f>IF(OR($C$48=$AR51,$D$48=$AR51),Schweine_Werte!$I51*0.5,IF(OR($C$48&gt;$AR51,$D$48&lt;$AR51),0,Schweine_Werte!$I51))</f>
        <v>0</v>
      </c>
      <c r="BL51" s="716">
        <f>IF(OR($C$60=$AR51,$D$60=$AR51),Schweine_Werte!$I51*0.5,IF(OR($C$60&gt;$AR51,$D$60&lt;$AR51),0,Schweine_Werte!$I51))</f>
        <v>0</v>
      </c>
      <c r="BM51" s="781"/>
      <c r="BN51" s="716"/>
      <c r="BO51" s="716"/>
      <c r="BP51" s="716"/>
      <c r="BQ51" s="716"/>
      <c r="BR51" s="781">
        <f>IF(OR($C$74=$AR51,$D$74=$AR51),Schweine_Werte!$M51*0.5,IF(OR($C$74&gt;$AR51,$D$74&lt;$AR51),0,Schweine_Werte!$M51))</f>
        <v>0</v>
      </c>
      <c r="BS51" s="781">
        <f>IF(OR($C$83=$AR51,$D$83=$AR51),Schweine_Werte!$M51*0.5,IF(OR($C$83&gt;$AR51,$D$83&lt;$AR51),0,Schweine_Werte!$M51))</f>
        <v>0</v>
      </c>
      <c r="BT51" s="783">
        <f>IF(OR($C$92=$AR51,$D$92=$AR51),Schweine_Werte!$M51*0.5,IF(OR($C$92&gt;$AR51,$D$92&lt;$AR51),0,Schweine_Werte!$M51))</f>
        <v>0</v>
      </c>
      <c r="BU51" s="783">
        <f>IF(OR($C$101=$AR51,$D$101=$AR51),Schweine_Werte!$M51*0.5,IF(OR($C$101&gt;$AR51,$D$101&lt;$AR51),0,Schweine_Werte!$M51))</f>
        <v>0</v>
      </c>
      <c r="BV51" s="783">
        <f>IF(OR($C$110=$AR51,$D$110=$AR51),Schweine_Werte!$M51*0.5,IF(OR($C$110&gt;$AR51,$D$110&lt;$AR51),0,Schweine_Werte!$M51))</f>
        <v>0</v>
      </c>
      <c r="BW51" s="783">
        <f>IF(OR(8=$AR51,$E$127=$AR51),Schweine_Werte!$M51*0.5,IF(OR(8&gt;$AR51,$E$127&lt;$AR51),0,Schweine_Werte!$M51))</f>
        <v>1.1627760843022101</v>
      </c>
      <c r="BX51" s="783">
        <f>IF(OR(8=$AR51,$E$145=$AR51),Schweine_Werte!$M51*0.5,IF(OR(8&gt;$AR51,$E$145&lt;$AR51),0,Schweine_Werte!$M51))</f>
        <v>1.1627760843022101</v>
      </c>
      <c r="BY51" s="781">
        <f>IF(OR($C$74=$AR51,$D$74=$AR51),Schweine_Werte!$O51*0.5,IF(OR($C$74&gt;$AR51,$D$74&lt;$AR51),0,Schweine_Werte!$O51))</f>
        <v>0</v>
      </c>
      <c r="BZ51" s="781">
        <f>IF(OR($C$83=$AR51,$D$83=$AR51),Schweine_Werte!$O51*0.5,IF(OR($C$83&gt;$AR51,$D$83&lt;$AR51),0,Schweine_Werte!$O51))</f>
        <v>0</v>
      </c>
      <c r="CA51" s="783">
        <f>IF(OR($C$92=$AR51,$D$92=$AR51),Schweine_Werte!$O51*0.5,IF(OR($C$92&gt;$AR51,$D$92&lt;$AR51),0,Schweine_Werte!$O51))</f>
        <v>0</v>
      </c>
      <c r="CB51" s="783">
        <f>IF(OR($C$101=$AR51,$D$101=$AR51),Schweine_Werte!$O51*0.5,IF(OR($C$101&gt;$AR51,$D$101&lt;$AR51),0,Schweine_Werte!$O51))</f>
        <v>0</v>
      </c>
      <c r="CC51" s="783">
        <f>IF(OR($C$110=$AR51,$D$110=$AR51),Schweine_Werte!$O51*0.5,IF(OR($C$110&gt;$AR51,$D$110&lt;$AR51),0,Schweine_Werte!$O51))</f>
        <v>0</v>
      </c>
    </row>
    <row r="52" spans="1:81" x14ac:dyDescent="0.2">
      <c r="B52" t="s">
        <v>7687</v>
      </c>
      <c r="E52" t="s">
        <v>7688</v>
      </c>
      <c r="F52" t="s">
        <v>196</v>
      </c>
      <c r="G52" t="s">
        <v>7689</v>
      </c>
      <c r="H52" t="s">
        <v>7690</v>
      </c>
      <c r="I52" t="s">
        <v>7691</v>
      </c>
      <c r="J52" t="s">
        <v>589</v>
      </c>
      <c r="K52" t="s">
        <v>7692</v>
      </c>
      <c r="L52" s="125" t="s">
        <v>7693</v>
      </c>
      <c r="M52" t="s">
        <v>7694</v>
      </c>
      <c r="N52" t="s">
        <v>7695</v>
      </c>
      <c r="O52" t="s">
        <v>7696</v>
      </c>
      <c r="P52" t="s">
        <v>7697</v>
      </c>
      <c r="Q52" t="s">
        <v>39</v>
      </c>
      <c r="R52" t="s">
        <v>40</v>
      </c>
      <c r="S52" t="s">
        <v>41</v>
      </c>
      <c r="T52" t="s">
        <v>39</v>
      </c>
      <c r="U52" t="s">
        <v>40</v>
      </c>
      <c r="V52" t="s">
        <v>41</v>
      </c>
      <c r="AR52" s="792">
        <v>56</v>
      </c>
      <c r="AS52" s="781">
        <f>IF(OR($C$12=$AR52,$D$12=$AR52),Schweine_Werte!$C52*0.5,IF(OR($C$12&gt;$AR52,$D$12&lt;$AR52),0,Schweine_Werte!$C52))</f>
        <v>0</v>
      </c>
      <c r="AT52" s="716">
        <f>IF(OR($C$24=$AR52,$D$24=$AR52),Schweine_Werte!$C52*0.5,IF(OR($C$24&gt;$AR52,$D$24&lt;$AR52),0,Schweine_Werte!$C52))</f>
        <v>0</v>
      </c>
      <c r="AU52" s="781">
        <f>IF(OR($C$36=$AR52,$D$36=$AR52),Schweine_Werte!$C52*0.5,IF(OR($C$36&gt;$AR52,$D$36&lt;$AR52),0,Schweine_Werte!$C52))</f>
        <v>0</v>
      </c>
      <c r="AV52" s="781">
        <f>IF(OR($C$48=$AR52,$D$48=$AR52),Schweine_Werte!$C52*0.5,IF(OR($C$48&gt;$AR52,$D$48&lt;$AR52),0,Schweine_Werte!$C52))</f>
        <v>0</v>
      </c>
      <c r="AW52" s="781">
        <f>IF(OR($C$60=$AR52,$D$60=$AR52),Schweine_Werte!$C52*0.5,IF(OR($C$60&gt;$AR52,$D$60&lt;$AR52),0,Schweine_Werte!$C52))</f>
        <v>0</v>
      </c>
      <c r="AX52" s="781">
        <f>IF(OR($C$12=$AR52,$D$12=$AR52),Schweine_Werte!$E52*0.5,IF(OR($C$12&gt;$AR52,$D$12&lt;$AR52),0,Schweine_Werte!$E52))</f>
        <v>0</v>
      </c>
      <c r="AY52" s="716">
        <f>IF(OR($C$24=$AR52,$D$24=$AR52),Schweine_Werte!$E52*0.5,IF(OR($C$24&gt;$AR52,$D$24&lt;$AR52),0,Schweine_Werte!$E52))</f>
        <v>0</v>
      </c>
      <c r="AZ52" s="716">
        <f>IF(OR($C$36=$AR52,$D$36=$AR52),Schweine_Werte!$E52*0.5,IF(OR($C$36&gt;$AR52,$D$36&lt;$AR52),0,Schweine_Werte!$E52))</f>
        <v>0</v>
      </c>
      <c r="BA52" s="716">
        <f>IF(OR($C$48=$AR52,$D$48=$AR52),Schweine_Werte!$E52*0.5,IF(OR($C$48&gt;$AR52,$D$48&lt;$AR52),0,Schweine_Werte!$E52))</f>
        <v>0</v>
      </c>
      <c r="BB52" s="716">
        <f>IF(OR($C$60=$AR52,$D$60=$AR52),Schweine_Werte!$E52*0.5,IF(OR($C$60&gt;$AR52,$D$60&lt;$AR52),0,Schweine_Werte!$E52))</f>
        <v>0</v>
      </c>
      <c r="BC52" s="781">
        <f>IF(OR($C$12=$AR52,$D$12=$AR52),Schweine_Werte!$G52*0.5,IF(OR($C$12&gt;$AR52,$D$12&lt;$AR52),0,Schweine_Werte!$G52))</f>
        <v>0</v>
      </c>
      <c r="BD52" s="716">
        <f>IF(OR($C$24=$AR52,$D$24=$AR52),Schweine_Werte!$G52*0.5,IF(OR($C$24&gt;$AR52,$D$24&lt;$AR52),0,Schweine_Werte!$G52))</f>
        <v>0</v>
      </c>
      <c r="BE52" s="716">
        <f>IF(OR($C$36=$AR52,$D$36=$AR52),Schweine_Werte!$G52*0.5,IF(OR($C$36&gt;$AR52,$D$36&lt;$AR52),0,Schweine_Werte!$G52))</f>
        <v>0</v>
      </c>
      <c r="BF52" s="716">
        <f>IF(OR($C$48=$AR52,$D$48=$AR52),Schweine_Werte!$G52*0.5,IF(OR($C$48&gt;$AR52,$D$48&lt;$AR52),0,Schweine_Werte!$G52))</f>
        <v>0</v>
      </c>
      <c r="BG52" s="716">
        <f>IF(OR($C$60=$AR52,$D$60=$AR52),Schweine_Werte!$G52*0.5,IF(OR($C$60&gt;$AR52,$D$60&lt;$AR52),0,Schweine_Werte!$G52))</f>
        <v>0</v>
      </c>
      <c r="BH52" s="781">
        <f>IF(OR($C$12=$AR52,$D$12=$AR52),Schweine_Werte!$I52*0.5,IF(OR($C$12&gt;$AR52,$D$12&lt;$AR52),0,Schweine_Werte!$I52))</f>
        <v>0</v>
      </c>
      <c r="BI52" s="716">
        <f>IF(OR($C$24=$AR52,$D$24=$AR52),Schweine_Werte!$I52*0.5,IF(OR($C$24&gt;$AR52,$D$24&lt;$AR52),0,Schweine_Werte!$I52))</f>
        <v>0</v>
      </c>
      <c r="BJ52" s="716">
        <f>IF(OR($C$36=$AR52,$D$36=$AR52),Schweine_Werte!$I52*0.5,IF(OR($C$36&gt;$AR52,$D$36&lt;$AR52),0,Schweine_Werte!$I52))</f>
        <v>0</v>
      </c>
      <c r="BK52" s="716">
        <f>IF(OR($C$48=$AR52,$D$48=$AR52),Schweine_Werte!$I52*0.5,IF(OR($C$48&gt;$AR52,$D$48&lt;$AR52),0,Schweine_Werte!$I52))</f>
        <v>0</v>
      </c>
      <c r="BL52" s="716">
        <f>IF(OR($C$60=$AR52,$D$60=$AR52),Schweine_Werte!$I52*0.5,IF(OR($C$60&gt;$AR52,$D$60&lt;$AR52),0,Schweine_Werte!$I52))</f>
        <v>0</v>
      </c>
      <c r="BM52" s="781"/>
      <c r="BN52" s="716"/>
      <c r="BO52" s="716"/>
      <c r="BP52" s="716"/>
      <c r="BQ52" s="716"/>
      <c r="BR52" s="781">
        <f>IF(OR($C$74=$AR52,$D$74=$AR52),Schweine_Werte!$M52*0.5,IF(OR($C$74&gt;$AR52,$D$74&lt;$AR52),0,Schweine_Werte!$M52))</f>
        <v>0</v>
      </c>
      <c r="BS52" s="781">
        <f>IF(OR($C$83=$AR52,$D$83=$AR52),Schweine_Werte!$M52*0.5,IF(OR($C$83&gt;$AR52,$D$83&lt;$AR52),0,Schweine_Werte!$M52))</f>
        <v>0</v>
      </c>
      <c r="BT52" s="783">
        <f>IF(OR($C$92=$AR52,$D$92=$AR52),Schweine_Werte!$M52*0.5,IF(OR($C$92&gt;$AR52,$D$92&lt;$AR52),0,Schweine_Werte!$M52))</f>
        <v>0</v>
      </c>
      <c r="BU52" s="783">
        <f>IF(OR($C$101=$AR52,$D$101=$AR52),Schweine_Werte!$M52*0.5,IF(OR($C$101&gt;$AR52,$D$101&lt;$AR52),0,Schweine_Werte!$M52))</f>
        <v>0</v>
      </c>
      <c r="BV52" s="783">
        <f>IF(OR($C$110=$AR52,$D$110=$AR52),Schweine_Werte!$M52*0.5,IF(OR($C$110&gt;$AR52,$D$110&lt;$AR52),0,Schweine_Werte!$M52))</f>
        <v>0</v>
      </c>
      <c r="BW52" s="783">
        <f>IF(OR(8=$AR52,$E$127=$AR52),Schweine_Werte!$M52*0.5,IF(OR(8&gt;$AR52,$E$127&lt;$AR52),0,Schweine_Werte!$M52))</f>
        <v>1.1560121824882652</v>
      </c>
      <c r="BX52" s="783">
        <f>IF(OR(8=$AR52,$E$145=$AR52),Schweine_Werte!$M52*0.5,IF(OR(8&gt;$AR52,$E$145&lt;$AR52),0,Schweine_Werte!$M52))</f>
        <v>1.1560121824882652</v>
      </c>
      <c r="BY52" s="781">
        <f>IF(OR($C$74=$AR52,$D$74=$AR52),Schweine_Werte!$O52*0.5,IF(OR($C$74&gt;$AR52,$D$74&lt;$AR52),0,Schweine_Werte!$O52))</f>
        <v>0</v>
      </c>
      <c r="BZ52" s="781">
        <f>IF(OR($C$83=$AR52,$D$83=$AR52),Schweine_Werte!$O52*0.5,IF(OR($C$83&gt;$AR52,$D$83&lt;$AR52),0,Schweine_Werte!$O52))</f>
        <v>0</v>
      </c>
      <c r="CA52" s="783">
        <f>IF(OR($C$92=$AR52,$D$92=$AR52),Schweine_Werte!$O52*0.5,IF(OR($C$92&gt;$AR52,$D$92&lt;$AR52),0,Schweine_Werte!$O52))</f>
        <v>0</v>
      </c>
      <c r="CB52" s="783">
        <f>IF(OR($C$101=$AR52,$D$101=$AR52),Schweine_Werte!$O52*0.5,IF(OR($C$101&gt;$AR52,$D$101&lt;$AR52),0,Schweine_Werte!$O52))</f>
        <v>0</v>
      </c>
      <c r="CC52" s="783">
        <f>IF(OR($C$110=$AR52,$D$110=$AR52),Schweine_Werte!$O52*0.5,IF(OR($C$110&gt;$AR52,$D$110&lt;$AR52),0,Schweine_Werte!$O52))</f>
        <v>0</v>
      </c>
    </row>
    <row r="53" spans="1:81" x14ac:dyDescent="0.2">
      <c r="B53" s="691">
        <v>700</v>
      </c>
      <c r="D53" s="716"/>
      <c r="E53" s="716" t="e">
        <f>($D60-$C60)*1000/SUM($AW$4:$AW$146)</f>
        <v>#VALUE!</v>
      </c>
      <c r="F53" s="716" t="e">
        <f>SUMPRODUCT($AW$4:$AW$146,Schweine_Werte!$Q$4:$Q$146)/SUM($AW$4:$AW$146)</f>
        <v>#DIV/0!</v>
      </c>
      <c r="G53" s="716" t="e">
        <f>IF($B60=$A$8,SUMPRODUCT($AW$4:$AW$146,Schweine_Werte!EH$4:EH$146)/SUM($AW$4:$AW$146),IF($B60=$A$7,SUMPRODUCT($AW$4:$AW$146,Schweine_Werte!DB$4:DB$146)/SUM($AW$4:$AW$146),IF($B60=$A$6,SUMPRODUCT($AW$4:$AW$146,Schweine_Werte!BV$4:BV$146)/SUM($AW$4:$AW$146),SUMPRODUCT($AW$4:$AW$146,Schweine_Werte!AP$4:AP$146)/SUM($AW$4:$AW$146))))</f>
        <v>#DIV/0!</v>
      </c>
      <c r="H53" s="716" t="e">
        <f>IF($B60=$A$8,SUMPRODUCT($AW$4:$AW$146,Schweine_Werte!EI$4:EI$146)/SUM($AW$4:$AW$146),IF($B60=$A$7,SUMPRODUCT($AW$4:$AW$146,Schweine_Werte!DC$4:DC$146)/SUM($AW$4:$AW$146),IF($B60=$A$6,SUMPRODUCT($AW$4:$AW$146,Schweine_Werte!BW$4:BW$146)/SUM($AW$4:$AW$146),SUMPRODUCT($AW$4:$AW$146,Schweine_Werte!AQ$4:AQ$146)/SUM($AW$4:$AW$146))))</f>
        <v>#DIV/0!</v>
      </c>
      <c r="I53" s="716" t="e">
        <f>IF($B60=$A$8,SUMPRODUCT($AW$4:$AW$146,Schweine_Werte!EJ$4:EJ$146)/SUM($AW$4:$AW$146),IF($B60=$A$7,SUMPRODUCT($AW$4:$AW$146,Schweine_Werte!DD$4:DD$146)/SUM($AW$4:$AW$146),IF($B60=$A$6,SUMPRODUCT($AW$4:$AW$146,Schweine_Werte!BX$4:BX$146)/SUM($AW$4:$AW$146),SUMPRODUCT($AW$4:$AW$146,Schweine_Werte!AR$4:AR$146)/SUM($AW$4:$AW$146))))</f>
        <v>#DIV/0!</v>
      </c>
      <c r="J53" s="716" t="e">
        <f>SUMPRODUCT($AW$4:$AW$146,Schweine_Werte!$Y$4:$Y$146)/SUM($AW$4:$AW$146)</f>
        <v>#DIV/0!</v>
      </c>
      <c r="K53" s="716" t="e">
        <f>SUMPRODUCT($AW$4:$AW$146,Schweine_Werte!$AG$4:$AG$146)/SUM($AW$4:$AW$146)</f>
        <v>#DIV/0!</v>
      </c>
      <c r="L53" s="804" t="e">
        <f>T53*$F53*365/1000+$J53-$K53</f>
        <v>#DIV/0!</v>
      </c>
      <c r="M53" s="716" t="e">
        <f>U53*$F53*365/1000+$J53-$K53/2</f>
        <v>#DIV/0!</v>
      </c>
      <c r="N53" s="716" t="e">
        <f>V53*$F53*365/1000+$J53</f>
        <v>#DIV/0!</v>
      </c>
      <c r="O53" s="716">
        <f>IF($C60&lt;28,SUM($AW$4:$AW$23)+IF($D60&gt;28,$AW$24*0.5,$AW$24),0)</f>
        <v>0</v>
      </c>
      <c r="P53" s="716">
        <f>IF($D60&gt;28,SUM($AW$25:$AW$146)+IF($C60&lt;28,$AW$24*0.5,$AW$24),0)</f>
        <v>0</v>
      </c>
      <c r="Q53" s="716" t="e">
        <f t="shared" ref="Q53:S56" si="32">+T53*$F53</f>
        <v>#DIV/0!</v>
      </c>
      <c r="R53" s="716" t="e">
        <f t="shared" si="32"/>
        <v>#DIV/0!</v>
      </c>
      <c r="S53" s="716" t="e">
        <f t="shared" si="32"/>
        <v>#DIV/0!</v>
      </c>
      <c r="T53" s="716" t="e">
        <f>+($O53*Schweine_Werte!$HT$5+$P53*Schweine_Werte!$HU$5)/SUM($O53:$P53)</f>
        <v>#DIV/0!</v>
      </c>
      <c r="U53" s="716" t="e">
        <f>+($O53*Schweine_Werte!$HV$5+$P53*Schweine_Werte!$HW$5)/SUM($O53:$P53)</f>
        <v>#DIV/0!</v>
      </c>
      <c r="V53" s="716" t="e">
        <f>+($O53*Schweine_Werte!$HX$5+$P53*Schweine_Werte!$HY$5)/SUM($O53:$P53)</f>
        <v>#DIV/0!</v>
      </c>
      <c r="W53" s="771" t="e">
        <f>($J53*0.055+T53*0.365*0.86*$F53-$K53*0.018)/L53*100</f>
        <v>#DIV/0!</v>
      </c>
      <c r="X53" s="716" t="e">
        <f>($J53*0.055+U53*0.365*0.86*$F53-$K53*0.018/2)/M53*100</f>
        <v>#DIV/0!</v>
      </c>
      <c r="Y53" s="716" t="e">
        <f>($J53*0.055+V53*0.365*0.86*$F53)/N53*100</f>
        <v>#DIV/0!</v>
      </c>
      <c r="Z53" s="716"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16"/>
      <c r="AB53" s="716">
        <f>IF($B60=$A$8,SUMIF(Schweine_Werte!$AO$4:$AO$146,$C60,Schweine_Werte!$EL$4:$EL$146),IF($B60=$A$7,SUMIF(Schweine_Werte!$AO$4:$AO$146,$C60,Schweine_Werte!$DF$4:$DF$146),IF($B60=$A$6,SUMIF(Schweine_Werte!$AO$4:$AO$146,$C60,Schweine_Werte!$BZ$4:$BZ$146),SUMIF(Schweine_Werte!$AO$4:$AO$146,$C60,Schweine_Werte!$AT$4:$AT$146))))</f>
        <v>0</v>
      </c>
      <c r="AC53" s="716"/>
      <c r="AD53" s="716">
        <f>IF($B60=$A$8,SUMIF(Schweine_Werte!$AO$4:$AO$146,$D60,Schweine_Werte!$EL$4:$EL$146),IF($B60=$A$7,SUMIF(Schweine_Werte!$AO$4:$AO$146,$D60,Schweine_Werte!$DF$4:$DF$146),IF($B60=$A$6,SUMIF(Schweine_Werte!$AO$4:$AO$146,$D60,Schweine_Werte!$BZ$4:$BZ$146),SUMIF(Schweine_Werte!$AO$4:$AO$146,$D60,Schweine_Werte!$AT$4:$AT$146))))</f>
        <v>0</v>
      </c>
      <c r="AE53" s="716"/>
      <c r="AF53" s="716"/>
      <c r="AG53" s="716" t="e">
        <f>IF($B60=$A$8,SUMPRODUCT($AW$4:$AW$146,Schweine_Werte!$EK$4:$EK$146)/SUM($AW$4:$AW$146),IF($B60=$A$7,SUMPRODUCT($AW$4:$AW$146,Schweine_Werte!$DE$4:$DE$146)/SUM($AW$4:$AW$146),IF($B60=$A$6,SUMPRODUCT($AW$4:$AW$146,Schweine_Werte!$BY$4:$BY$146)/SUM($AW$4:$AW$146),SUMPRODUCT($AW$4:$AW$146,Schweine_Werte!$AS$4:$AS$146)/SUM($AW$4:$AW$146))))</f>
        <v>#DIV/0!</v>
      </c>
      <c r="AH53" s="716"/>
      <c r="AI53" s="716"/>
      <c r="AJ53" s="716"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16"/>
      <c r="AL53" s="716">
        <f>IF($B60=$A$8,SUMIF(Schweine_Werte!$AO$4:$AO$146,$C60,Schweine_Werte!$EM$4:$EM$146),IF($B60=$A$7,SUMIF(Schweine_Werte!$AO$4:$AO$146,$C60,Schweine_Werte!$DG$4:$DG$146),IF($B60=$A$6,SUMIF(Schweine_Werte!$AO$4:$AO$146,$C60,Schweine_Werte!$CA$4:$CA$146),SUMIF(Schweine_Werte!$AO$4:$AO$146,$C60,Schweine_Werte!$AU$4:$AU$146))))</f>
        <v>0</v>
      </c>
      <c r="AM53" s="716"/>
      <c r="AN53" s="716">
        <f>IF($B60=$A$8,SUMIF(Schweine_Werte!$AO$4:$AO$146,$D60,Schweine_Werte!$EM$4:$EM$146),IF($B60=$A$7,SUMIF(Schweine_Werte!$AO$4:$AO$146,$D60,Schweine_Werte!$DG$4:$DG$146),IF($B60=$A$6,SUMIF(Schweine_Werte!$AO$4:$AO$146,$D60,Schweine_Werte!$CA$4:$CA$146),SUMIF(Schweine_Werte!$AO$4:$AO$146,$D60,Schweine_Werte!$AU$4:$AU$146))))</f>
        <v>0</v>
      </c>
      <c r="AR53" s="792">
        <v>57</v>
      </c>
      <c r="AS53" s="781">
        <f>IF(OR($C$12=$AR53,$D$12=$AR53),Schweine_Werte!$C53*0.5,IF(OR($C$12&gt;$AR53,$D$12&lt;$AR53),0,Schweine_Werte!$C53))</f>
        <v>0</v>
      </c>
      <c r="AT53" s="716">
        <f>IF(OR($C$24=$AR53,$D$24=$AR53),Schweine_Werte!$C53*0.5,IF(OR($C$24&gt;$AR53,$D$24&lt;$AR53),0,Schweine_Werte!$C53))</f>
        <v>0</v>
      </c>
      <c r="AU53" s="781">
        <f>IF(OR($C$36=$AR53,$D$36=$AR53),Schweine_Werte!$C53*0.5,IF(OR($C$36&gt;$AR53,$D$36&lt;$AR53),0,Schweine_Werte!$C53))</f>
        <v>0</v>
      </c>
      <c r="AV53" s="781">
        <f>IF(OR($C$48=$AR53,$D$48=$AR53),Schweine_Werte!$C53*0.5,IF(OR($C$48&gt;$AR53,$D$48&lt;$AR53),0,Schweine_Werte!$C53))</f>
        <v>0</v>
      </c>
      <c r="AW53" s="781">
        <f>IF(OR($C$60=$AR53,$D$60=$AR53),Schweine_Werte!$C53*0.5,IF(OR($C$60&gt;$AR53,$D$60&lt;$AR53),0,Schweine_Werte!$C53))</f>
        <v>0</v>
      </c>
      <c r="AX53" s="781">
        <f>IF(OR($C$12=$AR53,$D$12=$AR53),Schweine_Werte!$E53*0.5,IF(OR($C$12&gt;$AR53,$D$12&lt;$AR53),0,Schweine_Werte!$E53))</f>
        <v>0</v>
      </c>
      <c r="AY53" s="716">
        <f>IF(OR($C$24=$AR53,$D$24=$AR53),Schweine_Werte!$E53*0.5,IF(OR($C$24&gt;$AR53,$D$24&lt;$AR53),0,Schweine_Werte!$E53))</f>
        <v>0</v>
      </c>
      <c r="AZ53" s="716">
        <f>IF(OR($C$36=$AR53,$D$36=$AR53),Schweine_Werte!$E53*0.5,IF(OR($C$36&gt;$AR53,$D$36&lt;$AR53),0,Schweine_Werte!$E53))</f>
        <v>0</v>
      </c>
      <c r="BA53" s="716">
        <f>IF(OR($C$48=$AR53,$D$48=$AR53),Schweine_Werte!$E53*0.5,IF(OR($C$48&gt;$AR53,$D$48&lt;$AR53),0,Schweine_Werte!$E53))</f>
        <v>0</v>
      </c>
      <c r="BB53" s="716">
        <f>IF(OR($C$60=$AR53,$D$60=$AR53),Schweine_Werte!$E53*0.5,IF(OR($C$60&gt;$AR53,$D$60&lt;$AR53),0,Schweine_Werte!$E53))</f>
        <v>0</v>
      </c>
      <c r="BC53" s="781">
        <f>IF(OR($C$12=$AR53,$D$12=$AR53),Schweine_Werte!$G53*0.5,IF(OR($C$12&gt;$AR53,$D$12&lt;$AR53),0,Schweine_Werte!$G53))</f>
        <v>0</v>
      </c>
      <c r="BD53" s="716">
        <f>IF(OR($C$24=$AR53,$D$24=$AR53),Schweine_Werte!$G53*0.5,IF(OR($C$24&gt;$AR53,$D$24&lt;$AR53),0,Schweine_Werte!$G53))</f>
        <v>0</v>
      </c>
      <c r="BE53" s="716">
        <f>IF(OR($C$36=$AR53,$D$36=$AR53),Schweine_Werte!$G53*0.5,IF(OR($C$36&gt;$AR53,$D$36&lt;$AR53),0,Schweine_Werte!$G53))</f>
        <v>0</v>
      </c>
      <c r="BF53" s="716">
        <f>IF(OR($C$48=$AR53,$D$48=$AR53),Schweine_Werte!$G53*0.5,IF(OR($C$48&gt;$AR53,$D$48&lt;$AR53),0,Schweine_Werte!$G53))</f>
        <v>0</v>
      </c>
      <c r="BG53" s="716">
        <f>IF(OR($C$60=$AR53,$D$60=$AR53),Schweine_Werte!$G53*0.5,IF(OR($C$60&gt;$AR53,$D$60&lt;$AR53),0,Schweine_Werte!$G53))</f>
        <v>0</v>
      </c>
      <c r="BH53" s="781">
        <f>IF(OR($C$12=$AR53,$D$12=$AR53),Schweine_Werte!$I53*0.5,IF(OR($C$12&gt;$AR53,$D$12&lt;$AR53),0,Schweine_Werte!$I53))</f>
        <v>0</v>
      </c>
      <c r="BI53" s="716">
        <f>IF(OR($C$24=$AR53,$D$24=$AR53),Schweine_Werte!$I53*0.5,IF(OR($C$24&gt;$AR53,$D$24&lt;$AR53),0,Schweine_Werte!$I53))</f>
        <v>0</v>
      </c>
      <c r="BJ53" s="716">
        <f>IF(OR($C$36=$AR53,$D$36=$AR53),Schweine_Werte!$I53*0.5,IF(OR($C$36&gt;$AR53,$D$36&lt;$AR53),0,Schweine_Werte!$I53))</f>
        <v>0</v>
      </c>
      <c r="BK53" s="716">
        <f>IF(OR($C$48=$AR53,$D$48=$AR53),Schweine_Werte!$I53*0.5,IF(OR($C$48&gt;$AR53,$D$48&lt;$AR53),0,Schweine_Werte!$I53))</f>
        <v>0</v>
      </c>
      <c r="BL53" s="716">
        <f>IF(OR($C$60=$AR53,$D$60=$AR53),Schweine_Werte!$I53*0.5,IF(OR($C$60&gt;$AR53,$D$60&lt;$AR53),0,Schweine_Werte!$I53))</f>
        <v>0</v>
      </c>
      <c r="BM53" s="781"/>
      <c r="BN53" s="716"/>
      <c r="BO53" s="716"/>
      <c r="BP53" s="716"/>
      <c r="BQ53" s="716"/>
      <c r="BR53" s="781">
        <f>IF(OR($C$74=$AR53,$D$74=$AR53),Schweine_Werte!$M53*0.5,IF(OR($C$74&gt;$AR53,$D$74&lt;$AR53),0,Schweine_Werte!$M53))</f>
        <v>0</v>
      </c>
      <c r="BS53" s="781">
        <f>IF(OR($C$83=$AR53,$D$83=$AR53),Schweine_Werte!$M53*0.5,IF(OR($C$83&gt;$AR53,$D$83&lt;$AR53),0,Schweine_Werte!$M53))</f>
        <v>0</v>
      </c>
      <c r="BT53" s="783">
        <f>IF(OR($C$92=$AR53,$D$92=$AR53),Schweine_Werte!$M53*0.5,IF(OR($C$92&gt;$AR53,$D$92&lt;$AR53),0,Schweine_Werte!$M53))</f>
        <v>0</v>
      </c>
      <c r="BU53" s="783">
        <f>IF(OR($C$101=$AR53,$D$101=$AR53),Schweine_Werte!$M53*0.5,IF(OR($C$101&gt;$AR53,$D$101&lt;$AR53),0,Schweine_Werte!$M53))</f>
        <v>0</v>
      </c>
      <c r="BV53" s="783">
        <f>IF(OR($C$110=$AR53,$D$110=$AR53),Schweine_Werte!$M53*0.5,IF(OR($C$110&gt;$AR53,$D$110&lt;$AR53),0,Schweine_Werte!$M53))</f>
        <v>0</v>
      </c>
      <c r="BW53" s="783">
        <f>IF(OR(8=$AR53,$E$127=$AR53),Schweine_Werte!$M53*0.5,IF(OR(8&gt;$AR53,$E$127&lt;$AR53),0,Schweine_Werte!$M53))</f>
        <v>1.1497168538831328</v>
      </c>
      <c r="BX53" s="783">
        <f>IF(OR(8=$AR53,$E$145=$AR53),Schweine_Werte!$M53*0.5,IF(OR(8&gt;$AR53,$E$145&lt;$AR53),0,Schweine_Werte!$M53))</f>
        <v>1.1497168538831328</v>
      </c>
      <c r="BY53" s="781">
        <f>IF(OR($C$74=$AR53,$D$74=$AR53),Schweine_Werte!$O53*0.5,IF(OR($C$74&gt;$AR53,$D$74&lt;$AR53),0,Schweine_Werte!$O53))</f>
        <v>0</v>
      </c>
      <c r="BZ53" s="781">
        <f>IF(OR($C$83=$AR53,$D$83=$AR53),Schweine_Werte!$O53*0.5,IF(OR($C$83&gt;$AR53,$D$83&lt;$AR53),0,Schweine_Werte!$O53))</f>
        <v>0</v>
      </c>
      <c r="CA53" s="783">
        <f>IF(OR($C$92=$AR53,$D$92=$AR53),Schweine_Werte!$O53*0.5,IF(OR($C$92&gt;$AR53,$D$92&lt;$AR53),0,Schweine_Werte!$O53))</f>
        <v>0</v>
      </c>
      <c r="CB53" s="783">
        <f>IF(OR($C$101=$AR53,$D$101=$AR53),Schweine_Werte!$O53*0.5,IF(OR($C$101&gt;$AR53,$D$101&lt;$AR53),0,Schweine_Werte!$O53))</f>
        <v>0</v>
      </c>
      <c r="CC53" s="783">
        <f>IF(OR($C$110=$AR53,$D$110=$AR53),Schweine_Werte!$O53*0.5,IF(OR($C$110&gt;$AR53,$D$110&lt;$AR53),0,Schweine_Werte!$O53))</f>
        <v>0</v>
      </c>
    </row>
    <row r="54" spans="1:81" x14ac:dyDescent="0.2">
      <c r="B54" s="691">
        <v>750</v>
      </c>
      <c r="D54" s="784"/>
      <c r="E54" s="716" t="e">
        <f>($D60-$C60)*1000/SUM($BB$4:$BB$146)</f>
        <v>#VALUE!</v>
      </c>
      <c r="F54" s="716" t="e">
        <f>SUMPRODUCT($BB$4:$BB$146,Schweine_Werte!$R$4:$R$146)/SUM($BB$4:$BB$146)</f>
        <v>#DIV/0!</v>
      </c>
      <c r="G54" s="716" t="e">
        <f>IF($B60=$A$8,SUMPRODUCT($BB$4:$BB$146,Schweine_Werte!EN$4:EN$146)/SUM($BB$4:$BB$146),IF($B60=$A$7,SUMPRODUCT($BB$4:$BB$146,Schweine_Werte!DH$4:DH$146)/SUM($BB$4:$BB$146),IF($B60=$A$6,SUMPRODUCT($BB$4:$BB$146,Schweine_Werte!CB$4:CB$146)/SUM($BB$4:$BB$146),SUMPRODUCT($BB$4:$BB$146,Schweine_Werte!AV$4:AV$146)/SUM($BB$4:$BB$146))))</f>
        <v>#DIV/0!</v>
      </c>
      <c r="H54" s="716" t="e">
        <f>IF($B60=$A$8,SUMPRODUCT($BB$4:$BB$146,Schweine_Werte!EO$4:EO$146)/SUM($BB$4:$BB$146),IF($B60=$A$7,SUMPRODUCT($BB$4:$BB$146,Schweine_Werte!DI$4:DI$146)/SUM($BB$4:$BB$146),IF($B60=$A$6,SUMPRODUCT($BB$4:$BB$146,Schweine_Werte!CC$4:CC$146)/SUM($BB$4:$BB$146),SUMPRODUCT($BB$4:$BB$146,Schweine_Werte!AW$4:AW$146)/SUM($BB$4:$BB$146))))</f>
        <v>#DIV/0!</v>
      </c>
      <c r="I54" s="716" t="e">
        <f>IF($B60=$A$8,SUMPRODUCT($BB$4:$BB$146,Schweine_Werte!EP$4:EP$146)/SUM($BB$4:$BB$146),IF($B60=$A$7,SUMPRODUCT($BB$4:$BB$146,Schweine_Werte!DJ$4:DJ$146)/SUM($BB$4:$BB$146),IF($B60=$A$6,SUMPRODUCT($BB$4:$BB$146,Schweine_Werte!CD$4:CD$146)/SUM($BB$4:$BB$146),SUMPRODUCT($BB$4:$BB$146,Schweine_Werte!AX$4:AX$146)/SUM($BB$4:$BB$146))))</f>
        <v>#DIV/0!</v>
      </c>
      <c r="J54" s="716" t="e">
        <f>SUMPRODUCT($BB$4:$BB$146,Schweine_Werte!$Z$4:$Z$146)/SUM($BB$4:$BB$146)</f>
        <v>#DIV/0!</v>
      </c>
      <c r="K54" s="716" t="e">
        <f>SUMPRODUCT($BB$4:$BB$146,Schweine_Werte!$AH$4:$AH$146)/SUM($BB$4:$BB$146)</f>
        <v>#DIV/0!</v>
      </c>
      <c r="L54" s="804" t="e">
        <f>T54*$F54*365/1000+$J54-$K54</f>
        <v>#DIV/0!</v>
      </c>
      <c r="M54" s="716" t="e">
        <f>U54*$F54*365/1000+$J54-$K54/2</f>
        <v>#DIV/0!</v>
      </c>
      <c r="N54" s="716" t="e">
        <f>V54*$F54*365/1000+$J54</f>
        <v>#DIV/0!</v>
      </c>
      <c r="O54" s="716">
        <f>IF($C60&lt;28,SUM($BB$4:$BB$23)+IF($D60&gt;28,$BB$24*0.5,$BB$24),0)</f>
        <v>0</v>
      </c>
      <c r="P54" s="716">
        <f>IF($D60&gt;28,SUM($BB$25:$BB$146)+IF($C60&lt;28,$BB$24*0.5,$BB$24),0)</f>
        <v>0</v>
      </c>
      <c r="Q54" s="716" t="e">
        <f t="shared" si="32"/>
        <v>#DIV/0!</v>
      </c>
      <c r="R54" s="716" t="e">
        <f t="shared" si="32"/>
        <v>#DIV/0!</v>
      </c>
      <c r="S54" s="716" t="e">
        <f t="shared" si="32"/>
        <v>#DIV/0!</v>
      </c>
      <c r="T54" s="716" t="e">
        <f>+($O54*Schweine_Werte!$HT$6+$P54*Schweine_Werte!$HU$6)/SUM($O54:$P54)</f>
        <v>#DIV/0!</v>
      </c>
      <c r="U54" s="716" t="e">
        <f>+($O54*Schweine_Werte!$HV$6+$P54*Schweine_Werte!$HW$6)/SUM($O54:$P54)</f>
        <v>#DIV/0!</v>
      </c>
      <c r="V54" s="716" t="e">
        <f>+($O54*Schweine_Werte!$HX$6+$P54*Schweine_Werte!$HY$6)/SUM($O54:$P54)</f>
        <v>#DIV/0!</v>
      </c>
      <c r="W54" s="771" t="e">
        <f>($J54*0.055+T54*0.365*0.86*$F54-$K54*0.018)/L54*100</f>
        <v>#DIV/0!</v>
      </c>
      <c r="X54" s="716" t="e">
        <f>($J54*0.055+U54*0.365*0.86*$F54-$K54*0.018/2)/M54*100</f>
        <v>#DIV/0!</v>
      </c>
      <c r="Y54" s="716" t="e">
        <f>($J54*0.055+V54*0.365*0.86*$F54)/N54*100</f>
        <v>#DIV/0!</v>
      </c>
      <c r="Z54" s="716"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16"/>
      <c r="AB54" s="716">
        <f>IF($B60=$A$8,SUMIF(Schweine_Werte!$AO$4:$AO$146,$C60,Schweine_Werte!$ER$4:$ER$146),IF($B60=$A$7,SUMIF(Schweine_Werte!$AO$4:$AO$146,$C60,Schweine_Werte!$DL$4:$DL$146),IF($B60=$A$6,SUMIF(Schweine_Werte!$AO$4:$AO$146,$C60,Schweine_Werte!$CF$4:$CF$146),SUMIF(Schweine_Werte!$AO$4:$AO$146,$C60,Schweine_Werte!$AZ$4:$AZ$146))))</f>
        <v>0</v>
      </c>
      <c r="AC54" s="716"/>
      <c r="AD54" s="716">
        <f>IF($B60=$A$8,SUMIF(Schweine_Werte!$AO$4:$AO$146,$D60,Schweine_Werte!$ER$4:$ER$146),IF($B60=$A$7,SUMIF(Schweine_Werte!$AO$4:$AO$146,$D60,Schweine_Werte!$DL$4:$DL$146),IF($B60=$A$6,SUMIF(Schweine_Werte!$AO$4:$AO$146,$D60,Schweine_Werte!$CF$4:$CF$146),SUMIF(Schweine_Werte!$AO$4:$AO$146,$D60,Schweine_Werte!$AZ$4:$AZ$146))))</f>
        <v>0</v>
      </c>
      <c r="AE54" s="716"/>
      <c r="AF54" s="716"/>
      <c r="AG54" s="716" t="e">
        <f>IF($B60=$A$8,SUMPRODUCT($BB$4:$BB$146,Schweine_Werte!$EQ$4:$EQ$146)/SUM($BB$4:$BB$146),IF($B60=$A$7,SUMPRODUCT($BB$4:$BB$146,Schweine_Werte!$DK$4:$DK$146)/SUM($BB$4:$BB$146),IF($B60=$A$6,SUMPRODUCT($BB$4:$BB$146,Schweine_Werte!$CE$4:$CE$146)/SUM($BB$4:$BB$146),SUMPRODUCT($BB$4:$BB$146,Schweine_Werte!$AY$4:$AY$146)/SUM($BB$4:$BB$146))))</f>
        <v>#DIV/0!</v>
      </c>
      <c r="AH54" s="716"/>
      <c r="AI54" s="716"/>
      <c r="AJ54" s="716"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16"/>
      <c r="AL54" s="716">
        <f>IF($B60=$A$8,SUMIF(Schweine_Werte!$AO$4:$AO$146,$C60,Schweine_Werte!$ES$4:$ES$146),IF($B60=$A$7,SUMIF(Schweine_Werte!$AO$4:$AO$146,$C60,Schweine_Werte!$DM$4:$DM$146),IF($B60=$A$6,SUMIF(Schweine_Werte!$AO$4:$AO$146,$C60,Schweine_Werte!$CG$4:$CG$146),SUMIF(Schweine_Werte!$AO$4:$AO$146,$C60,Schweine_Werte!$BA$4:$BA$146))))</f>
        <v>0</v>
      </c>
      <c r="AM54" s="716"/>
      <c r="AN54" s="716">
        <f>IF($B60=$A$8,SUMIF(Schweine_Werte!$AO$4:$AO$146,$D60,Schweine_Werte!$ES$4:$ES$146),IF($B60=$A$7,SUMIF(Schweine_Werte!$AO$4:$AO$146,$D60,Schweine_Werte!$DM$4:$DM$146),IF($B60=$A$6,SUMIF(Schweine_Werte!$AO$4:$AO$146,$D60,Schweine_Werte!$CG$4:$CG$146),SUMIF(Schweine_Werte!$AO$4:$AO$146,$D60,Schweine_Werte!$BA$4:$BA$146))))</f>
        <v>0</v>
      </c>
      <c r="AR54" s="792">
        <v>58</v>
      </c>
      <c r="AS54" s="781">
        <f>IF(OR($C$12=$AR54,$D$12=$AR54),Schweine_Werte!$C54*0.5,IF(OR($C$12&gt;$AR54,$D$12&lt;$AR54),0,Schweine_Werte!$C54))</f>
        <v>0</v>
      </c>
      <c r="AT54" s="716">
        <f>IF(OR($C$24=$AR54,$D$24=$AR54),Schweine_Werte!$C54*0.5,IF(OR($C$24&gt;$AR54,$D$24&lt;$AR54),0,Schweine_Werte!$C54))</f>
        <v>0</v>
      </c>
      <c r="AU54" s="781">
        <f>IF(OR($C$36=$AR54,$D$36=$AR54),Schweine_Werte!$C54*0.5,IF(OR($C$36&gt;$AR54,$D$36&lt;$AR54),0,Schweine_Werte!$C54))</f>
        <v>0</v>
      </c>
      <c r="AV54" s="781">
        <f>IF(OR($C$48=$AR54,$D$48=$AR54),Schweine_Werte!$C54*0.5,IF(OR($C$48&gt;$AR54,$D$48&lt;$AR54),0,Schweine_Werte!$C54))</f>
        <v>0</v>
      </c>
      <c r="AW54" s="781">
        <f>IF(OR($C$60=$AR54,$D$60=$AR54),Schweine_Werte!$C54*0.5,IF(OR($C$60&gt;$AR54,$D$60&lt;$AR54),0,Schweine_Werte!$C54))</f>
        <v>0</v>
      </c>
      <c r="AX54" s="781">
        <f>IF(OR($C$12=$AR54,$D$12=$AR54),Schweine_Werte!$E54*0.5,IF(OR($C$12&gt;$AR54,$D$12&lt;$AR54),0,Schweine_Werte!$E54))</f>
        <v>0</v>
      </c>
      <c r="AY54" s="716">
        <f>IF(OR($C$24=$AR54,$D$24=$AR54),Schweine_Werte!$E54*0.5,IF(OR($C$24&gt;$AR54,$D$24&lt;$AR54),0,Schweine_Werte!$E54))</f>
        <v>0</v>
      </c>
      <c r="AZ54" s="716">
        <f>IF(OR($C$36=$AR54,$D$36=$AR54),Schweine_Werte!$E54*0.5,IF(OR($C$36&gt;$AR54,$D$36&lt;$AR54),0,Schweine_Werte!$E54))</f>
        <v>0</v>
      </c>
      <c r="BA54" s="716">
        <f>IF(OR($C$48=$AR54,$D$48=$AR54),Schweine_Werte!$E54*0.5,IF(OR($C$48&gt;$AR54,$D$48&lt;$AR54),0,Schweine_Werte!$E54))</f>
        <v>0</v>
      </c>
      <c r="BB54" s="716">
        <f>IF(OR($C$60=$AR54,$D$60=$AR54),Schweine_Werte!$E54*0.5,IF(OR($C$60&gt;$AR54,$D$60&lt;$AR54),0,Schweine_Werte!$E54))</f>
        <v>0</v>
      </c>
      <c r="BC54" s="781">
        <f>IF(OR($C$12=$AR54,$D$12=$AR54),Schweine_Werte!$G54*0.5,IF(OR($C$12&gt;$AR54,$D$12&lt;$AR54),0,Schweine_Werte!$G54))</f>
        <v>0</v>
      </c>
      <c r="BD54" s="716">
        <f>IF(OR($C$24=$AR54,$D$24=$AR54),Schweine_Werte!$G54*0.5,IF(OR($C$24&gt;$AR54,$D$24&lt;$AR54),0,Schweine_Werte!$G54))</f>
        <v>0</v>
      </c>
      <c r="BE54" s="716">
        <f>IF(OR($C$36=$AR54,$D$36=$AR54),Schweine_Werte!$G54*0.5,IF(OR($C$36&gt;$AR54,$D$36&lt;$AR54),0,Schweine_Werte!$G54))</f>
        <v>0</v>
      </c>
      <c r="BF54" s="716">
        <f>IF(OR($C$48=$AR54,$D$48=$AR54),Schweine_Werte!$G54*0.5,IF(OR($C$48&gt;$AR54,$D$48&lt;$AR54),0,Schweine_Werte!$G54))</f>
        <v>0</v>
      </c>
      <c r="BG54" s="716">
        <f>IF(OR($C$60=$AR54,$D$60=$AR54),Schweine_Werte!$G54*0.5,IF(OR($C$60&gt;$AR54,$D$60&lt;$AR54),0,Schweine_Werte!$G54))</f>
        <v>0</v>
      </c>
      <c r="BH54" s="781">
        <f>IF(OR($C$12=$AR54,$D$12=$AR54),Schweine_Werte!$I54*0.5,IF(OR($C$12&gt;$AR54,$D$12&lt;$AR54),0,Schweine_Werte!$I54))</f>
        <v>0</v>
      </c>
      <c r="BI54" s="716">
        <f>IF(OR($C$24=$AR54,$D$24=$AR54),Schweine_Werte!$I54*0.5,IF(OR($C$24&gt;$AR54,$D$24&lt;$AR54),0,Schweine_Werte!$I54))</f>
        <v>0</v>
      </c>
      <c r="BJ54" s="716">
        <f>IF(OR($C$36=$AR54,$D$36=$AR54),Schweine_Werte!$I54*0.5,IF(OR($C$36&gt;$AR54,$D$36&lt;$AR54),0,Schweine_Werte!$I54))</f>
        <v>0</v>
      </c>
      <c r="BK54" s="716">
        <f>IF(OR($C$48=$AR54,$D$48=$AR54),Schweine_Werte!$I54*0.5,IF(OR($C$48&gt;$AR54,$D$48&lt;$AR54),0,Schweine_Werte!$I54))</f>
        <v>0</v>
      </c>
      <c r="BL54" s="716">
        <f>IF(OR($C$60=$AR54,$D$60=$AR54),Schweine_Werte!$I54*0.5,IF(OR($C$60&gt;$AR54,$D$60&lt;$AR54),0,Schweine_Werte!$I54))</f>
        <v>0</v>
      </c>
      <c r="BM54" s="781"/>
      <c r="BN54" s="716"/>
      <c r="BO54" s="716"/>
      <c r="BP54" s="716"/>
      <c r="BQ54" s="716"/>
      <c r="BR54" s="781">
        <f>IF(OR($C$74=$AR54,$D$74=$AR54),Schweine_Werte!$M54*0.5,IF(OR($C$74&gt;$AR54,$D$74&lt;$AR54),0,Schweine_Werte!$M54))</f>
        <v>0</v>
      </c>
      <c r="BS54" s="781">
        <f>IF(OR($C$83=$AR54,$D$83=$AR54),Schweine_Werte!$M54*0.5,IF(OR($C$83&gt;$AR54,$D$83&lt;$AR54),0,Schweine_Werte!$M54))</f>
        <v>0</v>
      </c>
      <c r="BT54" s="783">
        <f>IF(OR($C$92=$AR54,$D$92=$AR54),Schweine_Werte!$M54*0.5,IF(OR($C$92&gt;$AR54,$D$92&lt;$AR54),0,Schweine_Werte!$M54))</f>
        <v>0</v>
      </c>
      <c r="BU54" s="783">
        <f>IF(OR($C$101=$AR54,$D$101=$AR54),Schweine_Werte!$M54*0.5,IF(OR($C$101&gt;$AR54,$D$101&lt;$AR54),0,Schweine_Werte!$M54))</f>
        <v>0</v>
      </c>
      <c r="BV54" s="783">
        <f>IF(OR($C$110=$AR54,$D$110=$AR54),Schweine_Werte!$M54*0.5,IF(OR($C$110&gt;$AR54,$D$110&lt;$AR54),0,Schweine_Werte!$M54))</f>
        <v>0</v>
      </c>
      <c r="BW54" s="783">
        <f>IF(OR(8=$AR54,$E$127=$AR54),Schweine_Werte!$M54*0.5,IF(OR(8&gt;$AR54,$E$127&lt;$AR54),0,Schweine_Werte!$M54))</f>
        <v>1.1438763474186027</v>
      </c>
      <c r="BX54" s="783">
        <f>IF(OR(8=$AR54,$E$145=$AR54),Schweine_Werte!$M54*0.5,IF(OR(8&gt;$AR54,$E$145&lt;$AR54),0,Schweine_Werte!$M54))</f>
        <v>1.1438763474186027</v>
      </c>
      <c r="BY54" s="781">
        <f>IF(OR($C$74=$AR54,$D$74=$AR54),Schweine_Werte!$O54*0.5,IF(OR($C$74&gt;$AR54,$D$74&lt;$AR54),0,Schweine_Werte!$O54))</f>
        <v>0</v>
      </c>
      <c r="BZ54" s="781">
        <f>IF(OR($C$83=$AR54,$D$83=$AR54),Schweine_Werte!$O54*0.5,IF(OR($C$83&gt;$AR54,$D$83&lt;$AR54),0,Schweine_Werte!$O54))</f>
        <v>0</v>
      </c>
      <c r="CA54" s="783">
        <f>IF(OR($C$92=$AR54,$D$92=$AR54),Schweine_Werte!$O54*0.5,IF(OR($C$92&gt;$AR54,$D$92&lt;$AR54),0,Schweine_Werte!$O54))</f>
        <v>0</v>
      </c>
      <c r="CB54" s="783">
        <f>IF(OR($C$101=$AR54,$D$101=$AR54),Schweine_Werte!$O54*0.5,IF(OR($C$101&gt;$AR54,$D$101&lt;$AR54),0,Schweine_Werte!$O54))</f>
        <v>0</v>
      </c>
      <c r="CC54" s="783">
        <f>IF(OR($C$110=$AR54,$D$110=$AR54),Schweine_Werte!$O54*0.5,IF(OR($C$110&gt;$AR54,$D$110&lt;$AR54),0,Schweine_Werte!$O54))</f>
        <v>0</v>
      </c>
    </row>
    <row r="55" spans="1:81" x14ac:dyDescent="0.2">
      <c r="B55" s="691">
        <v>850</v>
      </c>
      <c r="D55" s="716"/>
      <c r="E55" s="716" t="e">
        <f>($D60-$C60)*1000/SUM($BG$4:$BG$146)</f>
        <v>#VALUE!</v>
      </c>
      <c r="F55" s="716" t="e">
        <f>SUMPRODUCT($BG$4:$BG$146,Schweine_Werte!$S$4:$S$146)/SUM($BG$4:$BG$146)</f>
        <v>#DIV/0!</v>
      </c>
      <c r="G55" s="716" t="e">
        <f>IF($B60=$A$8,SUMPRODUCT($BG$4:$BG$146,Schweine_Werte!ET$4:ET$146)/SUM($BG$4:$BG$146),IF($B60=$A$7,SUMPRODUCT($BG$4:$BG$146,Schweine_Werte!DN$4:DN$146)/SUM($BG$4:$BG$146),IF($B60=$A$6,SUMPRODUCT($BG$4:$BG$146,Schweine_Werte!CH$4:CH$146)/SUM($BG$4:$BG$146),SUMPRODUCT($BG$4:$BG$146,Schweine_Werte!BB$4:BB$146)/SUM($BG$4:$BG$146))))</f>
        <v>#DIV/0!</v>
      </c>
      <c r="H55" s="716" t="e">
        <f>IF($B60=$A$8,SUMPRODUCT($BG$4:$BG$146,Schweine_Werte!EU$4:EU$146)/SUM($BG$4:$BG$146),IF($B60=$A$7,SUMPRODUCT($BG$4:$BG$146,Schweine_Werte!DO$4:DO$146)/SUM($BG$4:$BG$146),IF($B60=$A$6,SUMPRODUCT($BG$4:$BG$146,Schweine_Werte!CI$4:CI$146)/SUM($BG$4:$BG$146),SUMPRODUCT($BG$4:$BG$146,Schweine_Werte!BC$4:BC$146)/SUM($BG$4:$BG$146))))</f>
        <v>#DIV/0!</v>
      </c>
      <c r="I55" s="716" t="e">
        <f>IF($B60=$A$8,SUMPRODUCT($BG$4:$BG$146,Schweine_Werte!EV$4:EV$146)/SUM($BG$4:$BG$146),IF($B60=$A$7,SUMPRODUCT($BG$4:$BG$146,Schweine_Werte!DP$4:DP$146)/SUM($BG$4:$BG$146),IF($B60=$A$6,SUMPRODUCT($BG$4:$BG$146,Schweine_Werte!CJ$4:CJ$146)/SUM($BG$4:$BG$146),SUMPRODUCT($BG$4:$BG$146,Schweine_Werte!BD$4:BD$146)/SUM($BG$4:$BG$146))))</f>
        <v>#DIV/0!</v>
      </c>
      <c r="J55" s="716" t="e">
        <f>SUMPRODUCT($BG$4:$BG$146,Schweine_Werte!$AA$4:$AA$146)/SUM($BG$4:$BG$146)</f>
        <v>#DIV/0!</v>
      </c>
      <c r="K55" s="716" t="e">
        <f>SUMPRODUCT($BG$4:$BG$146,Schweine_Werte!$AI$4:$AI$146)/SUM($BG$4:$BG$146)</f>
        <v>#DIV/0!</v>
      </c>
      <c r="L55" s="804" t="e">
        <f>T55*$F55*365/1000+$J55-$K55</f>
        <v>#DIV/0!</v>
      </c>
      <c r="M55" s="716" t="e">
        <f>U55*$F55*365/1000+$J55-$K55/2</f>
        <v>#DIV/0!</v>
      </c>
      <c r="N55" s="716" t="e">
        <f>V55*$F55*365/1000+$J55</f>
        <v>#DIV/0!</v>
      </c>
      <c r="O55" s="716">
        <f>IF($C60&lt;28,SUM($BG$4:$BG$23)+IF($D60&gt;28,$BG$24*0.5,$BG$24),0)</f>
        <v>0</v>
      </c>
      <c r="P55" s="716">
        <f>IF($D60&gt;28,SUM($BG$25:$BG$146)+IF($C60&lt;28,$BG$24*0.5,$BG$24),0)</f>
        <v>0</v>
      </c>
      <c r="Q55" s="716" t="e">
        <f t="shared" si="32"/>
        <v>#DIV/0!</v>
      </c>
      <c r="R55" s="716" t="e">
        <f t="shared" si="32"/>
        <v>#DIV/0!</v>
      </c>
      <c r="S55" s="716" t="e">
        <f t="shared" si="32"/>
        <v>#DIV/0!</v>
      </c>
      <c r="T55" s="716" t="e">
        <f>+($O55*Schweine_Werte!$HT$7+$P55*Schweine_Werte!$HU$7)/SUM($O55:$P55)</f>
        <v>#DIV/0!</v>
      </c>
      <c r="U55" s="716" t="e">
        <f>+($O55*Schweine_Werte!$HV$7+$P55*Schweine_Werte!$HW$7)/SUM($O55:$P55)</f>
        <v>#DIV/0!</v>
      </c>
      <c r="V55" s="716" t="e">
        <f>+($O55*Schweine_Werte!$HX$7+$P55*Schweine_Werte!$HY$7)/SUM($O55:$P55)</f>
        <v>#DIV/0!</v>
      </c>
      <c r="W55" s="716" t="e">
        <f>($J55*0.055+T55*0.365*0.86*$F55-$K55*0.018)/L55*100</f>
        <v>#DIV/0!</v>
      </c>
      <c r="X55" s="716" t="e">
        <f>($J55*0.055+U55*0.365*0.86*$F55-$K55*0.018/2)/M55*100</f>
        <v>#DIV/0!</v>
      </c>
      <c r="Y55" s="716" t="e">
        <f>($J55*0.055+V55*0.365*0.86*$F55)/N55*100</f>
        <v>#DIV/0!</v>
      </c>
      <c r="Z55" s="716"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16"/>
      <c r="AB55" s="716">
        <f>IF($B60=$A$8,SUMIF(Schweine_Werte!$AO$4:$AO$146,$C60,Schweine_Werte!$EX$4:$EX$146),IF($B60=$A$7,SUMIF(Schweine_Werte!$AO$4:$AO$146,$C60,Schweine_Werte!$DR$4:$DR$146),IF($B60=$A$6,SUMIF(Schweine_Werte!$AO$4:$AO$146,$C60,Schweine_Werte!$CL$4:$CL$146),SUMIF(Schweine_Werte!$AO$4:$AO$146,$C60,Schweine_Werte!$BF$4:$BF$146))))</f>
        <v>0</v>
      </c>
      <c r="AC55" s="716"/>
      <c r="AD55" s="716">
        <f>IF($B60=$A$8,SUMIF(Schweine_Werte!$AO$4:$AO$146,$D60,Schweine_Werte!$EX$4:$EX$146),IF($B60=$A$7,SUMIF(Schweine_Werte!$AO$4:$AO$146,$D60,Schweine_Werte!$DR$4:$DR$146),IF($B60=$A$6,SUMIF(Schweine_Werte!$AO$4:$AO$146,$D60,Schweine_Werte!$CL$4:$CL$146),SUMIF(Schweine_Werte!$AO$4:$AO$146,$D60,Schweine_Werte!$BF$4:$BF$146))))</f>
        <v>0</v>
      </c>
      <c r="AE55" s="716"/>
      <c r="AF55" s="716"/>
      <c r="AG55" s="716" t="e">
        <f>IF($B60=$A$8,SUMPRODUCT($BG$4:$BG$146,Schweine_Werte!$EW$4:$EW$146)/SUM($BG$4:$BG$146),IF($B60=$A$7,SUMPRODUCT($BG$4:$BG$146,Schweine_Werte!$DQ$4:$DQ$146)/SUM($BG$4:$BG$146),IF($B60=$A$6,SUMPRODUCT($BG$4:$BG$146,Schweine_Werte!$CK$4:$CK$146)/SUM($BG$4:$BG$146),SUMPRODUCT($BG$4:$BG$146,Schweine_Werte!$BE$4:$BE$146)/SUM($BG$4:$BG$146))))</f>
        <v>#DIV/0!</v>
      </c>
      <c r="AH55" s="716"/>
      <c r="AI55" s="716"/>
      <c r="AJ55" s="716"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16"/>
      <c r="AL55" s="716">
        <f>IF($B60=$A$8,SUMIF(Schweine_Werte!$AO$4:$AO$146,$C60,Schweine_Werte!$EY$4:$EY$146),IF($B60=$A$7,SUMIF(Schweine_Werte!$AO$4:$AO$146,$C60,Schweine_Werte!$DS$4:$DS$146),IF($B60=$A$6,SUMIF(Schweine_Werte!$AO$4:$AO$146,$C60,Schweine_Werte!$CM$4:$CM$146),SUMIF(Schweine_Werte!$AO$4:$AO$146,$C60,Schweine_Werte!$BG$4:$BG$146))))</f>
        <v>0</v>
      </c>
      <c r="AM55" s="716"/>
      <c r="AN55" s="716">
        <f>IF($B60=$A$8,SUMIF(Schweine_Werte!$AO$4:$AO$146,$D60,Schweine_Werte!$EY$4:$EY$146),IF($B60=$A$7,SUMIF(Schweine_Werte!$AO$4:$AO$146,$D60,Schweine_Werte!$DS$4:$DS$146),IF($B60=$A$6,SUMIF(Schweine_Werte!$AO$4:$AO$146,$D60,Schweine_Werte!$CM$4:$CM$146),SUMIF(Schweine_Werte!$AO$4:$AO$146,$D60,Schweine_Werte!$BG$4:$BG$146))))</f>
        <v>0</v>
      </c>
      <c r="AR55" s="792">
        <v>59</v>
      </c>
      <c r="AS55" s="781">
        <f>IF(OR($C$12=$AR55,$D$12=$AR55),Schweine_Werte!$C55*0.5,IF(OR($C$12&gt;$AR55,$D$12&lt;$AR55),0,Schweine_Werte!$C55))</f>
        <v>0</v>
      </c>
      <c r="AT55" s="716">
        <f>IF(OR($C$24=$AR55,$D$24=$AR55),Schweine_Werte!$C55*0.5,IF(OR($C$24&gt;$AR55,$D$24&lt;$AR55),0,Schweine_Werte!$C55))</f>
        <v>0</v>
      </c>
      <c r="AU55" s="781">
        <f>IF(OR($C$36=$AR55,$D$36=$AR55),Schweine_Werte!$C55*0.5,IF(OR($C$36&gt;$AR55,$D$36&lt;$AR55),0,Schweine_Werte!$C55))</f>
        <v>0</v>
      </c>
      <c r="AV55" s="781">
        <f>IF(OR($C$48=$AR55,$D$48=$AR55),Schweine_Werte!$C55*0.5,IF(OR($C$48&gt;$AR55,$D$48&lt;$AR55),0,Schweine_Werte!$C55))</f>
        <v>0</v>
      </c>
      <c r="AW55" s="781">
        <f>IF(OR($C$60=$AR55,$D$60=$AR55),Schweine_Werte!$C55*0.5,IF(OR($C$60&gt;$AR55,$D$60&lt;$AR55),0,Schweine_Werte!$C55))</f>
        <v>0</v>
      </c>
      <c r="AX55" s="781">
        <f>IF(OR($C$12=$AR55,$D$12=$AR55),Schweine_Werte!$E55*0.5,IF(OR($C$12&gt;$AR55,$D$12&lt;$AR55),0,Schweine_Werte!$E55))</f>
        <v>0</v>
      </c>
      <c r="AY55" s="716">
        <f>IF(OR($C$24=$AR55,$D$24=$AR55),Schweine_Werte!$E55*0.5,IF(OR($C$24&gt;$AR55,$D$24&lt;$AR55),0,Schweine_Werte!$E55))</f>
        <v>0</v>
      </c>
      <c r="AZ55" s="716">
        <f>IF(OR($C$36=$AR55,$D$36=$AR55),Schweine_Werte!$E55*0.5,IF(OR($C$36&gt;$AR55,$D$36&lt;$AR55),0,Schweine_Werte!$E55))</f>
        <v>0</v>
      </c>
      <c r="BA55" s="716">
        <f>IF(OR($C$48=$AR55,$D$48=$AR55),Schweine_Werte!$E55*0.5,IF(OR($C$48&gt;$AR55,$D$48&lt;$AR55),0,Schweine_Werte!$E55))</f>
        <v>0</v>
      </c>
      <c r="BB55" s="716">
        <f>IF(OR($C$60=$AR55,$D$60=$AR55),Schweine_Werte!$E55*0.5,IF(OR($C$60&gt;$AR55,$D$60&lt;$AR55),0,Schweine_Werte!$E55))</f>
        <v>0</v>
      </c>
      <c r="BC55" s="781">
        <f>IF(OR($C$12=$AR55,$D$12=$AR55),Schweine_Werte!$G55*0.5,IF(OR($C$12&gt;$AR55,$D$12&lt;$AR55),0,Schweine_Werte!$G55))</f>
        <v>0</v>
      </c>
      <c r="BD55" s="716">
        <f>IF(OR($C$24=$AR55,$D$24=$AR55),Schweine_Werte!$G55*0.5,IF(OR($C$24&gt;$AR55,$D$24&lt;$AR55),0,Schweine_Werte!$G55))</f>
        <v>0</v>
      </c>
      <c r="BE55" s="716">
        <f>IF(OR($C$36=$AR55,$D$36=$AR55),Schweine_Werte!$G55*0.5,IF(OR($C$36&gt;$AR55,$D$36&lt;$AR55),0,Schweine_Werte!$G55))</f>
        <v>0</v>
      </c>
      <c r="BF55" s="716">
        <f>IF(OR($C$48=$AR55,$D$48=$AR55),Schweine_Werte!$G55*0.5,IF(OR($C$48&gt;$AR55,$D$48&lt;$AR55),0,Schweine_Werte!$G55))</f>
        <v>0</v>
      </c>
      <c r="BG55" s="716">
        <f>IF(OR($C$60=$AR55,$D$60=$AR55),Schweine_Werte!$G55*0.5,IF(OR($C$60&gt;$AR55,$D$60&lt;$AR55),0,Schweine_Werte!$G55))</f>
        <v>0</v>
      </c>
      <c r="BH55" s="781">
        <f>IF(OR($C$12=$AR55,$D$12=$AR55),Schweine_Werte!$I55*0.5,IF(OR($C$12&gt;$AR55,$D$12&lt;$AR55),0,Schweine_Werte!$I55))</f>
        <v>0</v>
      </c>
      <c r="BI55" s="716">
        <f>IF(OR($C$24=$AR55,$D$24=$AR55),Schweine_Werte!$I55*0.5,IF(OR($C$24&gt;$AR55,$D$24&lt;$AR55),0,Schweine_Werte!$I55))</f>
        <v>0</v>
      </c>
      <c r="BJ55" s="716">
        <f>IF(OR($C$36=$AR55,$D$36=$AR55),Schweine_Werte!$I55*0.5,IF(OR($C$36&gt;$AR55,$D$36&lt;$AR55),0,Schweine_Werte!$I55))</f>
        <v>0</v>
      </c>
      <c r="BK55" s="716">
        <f>IF(OR($C$48=$AR55,$D$48=$AR55),Schweine_Werte!$I55*0.5,IF(OR($C$48&gt;$AR55,$D$48&lt;$AR55),0,Schweine_Werte!$I55))</f>
        <v>0</v>
      </c>
      <c r="BL55" s="716">
        <f>IF(OR($C$60=$AR55,$D$60=$AR55),Schweine_Werte!$I55*0.5,IF(OR($C$60&gt;$AR55,$D$60&lt;$AR55),0,Schweine_Werte!$I55))</f>
        <v>0</v>
      </c>
      <c r="BM55" s="781"/>
      <c r="BN55" s="716"/>
      <c r="BO55" s="716"/>
      <c r="BP55" s="716"/>
      <c r="BQ55" s="716"/>
      <c r="BR55" s="781">
        <f>IF(OR($C$74=$AR55,$D$74=$AR55),Schweine_Werte!$M55*0.5,IF(OR($C$74&gt;$AR55,$D$74&lt;$AR55),0,Schweine_Werte!$M55))</f>
        <v>0</v>
      </c>
      <c r="BS55" s="781">
        <f>IF(OR($C$83=$AR55,$D$83=$AR55),Schweine_Werte!$M55*0.5,IF(OR($C$83&gt;$AR55,$D$83&lt;$AR55),0,Schweine_Werte!$M55))</f>
        <v>0</v>
      </c>
      <c r="BT55" s="783">
        <f>IF(OR($C$92=$AR55,$D$92=$AR55),Schweine_Werte!$M55*0.5,IF(OR($C$92&gt;$AR55,$D$92&lt;$AR55),0,Schweine_Werte!$M55))</f>
        <v>0</v>
      </c>
      <c r="BU55" s="783">
        <f>IF(OR($C$101=$AR55,$D$101=$AR55),Schweine_Werte!$M55*0.5,IF(OR($C$101&gt;$AR55,$D$101&lt;$AR55),0,Schweine_Werte!$M55))</f>
        <v>0</v>
      </c>
      <c r="BV55" s="783">
        <f>IF(OR($C$110=$AR55,$D$110=$AR55),Schweine_Werte!$M55*0.5,IF(OR($C$110&gt;$AR55,$D$110&lt;$AR55),0,Schweine_Werte!$M55))</f>
        <v>0</v>
      </c>
      <c r="BW55" s="783">
        <f>IF(OR(8=$AR55,$E$127=$AR55),Schweine_Werte!$M55*0.5,IF(OR(8&gt;$AR55,$E$127&lt;$AR55),0,Schweine_Werte!$M55))</f>
        <v>1.1384780973164939</v>
      </c>
      <c r="BX55" s="783">
        <f>IF(OR(8=$AR55,$E$145=$AR55),Schweine_Werte!$M55*0.5,IF(OR(8&gt;$AR55,$E$145&lt;$AR55),0,Schweine_Werte!$M55))</f>
        <v>1.1384780973164939</v>
      </c>
      <c r="BY55" s="781">
        <f>IF(OR($C$74=$AR55,$D$74=$AR55),Schweine_Werte!$O55*0.5,IF(OR($C$74&gt;$AR55,$D$74&lt;$AR55),0,Schweine_Werte!$O55))</f>
        <v>0</v>
      </c>
      <c r="BZ55" s="781">
        <f>IF(OR($C$83=$AR55,$D$83=$AR55),Schweine_Werte!$O55*0.5,IF(OR($C$83&gt;$AR55,$D$83&lt;$AR55),0,Schweine_Werte!$O55))</f>
        <v>0</v>
      </c>
      <c r="CA55" s="783">
        <f>IF(OR($C$92=$AR55,$D$92=$AR55),Schweine_Werte!$O55*0.5,IF(OR($C$92&gt;$AR55,$D$92&lt;$AR55),0,Schweine_Werte!$O55))</f>
        <v>0</v>
      </c>
      <c r="CB55" s="783">
        <f>IF(OR($C$101=$AR55,$D$101=$AR55),Schweine_Werte!$O55*0.5,IF(OR($C$101&gt;$AR55,$D$101&lt;$AR55),0,Schweine_Werte!$O55))</f>
        <v>0</v>
      </c>
      <c r="CC55" s="783">
        <f>IF(OR($C$110=$AR55,$D$110=$AR55),Schweine_Werte!$O55*0.5,IF(OR($C$110&gt;$AR55,$D$110&lt;$AR55),0,Schweine_Werte!$O55))</f>
        <v>0</v>
      </c>
    </row>
    <row r="56" spans="1:81" x14ac:dyDescent="0.2">
      <c r="B56" s="691">
        <v>950</v>
      </c>
      <c r="D56" s="716"/>
      <c r="E56" s="716" t="e">
        <f>($D60-$C60)*1000/SUM($BL$4:$BL$146)</f>
        <v>#VALUE!</v>
      </c>
      <c r="F56" s="716" t="e">
        <f>SUMPRODUCT($BL$4:$BL$146,Schweine_Werte!$T$4:$T$146)/SUM($BL$4:$BL$146)</f>
        <v>#DIV/0!</v>
      </c>
      <c r="G56" s="716" t="e">
        <f>IF($B60=$A$8,SUMPRODUCT($BL$4:$BL$146,Schweine_Werte!EZ$4:EZ$146)/SUM($BL$4:$BL$146),IF($B60=$A$7,SUMPRODUCT($BL$4:$BL$146,Schweine_Werte!DT$4:DT$146)/SUM($BL$4:$BL$146),IF($B60=$A$6,SUMPRODUCT($BL$4:$BL$146,Schweine_Werte!CN$4:CN$146)/SUM($BL$4:$BL$146),SUMPRODUCT($BL$4:$BL$146,Schweine_Werte!BH$4:BH$146)/SUM($BL$4:$BL$146))))</f>
        <v>#DIV/0!</v>
      </c>
      <c r="H56" s="716" t="e">
        <f>IF($B60=$A$8,SUMPRODUCT($BL$4:$BL$146,Schweine_Werte!FA$4:FA$146)/SUM($BL$4:$BL$146),IF($B60=$A$7,SUMPRODUCT($BL$4:$BL$146,Schweine_Werte!DU$4:DU$146)/SUM($BL$4:$BL$146),IF($B60=$A$6,SUMPRODUCT($BL$4:$BL$146,Schweine_Werte!CO$4:CO$146)/SUM($BL$4:$BL$146),SUMPRODUCT($BL$4:$BL$146,Schweine_Werte!BI$4:BI$146)/SUM($BL$4:$BL$146))))</f>
        <v>#DIV/0!</v>
      </c>
      <c r="I56" s="716" t="e">
        <f>IF($B60=$A$8,SUMPRODUCT($BL$4:$BL$146,Schweine_Werte!FB$4:FB$146)/SUM($BL$4:$BL$146),IF($B60=$A$7,SUMPRODUCT($BL$4:$BL$146,Schweine_Werte!DV$4:DV$146)/SUM($BL$4:$BL$146),IF($B60=$A$6,SUMPRODUCT($BL$4:$BL$146,Schweine_Werte!CP$4:CP$146)/SUM($BL$4:$BL$146),SUMPRODUCT($BL$4:$BL$146,Schweine_Werte!BJ$4:BJ$146)/SUM($BL$4:$BL$146))))</f>
        <v>#DIV/0!</v>
      </c>
      <c r="J56" s="716" t="e">
        <f>SUMPRODUCT($BL$4:$BL$146,Schweine_Werte!$AB$4:$AB$146)/SUM($BL$4:$BL$146)</f>
        <v>#DIV/0!</v>
      </c>
      <c r="K56" s="716" t="e">
        <f>SUMPRODUCT($BL$4:$BL$146,Schweine_Werte!$AJ$4:$AJ$146)/SUM($BL$4:$BL$146)</f>
        <v>#DIV/0!</v>
      </c>
      <c r="L56" s="804" t="e">
        <f>T56*$F56*365/1000+$J56-$K56</f>
        <v>#DIV/0!</v>
      </c>
      <c r="M56" s="716" t="e">
        <f>U56*$F56*365/1000+$J56-$K56/2</f>
        <v>#DIV/0!</v>
      </c>
      <c r="N56" s="716" t="e">
        <f>V56*$F56*365/1000+$J56</f>
        <v>#DIV/0!</v>
      </c>
      <c r="O56" s="716">
        <f>IF($C60&lt;28,SUM($BL$4:$BL$23)+IF($D60&gt;28,$BL$24*0.5,$BL$24),0)</f>
        <v>0</v>
      </c>
      <c r="P56" s="716">
        <f>IF($D60&gt;28,SUM($BL$25:$BL$146)+IF($C60&lt;28,$BL$24*0.5,$BL$24),0)</f>
        <v>0</v>
      </c>
      <c r="Q56" s="716" t="e">
        <f t="shared" si="32"/>
        <v>#DIV/0!</v>
      </c>
      <c r="R56" s="716" t="e">
        <f t="shared" si="32"/>
        <v>#DIV/0!</v>
      </c>
      <c r="S56" s="716" t="e">
        <f t="shared" si="32"/>
        <v>#DIV/0!</v>
      </c>
      <c r="T56" s="716" t="e">
        <f>+($O56*Schweine_Werte!$HT$8+$P56*Schweine_Werte!$HU$8)/SUM($O56:$P56)</f>
        <v>#DIV/0!</v>
      </c>
      <c r="U56" s="716" t="e">
        <f>+($O56*Schweine_Werte!$HV$8+$P56*Schweine_Werte!$HW$8)/SUM($O56:$P56)</f>
        <v>#DIV/0!</v>
      </c>
      <c r="V56" s="716" t="e">
        <f>+($O56*Schweine_Werte!$HX$8+$P56*Schweine_Werte!$HY$8)/SUM($O56:$P56)</f>
        <v>#DIV/0!</v>
      </c>
      <c r="W56" s="771" t="e">
        <f>($J56*0.055+T56*0.365*0.86*$F56-$K56*0.018)/L56*100</f>
        <v>#DIV/0!</v>
      </c>
      <c r="X56" s="716" t="e">
        <f>($J56*0.055+U56*0.365*0.86*$F56-$K56*0.018/2)/M56*100</f>
        <v>#DIV/0!</v>
      </c>
      <c r="Y56" s="716" t="e">
        <f>($J56*0.055+V56*0.365*0.86*$F56)/N56*100</f>
        <v>#DIV/0!</v>
      </c>
      <c r="Z56" s="716"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16"/>
      <c r="AB56" s="716">
        <f>IF($B60=$A$8,SUMIF(Schweine_Werte!$AO$4:$AO$146,$C60,Schweine_Werte!$FD$4:$FD$146),IF($B60=$A$7,SUMIF(Schweine_Werte!$AO$4:$AO$146,$C60,Schweine_Werte!$DX$4:$DX$146),IF($B60=$A$6,SUMIF(Schweine_Werte!$AO$4:$AO$146,$C60,Schweine_Werte!$CR$4:$CR$146),SUMIF(Schweine_Werte!$AO$4:$AO$146,$C60,Schweine_Werte!$BL$4:$BL$146))))</f>
        <v>0</v>
      </c>
      <c r="AC56" s="716"/>
      <c r="AD56" s="716">
        <f>IF($B60=$A$8,SUMIF(Schweine_Werte!$AO$4:$AO$146,$D60,Schweine_Werte!$FD$4:$FD$146),IF($B60=$A$7,SUMIF(Schweine_Werte!$AO$4:$AO$146,$D60,Schweine_Werte!$DX$4:$DX$146),IF($B60=$A$6,SUMIF(Schweine_Werte!$AO$4:$AO$146,$D60,Schweine_Werte!$CR$4:$CR$146),SUMIF(Schweine_Werte!$AO$4:$AO$146,$D60,Schweine_Werte!$BL$4:$BL$146))))</f>
        <v>0</v>
      </c>
      <c r="AE56" s="716"/>
      <c r="AF56" s="716"/>
      <c r="AG56" s="716" t="e">
        <f>IF($B60=$A$8,SUMPRODUCT($BL$4:$BL$146,Schweine_Werte!$FC$4:$FC$146)/SUM($BL$4:$BL$146),IF($B60=$A$7,SUMPRODUCT($BL$4:$BL$146,Schweine_Werte!$DW$4:$DW$146)/SUM($BL$4:$BL$146),IF($B60=$A$6,SUMPRODUCT($BL$4:$BL$146,Schweine_Werte!$CQ$4:$CQ$146)/SUM($BL$4:$BL$146),SUMPRODUCT($BL$4:$BL$146,Schweine_Werte!$BK$4:$BK$146)/SUM($BL$4:$BL$146))))</f>
        <v>#DIV/0!</v>
      </c>
      <c r="AH56" s="716"/>
      <c r="AI56" s="716"/>
      <c r="AJ56" s="716"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16"/>
      <c r="AL56" s="716">
        <f>IF($B60=$A$8,SUMIF(Schweine_Werte!$AO$4:$AO$146,$C60,Schweine_Werte!$FE$4:$FE$146),IF($B60=$A$7,SUMIF(Schweine_Werte!$AO$4:$AO$146,$C60,Schweine_Werte!$DY$4:$DY$146),IF($B60=$A$6,SUMIF(Schweine_Werte!$AO$4:$AO$146,$C60,Schweine_Werte!$CS$4:$CS$146),SUMIF(Schweine_Werte!$AO$4:$AO$146,$C60,Schweine_Werte!$BM$4:$BM$146))))</f>
        <v>0</v>
      </c>
      <c r="AM56" s="716"/>
      <c r="AN56" s="716">
        <f>IF($B60=$A$8,SUMIF(Schweine_Werte!$AO$4:$AO$146,$D60,Schweine_Werte!$FE$4:$FE$146),IF($B60=$A$7,SUMIF(Schweine_Werte!$AO$4:$AO$146,$D60,Schweine_Werte!$DY$4:$DY$146),IF($B60=$A$6,SUMIF(Schweine_Werte!$AO$4:$AO$146,$D60,Schweine_Werte!$CS$4:$CS$146),SUMIF(Schweine_Werte!$AO$4:$AO$146,$D60,Schweine_Werte!$BM$4:$BM$146))))</f>
        <v>0</v>
      </c>
      <c r="AR56" s="792">
        <v>60</v>
      </c>
      <c r="AS56" s="781">
        <f>IF(OR($C$12=$AR56,$D$12=$AR56),Schweine_Werte!$C56*0.5,IF(OR($C$12&gt;$AR56,$D$12&lt;$AR56),0,Schweine_Werte!$C56))</f>
        <v>0</v>
      </c>
      <c r="AT56" s="716">
        <f>IF(OR($C$24=$AR56,$D$24=$AR56),Schweine_Werte!$C56*0.5,IF(OR($C$24&gt;$AR56,$D$24&lt;$AR56),0,Schweine_Werte!$C56))</f>
        <v>0</v>
      </c>
      <c r="AU56" s="781">
        <f>IF(OR($C$36=$AR56,$D$36=$AR56),Schweine_Werte!$C56*0.5,IF(OR($C$36&gt;$AR56,$D$36&lt;$AR56),0,Schweine_Werte!$C56))</f>
        <v>0</v>
      </c>
      <c r="AV56" s="781">
        <f>IF(OR($C$48=$AR56,$D$48=$AR56),Schweine_Werte!$C56*0.5,IF(OR($C$48&gt;$AR56,$D$48&lt;$AR56),0,Schweine_Werte!$C56))</f>
        <v>0</v>
      </c>
      <c r="AW56" s="781">
        <f>IF(OR($C$60=$AR56,$D$60=$AR56),Schweine_Werte!$C56*0.5,IF(OR($C$60&gt;$AR56,$D$60&lt;$AR56),0,Schweine_Werte!$C56))</f>
        <v>0</v>
      </c>
      <c r="AX56" s="781">
        <f>IF(OR($C$12=$AR56,$D$12=$AR56),Schweine_Werte!$E56*0.5,IF(OR($C$12&gt;$AR56,$D$12&lt;$AR56),0,Schweine_Werte!$E56))</f>
        <v>0</v>
      </c>
      <c r="AY56" s="716">
        <f>IF(OR($C$24=$AR56,$D$24=$AR56),Schweine_Werte!$E56*0.5,IF(OR($C$24&gt;$AR56,$D$24&lt;$AR56),0,Schweine_Werte!$E56))</f>
        <v>0</v>
      </c>
      <c r="AZ56" s="716">
        <f>IF(OR($C$36=$AR56,$D$36=$AR56),Schweine_Werte!$E56*0.5,IF(OR($C$36&gt;$AR56,$D$36&lt;$AR56),0,Schweine_Werte!$E56))</f>
        <v>0</v>
      </c>
      <c r="BA56" s="716">
        <f>IF(OR($C$48=$AR56,$D$48=$AR56),Schweine_Werte!$E56*0.5,IF(OR($C$48&gt;$AR56,$D$48&lt;$AR56),0,Schweine_Werte!$E56))</f>
        <v>0</v>
      </c>
      <c r="BB56" s="716">
        <f>IF(OR($C$60=$AR56,$D$60=$AR56),Schweine_Werte!$E56*0.5,IF(OR($C$60&gt;$AR56,$D$60&lt;$AR56),0,Schweine_Werte!$E56))</f>
        <v>0</v>
      </c>
      <c r="BC56" s="781">
        <f>IF(OR($C$12=$AR56,$D$12=$AR56),Schweine_Werte!$G56*0.5,IF(OR($C$12&gt;$AR56,$D$12&lt;$AR56),0,Schweine_Werte!$G56))</f>
        <v>0</v>
      </c>
      <c r="BD56" s="716">
        <f>IF(OR($C$24=$AR56,$D$24=$AR56),Schweine_Werte!$G56*0.5,IF(OR($C$24&gt;$AR56,$D$24&lt;$AR56),0,Schweine_Werte!$G56))</f>
        <v>0</v>
      </c>
      <c r="BE56" s="716">
        <f>IF(OR($C$36=$AR56,$D$36=$AR56),Schweine_Werte!$G56*0.5,IF(OR($C$36&gt;$AR56,$D$36&lt;$AR56),0,Schweine_Werte!$G56))</f>
        <v>0</v>
      </c>
      <c r="BF56" s="716">
        <f>IF(OR($C$48=$AR56,$D$48=$AR56),Schweine_Werte!$G56*0.5,IF(OR($C$48&gt;$AR56,$D$48&lt;$AR56),0,Schweine_Werte!$G56))</f>
        <v>0</v>
      </c>
      <c r="BG56" s="716">
        <f>IF(OR($C$60=$AR56,$D$60=$AR56),Schweine_Werte!$G56*0.5,IF(OR($C$60&gt;$AR56,$D$60&lt;$AR56),0,Schweine_Werte!$G56))</f>
        <v>0</v>
      </c>
      <c r="BH56" s="781">
        <f>IF(OR($C$12=$AR56,$D$12=$AR56),Schweine_Werte!$I56*0.5,IF(OR($C$12&gt;$AR56,$D$12&lt;$AR56),0,Schweine_Werte!$I56))</f>
        <v>0</v>
      </c>
      <c r="BI56" s="716">
        <f>IF(OR($C$24=$AR56,$D$24=$AR56),Schweine_Werte!$I56*0.5,IF(OR($C$24&gt;$AR56,$D$24&lt;$AR56),0,Schweine_Werte!$I56))</f>
        <v>0</v>
      </c>
      <c r="BJ56" s="716">
        <f>IF(OR($C$36=$AR56,$D$36=$AR56),Schweine_Werte!$I56*0.5,IF(OR($C$36&gt;$AR56,$D$36&lt;$AR56),0,Schweine_Werte!$I56))</f>
        <v>0</v>
      </c>
      <c r="BK56" s="716">
        <f>IF(OR($C$48=$AR56,$D$48=$AR56),Schweine_Werte!$I56*0.5,IF(OR($C$48&gt;$AR56,$D$48&lt;$AR56),0,Schweine_Werte!$I56))</f>
        <v>0</v>
      </c>
      <c r="BL56" s="716">
        <f>IF(OR($C$60=$AR56,$D$60=$AR56),Schweine_Werte!$I56*0.5,IF(OR($C$60&gt;$AR56,$D$60&lt;$AR56),0,Schweine_Werte!$I56))</f>
        <v>0</v>
      </c>
      <c r="BM56" s="781"/>
      <c r="BN56" s="716"/>
      <c r="BO56" s="716"/>
      <c r="BP56" s="716"/>
      <c r="BQ56" s="716"/>
      <c r="BR56" s="781">
        <f>IF(OR($C$74=$AR56,$D$74=$AR56),Schweine_Werte!$M56*0.5,IF(OR($C$74&gt;$AR56,$D$74&lt;$AR56),0,Schweine_Werte!$M56))</f>
        <v>0</v>
      </c>
      <c r="BS56" s="781">
        <f>IF(OR($C$83=$AR56,$D$83=$AR56),Schweine_Werte!$M56*0.5,IF(OR($C$83&gt;$AR56,$D$83&lt;$AR56),0,Schweine_Werte!$M56))</f>
        <v>0</v>
      </c>
      <c r="BT56" s="783">
        <f>IF(OR($C$92=$AR56,$D$92=$AR56),Schweine_Werte!$M56*0.5,IF(OR($C$92&gt;$AR56,$D$92&lt;$AR56),0,Schweine_Werte!$M56))</f>
        <v>0</v>
      </c>
      <c r="BU56" s="783">
        <f>IF(OR($C$101=$AR56,$D$101=$AR56),Schweine_Werte!$M56*0.5,IF(OR($C$101&gt;$AR56,$D$101&lt;$AR56),0,Schweine_Werte!$M56))</f>
        <v>0</v>
      </c>
      <c r="BV56" s="783">
        <f>IF(OR($C$110=$AR56,$D$110=$AR56),Schweine_Werte!$M56*0.5,IF(OR($C$110&gt;$AR56,$D$110&lt;$AR56),0,Schweine_Werte!$M56))</f>
        <v>0</v>
      </c>
      <c r="BW56" s="783">
        <f>IF(OR(8=$AR56,$E$127=$AR56),Schweine_Werte!$M56*0.5,IF(OR(8&gt;$AR56,$E$127&lt;$AR56),0,Schweine_Werte!$M56))</f>
        <v>1.1335106524075971</v>
      </c>
      <c r="BX56" s="783">
        <f>IF(OR(8=$AR56,$E$145=$AR56),Schweine_Werte!$M56*0.5,IF(OR(8&gt;$AR56,$E$145&lt;$AR56),0,Schweine_Werte!$M56))</f>
        <v>1.1335106524075971</v>
      </c>
      <c r="BY56" s="781">
        <f>IF(OR($C$74=$AR56,$D$74=$AR56),Schweine_Werte!$O56*0.5,IF(OR($C$74&gt;$AR56,$D$74&lt;$AR56),0,Schweine_Werte!$O56))</f>
        <v>0</v>
      </c>
      <c r="BZ56" s="781">
        <f>IF(OR($C$83=$AR56,$D$83=$AR56),Schweine_Werte!$O56*0.5,IF(OR($C$83&gt;$AR56,$D$83&lt;$AR56),0,Schweine_Werte!$O56))</f>
        <v>0</v>
      </c>
      <c r="CA56" s="783">
        <f>IF(OR($C$92=$AR56,$D$92=$AR56),Schweine_Werte!$O56*0.5,IF(OR($C$92&gt;$AR56,$D$92&lt;$AR56),0,Schweine_Werte!$O56))</f>
        <v>0</v>
      </c>
      <c r="CB56" s="783">
        <f>IF(OR($C$101=$AR56,$D$101=$AR56),Schweine_Werte!$O56*0.5,IF(OR($C$101&gt;$AR56,$D$101&lt;$AR56),0,Schweine_Werte!$O56))</f>
        <v>0</v>
      </c>
      <c r="CC56" s="783">
        <f>IF(OR($C$110=$AR56,$D$110=$AR56),Schweine_Werte!$O56*0.5,IF(OR($C$110&gt;$AR56,$D$110&lt;$AR56),0,Schweine_Werte!$O56))</f>
        <v>0</v>
      </c>
    </row>
    <row r="57" spans="1:81" x14ac:dyDescent="0.2">
      <c r="B57" s="691"/>
      <c r="D57" s="716"/>
      <c r="E57" s="716"/>
      <c r="F57" s="716"/>
      <c r="G57" s="716"/>
      <c r="H57" s="716"/>
      <c r="I57" s="716"/>
      <c r="J57" s="716"/>
      <c r="K57" s="716"/>
      <c r="L57" s="716"/>
      <c r="M57" s="716"/>
      <c r="N57" s="716"/>
      <c r="O57" s="716"/>
      <c r="P57" s="716"/>
      <c r="Q57" s="716"/>
      <c r="R57" s="716"/>
      <c r="S57" s="716"/>
      <c r="T57" s="716"/>
      <c r="U57" s="716"/>
      <c r="V57" s="716"/>
      <c r="W57" s="771"/>
      <c r="X57" s="716"/>
      <c r="Y57" s="716"/>
      <c r="Z57" s="716"/>
      <c r="AA57" s="716"/>
      <c r="AB57" s="716"/>
      <c r="AC57" s="716"/>
      <c r="AD57" s="716"/>
      <c r="AE57" s="716"/>
      <c r="AF57" s="716"/>
      <c r="AG57" s="716"/>
      <c r="AH57" s="716"/>
      <c r="AI57" s="716"/>
      <c r="AJ57" s="716"/>
      <c r="AK57" s="716"/>
      <c r="AL57" s="716"/>
      <c r="AM57" s="716"/>
      <c r="AN57" s="716"/>
      <c r="AR57" s="792">
        <v>61</v>
      </c>
      <c r="AS57" s="781">
        <f>IF(OR($C$12=$AR57,$D$12=$AR57),Schweine_Werte!$C57*0.5,IF(OR($C$12&gt;$AR57,$D$12&lt;$AR57),0,Schweine_Werte!$C57))</f>
        <v>0</v>
      </c>
      <c r="AT57" s="716">
        <f>IF(OR($C$24=$AR57,$D$24=$AR57),Schweine_Werte!$C57*0.5,IF(OR($C$24&gt;$AR57,$D$24&lt;$AR57),0,Schweine_Werte!$C57))</f>
        <v>0</v>
      </c>
      <c r="AU57" s="781">
        <f>IF(OR($C$36=$AR57,$D$36=$AR57),Schweine_Werte!$C57*0.5,IF(OR($C$36&gt;$AR57,$D$36&lt;$AR57),0,Schweine_Werte!$C57))</f>
        <v>0</v>
      </c>
      <c r="AV57" s="781">
        <f>IF(OR($C$48=$AR57,$D$48=$AR57),Schweine_Werte!$C57*0.5,IF(OR($C$48&gt;$AR57,$D$48&lt;$AR57),0,Schweine_Werte!$C57))</f>
        <v>0</v>
      </c>
      <c r="AW57" s="781">
        <f>IF(OR($C$60=$AR57,$D$60=$AR57),Schweine_Werte!$C57*0.5,IF(OR($C$60&gt;$AR57,$D$60&lt;$AR57),0,Schweine_Werte!$C57))</f>
        <v>0</v>
      </c>
      <c r="AX57" s="781">
        <f>IF(OR($C$12=$AR57,$D$12=$AR57),Schweine_Werte!$E57*0.5,IF(OR($C$12&gt;$AR57,$D$12&lt;$AR57),0,Schweine_Werte!$E57))</f>
        <v>0</v>
      </c>
      <c r="AY57" s="716">
        <f>IF(OR($C$24=$AR57,$D$24=$AR57),Schweine_Werte!$E57*0.5,IF(OR($C$24&gt;$AR57,$D$24&lt;$AR57),0,Schweine_Werte!$E57))</f>
        <v>0</v>
      </c>
      <c r="AZ57" s="716">
        <f>IF(OR($C$36=$AR57,$D$36=$AR57),Schweine_Werte!$E57*0.5,IF(OR($C$36&gt;$AR57,$D$36&lt;$AR57),0,Schweine_Werte!$E57))</f>
        <v>0</v>
      </c>
      <c r="BA57" s="716">
        <f>IF(OR($C$48=$AR57,$D$48=$AR57),Schweine_Werte!$E57*0.5,IF(OR($C$48&gt;$AR57,$D$48&lt;$AR57),0,Schweine_Werte!$E57))</f>
        <v>0</v>
      </c>
      <c r="BB57" s="716">
        <f>IF(OR($C$60=$AR57,$D$60=$AR57),Schweine_Werte!$E57*0.5,IF(OR($C$60&gt;$AR57,$D$60&lt;$AR57),0,Schweine_Werte!$E57))</f>
        <v>0</v>
      </c>
      <c r="BC57" s="781">
        <f>IF(OR($C$12=$AR57,$D$12=$AR57),Schweine_Werte!$G57*0.5,IF(OR($C$12&gt;$AR57,$D$12&lt;$AR57),0,Schweine_Werte!$G57))</f>
        <v>0</v>
      </c>
      <c r="BD57" s="716">
        <f>IF(OR($C$24=$AR57,$D$24=$AR57),Schweine_Werte!$G57*0.5,IF(OR($C$24&gt;$AR57,$D$24&lt;$AR57),0,Schweine_Werte!$G57))</f>
        <v>0</v>
      </c>
      <c r="BE57" s="716">
        <f>IF(OR($C$36=$AR57,$D$36=$AR57),Schweine_Werte!$G57*0.5,IF(OR($C$36&gt;$AR57,$D$36&lt;$AR57),0,Schweine_Werte!$G57))</f>
        <v>0</v>
      </c>
      <c r="BF57" s="716">
        <f>IF(OR($C$48=$AR57,$D$48=$AR57),Schweine_Werte!$G57*0.5,IF(OR($C$48&gt;$AR57,$D$48&lt;$AR57),0,Schweine_Werte!$G57))</f>
        <v>0</v>
      </c>
      <c r="BG57" s="716">
        <f>IF(OR($C$60=$AR57,$D$60=$AR57),Schweine_Werte!$G57*0.5,IF(OR($C$60&gt;$AR57,$D$60&lt;$AR57),0,Schweine_Werte!$G57))</f>
        <v>0</v>
      </c>
      <c r="BH57" s="781">
        <f>IF(OR($C$12=$AR57,$D$12=$AR57),Schweine_Werte!$I57*0.5,IF(OR($C$12&gt;$AR57,$D$12&lt;$AR57),0,Schweine_Werte!$I57))</f>
        <v>0</v>
      </c>
      <c r="BI57" s="716">
        <f>IF(OR($C$24=$AR57,$D$24=$AR57),Schweine_Werte!$I57*0.5,IF(OR($C$24&gt;$AR57,$D$24&lt;$AR57),0,Schweine_Werte!$I57))</f>
        <v>0</v>
      </c>
      <c r="BJ57" s="716">
        <f>IF(OR($C$36=$AR57,$D$36=$AR57),Schweine_Werte!$I57*0.5,IF(OR($C$36&gt;$AR57,$D$36&lt;$AR57),0,Schweine_Werte!$I57))</f>
        <v>0</v>
      </c>
      <c r="BK57" s="716">
        <f>IF(OR($C$48=$AR57,$D$48=$AR57),Schweine_Werte!$I57*0.5,IF(OR($C$48&gt;$AR57,$D$48&lt;$AR57),0,Schweine_Werte!$I57))</f>
        <v>0</v>
      </c>
      <c r="BL57" s="716">
        <f>IF(OR($C$60=$AR57,$D$60=$AR57),Schweine_Werte!$I57*0.5,IF(OR($C$60&gt;$AR57,$D$60&lt;$AR57),0,Schweine_Werte!$I57))</f>
        <v>0</v>
      </c>
      <c r="BM57" s="781"/>
      <c r="BN57" s="716"/>
      <c r="BO57" s="716"/>
      <c r="BP57" s="716"/>
      <c r="BQ57" s="716"/>
      <c r="BR57" s="781">
        <f>IF(OR($C$74=$AR57,$D$74=$AR57),Schweine_Werte!$M57*0.5,IF(OR($C$74&gt;$AR57,$D$74&lt;$AR57),0,Schweine_Werte!$M57))</f>
        <v>0</v>
      </c>
      <c r="BS57" s="781">
        <f>IF(OR($C$83=$AR57,$D$83=$AR57),Schweine_Werte!$M57*0.5,IF(OR($C$83&gt;$AR57,$D$83&lt;$AR57),0,Schweine_Werte!$M57))</f>
        <v>0</v>
      </c>
      <c r="BT57" s="783">
        <f>IF(OR($C$92=$AR57,$D$92=$AR57),Schweine_Werte!$M57*0.5,IF(OR($C$92&gt;$AR57,$D$92&lt;$AR57),0,Schweine_Werte!$M57))</f>
        <v>0</v>
      </c>
      <c r="BU57" s="783">
        <f>IF(OR($C$101=$AR57,$D$101=$AR57),Schweine_Werte!$M57*0.5,IF(OR($C$101&gt;$AR57,$D$101&lt;$AR57),0,Schweine_Werte!$M57))</f>
        <v>0</v>
      </c>
      <c r="BV57" s="783">
        <f>IF(OR($C$110=$AR57,$D$110=$AR57),Schweine_Werte!$M57*0.5,IF(OR($C$110&gt;$AR57,$D$110&lt;$AR57),0,Schweine_Werte!$M57))</f>
        <v>0</v>
      </c>
      <c r="BW57" s="783">
        <f>IF(OR(8=$AR57,$E$127=$AR57),Schweine_Werte!$M57*0.5,IF(OR(8&gt;$AR57,$E$127&lt;$AR57),0,Schweine_Werte!$M57))</f>
        <v>1.1289636129562686</v>
      </c>
      <c r="BX57" s="783">
        <f>IF(OR(8=$AR57,$E$145=$AR57),Schweine_Werte!$M57*0.5,IF(OR(8&gt;$AR57,$E$145&lt;$AR57),0,Schweine_Werte!$M57))</f>
        <v>1.1289636129562686</v>
      </c>
      <c r="BY57" s="781">
        <f>IF(OR($C$74=$AR57,$D$74=$AR57),Schweine_Werte!$O57*0.5,IF(OR($C$74&gt;$AR57,$D$74&lt;$AR57),0,Schweine_Werte!$O57))</f>
        <v>0</v>
      </c>
      <c r="BZ57" s="781">
        <f>IF(OR($C$83=$AR57,$D$83=$AR57),Schweine_Werte!$O57*0.5,IF(OR($C$83&gt;$AR57,$D$83&lt;$AR57),0,Schweine_Werte!$O57))</f>
        <v>0</v>
      </c>
      <c r="CA57" s="783">
        <f>IF(OR($C$92=$AR57,$D$92=$AR57),Schweine_Werte!$O57*0.5,IF(OR($C$92&gt;$AR57,$D$92&lt;$AR57),0,Schweine_Werte!$O57))</f>
        <v>0</v>
      </c>
      <c r="CB57" s="783">
        <f>IF(OR($C$101=$AR57,$D$101=$AR57),Schweine_Werte!$O57*0.5,IF(OR($C$101&gt;$AR57,$D$101&lt;$AR57),0,Schweine_Werte!$O57))</f>
        <v>0</v>
      </c>
      <c r="CC57" s="783">
        <f>IF(OR($C$110=$AR57,$D$110=$AR57),Schweine_Werte!$O57*0.5,IF(OR($C$110&gt;$AR57,$D$110&lt;$AR57),0,Schweine_Werte!$O57))</f>
        <v>0</v>
      </c>
    </row>
    <row r="58" spans="1:81" ht="15.75" x14ac:dyDescent="0.25">
      <c r="F58" s="352"/>
      <c r="G58" s="1588" t="s">
        <v>7701</v>
      </c>
      <c r="H58" s="1589"/>
      <c r="I58" s="1590"/>
      <c r="J58" s="973" t="s">
        <v>589</v>
      </c>
      <c r="K58" s="973" t="s">
        <v>224</v>
      </c>
      <c r="L58" s="1591" t="s">
        <v>7702</v>
      </c>
      <c r="M58" s="1592"/>
      <c r="N58" s="1593"/>
      <c r="O58" s="1591" t="s">
        <v>7703</v>
      </c>
      <c r="P58" s="1593"/>
      <c r="Q58" s="1591" t="s">
        <v>7758</v>
      </c>
      <c r="R58" s="1592"/>
      <c r="S58" s="1593"/>
      <c r="T58" s="1591" t="s">
        <v>7704</v>
      </c>
      <c r="U58" s="1592"/>
      <c r="V58" s="1593"/>
      <c r="W58" s="1591" t="s">
        <v>7785</v>
      </c>
      <c r="X58" s="1592"/>
      <c r="Y58" s="1593"/>
      <c r="Z58" s="1596" t="s">
        <v>7786</v>
      </c>
      <c r="AA58" s="1597"/>
      <c r="AB58" s="1596" t="s">
        <v>7787</v>
      </c>
      <c r="AC58" s="1597"/>
      <c r="AD58" s="1596" t="s">
        <v>7788</v>
      </c>
      <c r="AE58" s="1597"/>
      <c r="AF58" s="974" t="s">
        <v>7888</v>
      </c>
      <c r="AG58" s="1598" t="s">
        <v>7791</v>
      </c>
      <c r="AH58" s="1599"/>
      <c r="AI58" s="1081" t="s">
        <v>7889</v>
      </c>
      <c r="AJ58" s="1596" t="s">
        <v>7786</v>
      </c>
      <c r="AK58" s="1597"/>
      <c r="AL58" s="1596" t="s">
        <v>7787</v>
      </c>
      <c r="AM58" s="1597"/>
      <c r="AN58" s="1596" t="s">
        <v>7788</v>
      </c>
      <c r="AO58" s="1597"/>
      <c r="AR58" s="792">
        <v>62</v>
      </c>
      <c r="AS58" s="781">
        <f>IF(OR($C$12=$AR58,$D$12=$AR58),Schweine_Werte!$C58*0.5,IF(OR($C$12&gt;$AR58,$D$12&lt;$AR58),0,Schweine_Werte!$C58))</f>
        <v>0</v>
      </c>
      <c r="AT58" s="716">
        <f>IF(OR($C$24=$AR58,$D$24=$AR58),Schweine_Werte!$C58*0.5,IF(OR($C$24&gt;$AR58,$D$24&lt;$AR58),0,Schweine_Werte!$C58))</f>
        <v>0</v>
      </c>
      <c r="AU58" s="781">
        <f>IF(OR($C$36=$AR58,$D$36=$AR58),Schweine_Werte!$C58*0.5,IF(OR($C$36&gt;$AR58,$D$36&lt;$AR58),0,Schweine_Werte!$C58))</f>
        <v>0</v>
      </c>
      <c r="AV58" s="781">
        <f>IF(OR($C$48=$AR58,$D$48=$AR58),Schweine_Werte!$C58*0.5,IF(OR($C$48&gt;$AR58,$D$48&lt;$AR58),0,Schweine_Werte!$C58))</f>
        <v>0</v>
      </c>
      <c r="AW58" s="781">
        <f>IF(OR($C$60=$AR58,$D$60=$AR58),Schweine_Werte!$C58*0.5,IF(OR($C$60&gt;$AR58,$D$60&lt;$AR58),0,Schweine_Werte!$C58))</f>
        <v>0</v>
      </c>
      <c r="AX58" s="781">
        <f>IF(OR($C$12=$AR58,$D$12=$AR58),Schweine_Werte!$E58*0.5,IF(OR($C$12&gt;$AR58,$D$12&lt;$AR58),0,Schweine_Werte!$E58))</f>
        <v>0</v>
      </c>
      <c r="AY58" s="716">
        <f>IF(OR($C$24=$AR58,$D$24=$AR58),Schweine_Werte!$E58*0.5,IF(OR($C$24&gt;$AR58,$D$24&lt;$AR58),0,Schweine_Werte!$E58))</f>
        <v>0</v>
      </c>
      <c r="AZ58" s="716">
        <f>IF(OR($C$36=$AR58,$D$36=$AR58),Schweine_Werte!$E58*0.5,IF(OR($C$36&gt;$AR58,$D$36&lt;$AR58),0,Schweine_Werte!$E58))</f>
        <v>0</v>
      </c>
      <c r="BA58" s="716">
        <f>IF(OR($C$48=$AR58,$D$48=$AR58),Schweine_Werte!$E58*0.5,IF(OR($C$48&gt;$AR58,$D$48&lt;$AR58),0,Schweine_Werte!$E58))</f>
        <v>0</v>
      </c>
      <c r="BB58" s="716">
        <f>IF(OR($C$60=$AR58,$D$60=$AR58),Schweine_Werte!$E58*0.5,IF(OR($C$60&gt;$AR58,$D$60&lt;$AR58),0,Schweine_Werte!$E58))</f>
        <v>0</v>
      </c>
      <c r="BC58" s="781">
        <f>IF(OR($C$12=$AR58,$D$12=$AR58),Schweine_Werte!$G58*0.5,IF(OR($C$12&gt;$AR58,$D$12&lt;$AR58),0,Schweine_Werte!$G58))</f>
        <v>0</v>
      </c>
      <c r="BD58" s="716">
        <f>IF(OR($C$24=$AR58,$D$24=$AR58),Schweine_Werte!$G58*0.5,IF(OR($C$24&gt;$AR58,$D$24&lt;$AR58),0,Schweine_Werte!$G58))</f>
        <v>0</v>
      </c>
      <c r="BE58" s="716">
        <f>IF(OR($C$36=$AR58,$D$36=$AR58),Schweine_Werte!$G58*0.5,IF(OR($C$36&gt;$AR58,$D$36&lt;$AR58),0,Schweine_Werte!$G58))</f>
        <v>0</v>
      </c>
      <c r="BF58" s="716">
        <f>IF(OR($C$48=$AR58,$D$48=$AR58),Schweine_Werte!$G58*0.5,IF(OR($C$48&gt;$AR58,$D$48&lt;$AR58),0,Schweine_Werte!$G58))</f>
        <v>0</v>
      </c>
      <c r="BG58" s="716">
        <f>IF(OR($C$60=$AR58,$D$60=$AR58),Schweine_Werte!$G58*0.5,IF(OR($C$60&gt;$AR58,$D$60&lt;$AR58),0,Schweine_Werte!$G58))</f>
        <v>0</v>
      </c>
      <c r="BH58" s="781">
        <f>IF(OR($C$12=$AR58,$D$12=$AR58),Schweine_Werte!$I58*0.5,IF(OR($C$12&gt;$AR58,$D$12&lt;$AR58),0,Schweine_Werte!$I58))</f>
        <v>0</v>
      </c>
      <c r="BI58" s="716">
        <f>IF(OR($C$24=$AR58,$D$24=$AR58),Schweine_Werte!$I58*0.5,IF(OR($C$24&gt;$AR58,$D$24&lt;$AR58),0,Schweine_Werte!$I58))</f>
        <v>0</v>
      </c>
      <c r="BJ58" s="716">
        <f>IF(OR($C$36=$AR58,$D$36=$AR58),Schweine_Werte!$I58*0.5,IF(OR($C$36&gt;$AR58,$D$36&lt;$AR58),0,Schweine_Werte!$I58))</f>
        <v>0</v>
      </c>
      <c r="BK58" s="716">
        <f>IF(OR($C$48=$AR58,$D$48=$AR58),Schweine_Werte!$I58*0.5,IF(OR($C$48&gt;$AR58,$D$48&lt;$AR58),0,Schweine_Werte!$I58))</f>
        <v>0</v>
      </c>
      <c r="BL58" s="716">
        <f>IF(OR($C$60=$AR58,$D$60=$AR58),Schweine_Werte!$I58*0.5,IF(OR($C$60&gt;$AR58,$D$60&lt;$AR58),0,Schweine_Werte!$I58))</f>
        <v>0</v>
      </c>
      <c r="BM58" s="781"/>
      <c r="BN58" s="716"/>
      <c r="BO58" s="716"/>
      <c r="BP58" s="716"/>
      <c r="BQ58" s="716"/>
      <c r="BR58" s="781">
        <f>IF(OR($C$74=$AR58,$D$74=$AR58),Schweine_Werte!$M58*0.5,IF(OR($C$74&gt;$AR58,$D$74&lt;$AR58),0,Schweine_Werte!$M58))</f>
        <v>0</v>
      </c>
      <c r="BS58" s="781">
        <f>IF(OR($C$83=$AR58,$D$83=$AR58),Schweine_Werte!$M58*0.5,IF(OR($C$83&gt;$AR58,$D$83&lt;$AR58),0,Schweine_Werte!$M58))</f>
        <v>0</v>
      </c>
      <c r="BT58" s="783">
        <f>IF(OR($C$92=$AR58,$D$92=$AR58),Schweine_Werte!$M58*0.5,IF(OR($C$92&gt;$AR58,$D$92&lt;$AR58),0,Schweine_Werte!$M58))</f>
        <v>0</v>
      </c>
      <c r="BU58" s="783">
        <f>IF(OR($C$101=$AR58,$D$101=$AR58),Schweine_Werte!$M58*0.5,IF(OR($C$101&gt;$AR58,$D$101&lt;$AR58),0,Schweine_Werte!$M58))</f>
        <v>0</v>
      </c>
      <c r="BV58" s="783">
        <f>IF(OR($C$110=$AR58,$D$110=$AR58),Schweine_Werte!$M58*0.5,IF(OR($C$110&gt;$AR58,$D$110&lt;$AR58),0,Schweine_Werte!$M58))</f>
        <v>0</v>
      </c>
      <c r="BW58" s="783">
        <f>IF(OR(8=$AR58,$E$127=$AR58),Schweine_Werte!$M58*0.5,IF(OR(8&gt;$AR58,$E$127&lt;$AR58),0,Schweine_Werte!$M58))</f>
        <v>1.1248275743163625</v>
      </c>
      <c r="BX58" s="783">
        <f>IF(OR(8=$AR58,$E$145=$AR58),Schweine_Werte!$M58*0.5,IF(OR(8&gt;$AR58,$E$145&lt;$AR58),0,Schweine_Werte!$M58))</f>
        <v>1.1248275743163625</v>
      </c>
      <c r="BY58" s="781">
        <f>IF(OR($C$74=$AR58,$D$74=$AR58),Schweine_Werte!$O58*0.5,IF(OR($C$74&gt;$AR58,$D$74&lt;$AR58),0,Schweine_Werte!$O58))</f>
        <v>0</v>
      </c>
      <c r="BZ58" s="781">
        <f>IF(OR($C$83=$AR58,$D$83=$AR58),Schweine_Werte!$O58*0.5,IF(OR($C$83&gt;$AR58,$D$83&lt;$AR58),0,Schweine_Werte!$O58))</f>
        <v>0</v>
      </c>
      <c r="CA58" s="783">
        <f>IF(OR($C$92=$AR58,$D$92=$AR58),Schweine_Werte!$O58*0.5,IF(OR($C$92&gt;$AR58,$D$92&lt;$AR58),0,Schweine_Werte!$O58))</f>
        <v>0</v>
      </c>
      <c r="CB58" s="783">
        <f>IF(OR($C$101=$AR58,$D$101=$AR58),Schweine_Werte!$O58*0.5,IF(OR($C$101&gt;$AR58,$D$101&lt;$AR58),0,Schweine_Werte!$O58))</f>
        <v>0</v>
      </c>
      <c r="CC58" s="783">
        <f>IF(OR($C$110=$AR58,$D$110=$AR58),Schweine_Werte!$O58*0.5,IF(OR($C$110&gt;$AR58,$D$110&lt;$AR58),0,Schweine_Werte!$O58))</f>
        <v>0</v>
      </c>
    </row>
    <row r="59" spans="1:81" ht="18.75" x14ac:dyDescent="0.2">
      <c r="B59" s="786" t="s">
        <v>7705</v>
      </c>
      <c r="C59" s="787" t="s">
        <v>7645</v>
      </c>
      <c r="D59" s="787" t="s">
        <v>7706</v>
      </c>
      <c r="E59" s="787" t="s">
        <v>7647</v>
      </c>
      <c r="F59" s="733" t="s">
        <v>196</v>
      </c>
      <c r="G59" s="662" t="s">
        <v>4</v>
      </c>
      <c r="H59" s="662" t="s">
        <v>7707</v>
      </c>
      <c r="I59" s="662" t="s">
        <v>7708</v>
      </c>
      <c r="J59" s="663" t="s">
        <v>7709</v>
      </c>
      <c r="K59" s="663" t="s">
        <v>7709</v>
      </c>
      <c r="L59" s="664" t="s">
        <v>39</v>
      </c>
      <c r="M59" s="664" t="s">
        <v>7710</v>
      </c>
      <c r="N59" s="664" t="s">
        <v>41</v>
      </c>
      <c r="O59" s="665" t="s">
        <v>0</v>
      </c>
      <c r="P59" s="665" t="s">
        <v>8</v>
      </c>
      <c r="Q59" s="664" t="s">
        <v>39</v>
      </c>
      <c r="R59" s="664" t="s">
        <v>40</v>
      </c>
      <c r="S59" s="664" t="s">
        <v>41</v>
      </c>
      <c r="T59" s="664" t="s">
        <v>39</v>
      </c>
      <c r="U59" s="664" t="s">
        <v>40</v>
      </c>
      <c r="V59" s="664" t="s">
        <v>41</v>
      </c>
      <c r="W59" s="663" t="s">
        <v>7684</v>
      </c>
      <c r="X59" s="663" t="s">
        <v>7685</v>
      </c>
      <c r="Y59" s="663" t="s">
        <v>7686</v>
      </c>
      <c r="Z59" s="788" t="s">
        <v>7789</v>
      </c>
      <c r="AA59" s="788" t="s">
        <v>7790</v>
      </c>
      <c r="AB59" s="788" t="s">
        <v>7789</v>
      </c>
      <c r="AC59" s="788" t="s">
        <v>7790</v>
      </c>
      <c r="AD59" s="788" t="s">
        <v>7789</v>
      </c>
      <c r="AE59" s="788" t="s">
        <v>7790</v>
      </c>
      <c r="AF59" s="788" t="s">
        <v>7890</v>
      </c>
      <c r="AG59" s="983" t="s">
        <v>7891</v>
      </c>
      <c r="AH59" s="788" t="s">
        <v>7892</v>
      </c>
      <c r="AI59" s="788"/>
      <c r="AJ59" s="788" t="s">
        <v>7765</v>
      </c>
      <c r="AK59" s="788" t="s">
        <v>7792</v>
      </c>
      <c r="AL59" s="788" t="s">
        <v>7793</v>
      </c>
      <c r="AM59" s="788" t="s">
        <v>7794</v>
      </c>
      <c r="AN59" s="788" t="s">
        <v>7793</v>
      </c>
      <c r="AO59" s="788" t="s">
        <v>7795</v>
      </c>
      <c r="AR59" s="792">
        <v>63</v>
      </c>
      <c r="AS59" s="781">
        <f>IF(OR($C$12=$AR59,$D$12=$AR59),Schweine_Werte!$C59*0.5,IF(OR($C$12&gt;$AR59,$D$12&lt;$AR59),0,Schweine_Werte!$C59))</f>
        <v>0</v>
      </c>
      <c r="AT59" s="716">
        <f>IF(OR($C$24=$AR59,$D$24=$AR59),Schweine_Werte!$C59*0.5,IF(OR($C$24&gt;$AR59,$D$24&lt;$AR59),0,Schweine_Werte!$C59))</f>
        <v>0</v>
      </c>
      <c r="AU59" s="781">
        <f>IF(OR($C$36=$AR59,$D$36=$AR59),Schweine_Werte!$C59*0.5,IF(OR($C$36&gt;$AR59,$D$36&lt;$AR59),0,Schweine_Werte!$C59))</f>
        <v>0</v>
      </c>
      <c r="AV59" s="781">
        <f>IF(OR($C$48=$AR59,$D$48=$AR59),Schweine_Werte!$C59*0.5,IF(OR($C$48&gt;$AR59,$D$48&lt;$AR59),0,Schweine_Werte!$C59))</f>
        <v>0</v>
      </c>
      <c r="AW59" s="781">
        <f>IF(OR($C$60=$AR59,$D$60=$AR59),Schweine_Werte!$C59*0.5,IF(OR($C$60&gt;$AR59,$D$60&lt;$AR59),0,Schweine_Werte!$C59))</f>
        <v>0</v>
      </c>
      <c r="AX59" s="781">
        <f>IF(OR($C$12=$AR59,$D$12=$AR59),Schweine_Werte!$E59*0.5,IF(OR($C$12&gt;$AR59,$D$12&lt;$AR59),0,Schweine_Werte!$E59))</f>
        <v>0</v>
      </c>
      <c r="AY59" s="716">
        <f>IF(OR($C$24=$AR59,$D$24=$AR59),Schweine_Werte!$E59*0.5,IF(OR($C$24&gt;$AR59,$D$24&lt;$AR59),0,Schweine_Werte!$E59))</f>
        <v>0</v>
      </c>
      <c r="AZ59" s="716">
        <f>IF(OR($C$36=$AR59,$D$36=$AR59),Schweine_Werte!$E59*0.5,IF(OR($C$36&gt;$AR59,$D$36&lt;$AR59),0,Schweine_Werte!$E59))</f>
        <v>0</v>
      </c>
      <c r="BA59" s="716">
        <f>IF(OR($C$48=$AR59,$D$48=$AR59),Schweine_Werte!$E59*0.5,IF(OR($C$48&gt;$AR59,$D$48&lt;$AR59),0,Schweine_Werte!$E59))</f>
        <v>0</v>
      </c>
      <c r="BB59" s="716">
        <f>IF(OR($C$60=$AR59,$D$60=$AR59),Schweine_Werte!$E59*0.5,IF(OR($C$60&gt;$AR59,$D$60&lt;$AR59),0,Schweine_Werte!$E59))</f>
        <v>0</v>
      </c>
      <c r="BC59" s="781">
        <f>IF(OR($C$12=$AR59,$D$12=$AR59),Schweine_Werte!$G59*0.5,IF(OR($C$12&gt;$AR59,$D$12&lt;$AR59),0,Schweine_Werte!$G59))</f>
        <v>0</v>
      </c>
      <c r="BD59" s="716">
        <f>IF(OR($C$24=$AR59,$D$24=$AR59),Schweine_Werte!$G59*0.5,IF(OR($C$24&gt;$AR59,$D$24&lt;$AR59),0,Schweine_Werte!$G59))</f>
        <v>0</v>
      </c>
      <c r="BE59" s="716">
        <f>IF(OR($C$36=$AR59,$D$36=$AR59),Schweine_Werte!$G59*0.5,IF(OR($C$36&gt;$AR59,$D$36&lt;$AR59),0,Schweine_Werte!$G59))</f>
        <v>0</v>
      </c>
      <c r="BF59" s="716">
        <f>IF(OR($C$48=$AR59,$D$48=$AR59),Schweine_Werte!$G59*0.5,IF(OR($C$48&gt;$AR59,$D$48&lt;$AR59),0,Schweine_Werte!$G59))</f>
        <v>0</v>
      </c>
      <c r="BG59" s="716">
        <f>IF(OR($C$60=$AR59,$D$60=$AR59),Schweine_Werte!$G59*0.5,IF(OR($C$60&gt;$AR59,$D$60&lt;$AR59),0,Schweine_Werte!$G59))</f>
        <v>0</v>
      </c>
      <c r="BH59" s="781">
        <f>IF(OR($C$12=$AR59,$D$12=$AR59),Schweine_Werte!$I59*0.5,IF(OR($C$12&gt;$AR59,$D$12&lt;$AR59),0,Schweine_Werte!$I59))</f>
        <v>0</v>
      </c>
      <c r="BI59" s="716">
        <f>IF(OR($C$24=$AR59,$D$24=$AR59),Schweine_Werte!$I59*0.5,IF(OR($C$24&gt;$AR59,$D$24&lt;$AR59),0,Schweine_Werte!$I59))</f>
        <v>0</v>
      </c>
      <c r="BJ59" s="716">
        <f>IF(OR($C$36=$AR59,$D$36=$AR59),Schweine_Werte!$I59*0.5,IF(OR($C$36&gt;$AR59,$D$36&lt;$AR59),0,Schweine_Werte!$I59))</f>
        <v>0</v>
      </c>
      <c r="BK59" s="716">
        <f>IF(OR($C$48=$AR59,$D$48=$AR59),Schweine_Werte!$I59*0.5,IF(OR($C$48&gt;$AR59,$D$48&lt;$AR59),0,Schweine_Werte!$I59))</f>
        <v>0</v>
      </c>
      <c r="BL59" s="716">
        <f>IF(OR($C$60=$AR59,$D$60=$AR59),Schweine_Werte!$I59*0.5,IF(OR($C$60&gt;$AR59,$D$60&lt;$AR59),0,Schweine_Werte!$I59))</f>
        <v>0</v>
      </c>
      <c r="BM59" s="781"/>
      <c r="BN59" s="716"/>
      <c r="BO59" s="716"/>
      <c r="BP59" s="716"/>
      <c r="BQ59" s="716"/>
      <c r="BR59" s="781">
        <f>IF(OR($C$74=$AR59,$D$74=$AR59),Schweine_Werte!$M59*0.5,IF(OR($C$74&gt;$AR59,$D$74&lt;$AR59),0,Schweine_Werte!$M59))</f>
        <v>0</v>
      </c>
      <c r="BS59" s="781">
        <f>IF(OR($C$83=$AR59,$D$83=$AR59),Schweine_Werte!$M59*0.5,IF(OR($C$83&gt;$AR59,$D$83&lt;$AR59),0,Schweine_Werte!$M59))</f>
        <v>0</v>
      </c>
      <c r="BT59" s="783">
        <f>IF(OR($C$92=$AR59,$D$92=$AR59),Schweine_Werte!$M59*0.5,IF(OR($C$92&gt;$AR59,$D$92&lt;$AR59),0,Schweine_Werte!$M59))</f>
        <v>0</v>
      </c>
      <c r="BU59" s="783">
        <f>IF(OR($C$101=$AR59,$D$101=$AR59),Schweine_Werte!$M59*0.5,IF(OR($C$101&gt;$AR59,$D$101&lt;$AR59),0,Schweine_Werte!$M59))</f>
        <v>0</v>
      </c>
      <c r="BV59" s="783">
        <f>IF(OR($C$110=$AR59,$D$110=$AR59),Schweine_Werte!$M59*0.5,IF(OR($C$110&gt;$AR59,$D$110&lt;$AR59),0,Schweine_Werte!$M59))</f>
        <v>0</v>
      </c>
      <c r="BW59" s="783">
        <f>IF(OR(8=$AR59,$E$127=$AR59),Schweine_Werte!$M59*0.5,IF(OR(8&gt;$AR59,$E$127&lt;$AR59),0,Schweine_Werte!$M59))</f>
        <v>1.1210940768302988</v>
      </c>
      <c r="BX59" s="783">
        <f>IF(OR(8=$AR59,$E$145=$AR59),Schweine_Werte!$M59*0.5,IF(OR(8&gt;$AR59,$E$145&lt;$AR59),0,Schweine_Werte!$M59))</f>
        <v>1.1210940768302988</v>
      </c>
      <c r="BY59" s="781">
        <f>IF(OR($C$74=$AR59,$D$74=$AR59),Schweine_Werte!$O59*0.5,IF(OR($C$74&gt;$AR59,$D$74&lt;$AR59),0,Schweine_Werte!$O59))</f>
        <v>0</v>
      </c>
      <c r="BZ59" s="781">
        <f>IF(OR($C$83=$AR59,$D$83=$AR59),Schweine_Werte!$O59*0.5,IF(OR($C$83&gt;$AR59,$D$83&lt;$AR59),0,Schweine_Werte!$O59))</f>
        <v>0</v>
      </c>
      <c r="CA59" s="783">
        <f>IF(OR($C$92=$AR59,$D$92=$AR59),Schweine_Werte!$O59*0.5,IF(OR($C$92&gt;$AR59,$D$92&lt;$AR59),0,Schweine_Werte!$O59))</f>
        <v>0</v>
      </c>
      <c r="CB59" s="783">
        <f>IF(OR($C$101=$AR59,$D$101=$AR59),Schweine_Werte!$O59*0.5,IF(OR($C$101&gt;$AR59,$D$101&lt;$AR59),0,Schweine_Werte!$O59))</f>
        <v>0</v>
      </c>
      <c r="CC59" s="783">
        <f>IF(OR($C$110=$AR59,$D$110=$AR59),Schweine_Werte!$O59*0.5,IF(OR($C$110&gt;$AR59,$D$110&lt;$AR59),0,Schweine_Werte!$O59))</f>
        <v>0</v>
      </c>
    </row>
    <row r="60" spans="1:81" ht="15.75" x14ac:dyDescent="0.2">
      <c r="A60" t="s">
        <v>7777</v>
      </c>
      <c r="B60" s="756" t="str">
        <f>IF('Abweichende Werte'!W9=1,'Abweichende Werte'!F9,"")</f>
        <v/>
      </c>
      <c r="C60" s="666" t="str">
        <f>IF('Abweichende Werte'!W9=1,'Abweichende Werte'!J9,"")</f>
        <v/>
      </c>
      <c r="D60" s="666" t="str">
        <f>IF('Abweichende Werte'!W9=1,'Abweichende Werte'!M9,"")</f>
        <v/>
      </c>
      <c r="E60" s="801" t="str">
        <f>IF('Abweichende Werte'!W9=1,'Abweichende Werte'!P9,"")</f>
        <v/>
      </c>
      <c r="F60" s="789" t="e">
        <f>IF($E60&lt;=$E53,F53,IF(AND($E60&gt;$E53,$E60&lt;=$E54),F53+(F54-F53)/($E54-$E53)*($E60-$E53),IF(AND($E60&gt;$E54,$E60&lt;=$E55),F54+(F55-F54)/($E55-$E54)*($E60-$E54),IF(AND($E60&gt;$E55,$E60&lt;=$E56),F55+(F56-F55)/($E56-$E55)*($E60-$E55),IF($E60&gt;$E56,F56)))))</f>
        <v>#VALUE!</v>
      </c>
      <c r="G60" s="789" t="e">
        <f t="shared" ref="G60:N60" si="33">IF($E60&lt;=$E53,G53,IF(AND($E60&gt;$E53,$E60&lt;=$E54),G53+(G54-G53)/($E54-$E53)*($E60-$E53),IF(AND($E60&gt;$E54,$E60&lt;=$E55),G54+(G55-G54)/($E55-$E54)*($E60-$E54),IF(AND($E60&gt;$E55,$E60&lt;=$E56),G55+(G56-G55)/($E56-$E55)*($E60-$E55),IF($E60&gt;$E56,G56)))))</f>
        <v>#VALUE!</v>
      </c>
      <c r="H60" s="789" t="e">
        <f t="shared" si="33"/>
        <v>#VALUE!</v>
      </c>
      <c r="I60" s="789" t="e">
        <f t="shared" si="33"/>
        <v>#VALUE!</v>
      </c>
      <c r="J60" s="789" t="e">
        <f t="shared" si="33"/>
        <v>#VALUE!</v>
      </c>
      <c r="K60" s="789" t="e">
        <f t="shared" si="33"/>
        <v>#VALUE!</v>
      </c>
      <c r="L60" s="789" t="e">
        <f t="shared" si="33"/>
        <v>#VALUE!</v>
      </c>
      <c r="M60" s="789" t="e">
        <f t="shared" si="33"/>
        <v>#VALUE!</v>
      </c>
      <c r="N60" s="789" t="e">
        <f t="shared" si="33"/>
        <v>#VALUE!</v>
      </c>
      <c r="O60" s="790">
        <v>5.5</v>
      </c>
      <c r="P60" s="790">
        <v>1.8</v>
      </c>
      <c r="Q60" s="789" t="e">
        <f t="shared" ref="Q60:Z60" si="34">IF($E60&lt;=$E53,Q53,IF(AND($E60&gt;$E53,$E60&lt;=$E54),Q53+(Q54-Q53)/($E54-$E53)*($E60-$E53),IF(AND($E60&gt;$E54,$E60&lt;=$E55),Q54+(Q55-Q54)/($E55-$E54)*($E60-$E54),IF(AND($E60&gt;$E55,$E60&lt;=$E56),Q55+(Q56-Q55)/($E56-$E55)*($E60-$E55),IF($E60&gt;$E56,Q56)))))</f>
        <v>#VALUE!</v>
      </c>
      <c r="R60" s="789" t="e">
        <f t="shared" si="34"/>
        <v>#VALUE!</v>
      </c>
      <c r="S60" s="789" t="e">
        <f t="shared" si="34"/>
        <v>#VALUE!</v>
      </c>
      <c r="T60" s="789" t="e">
        <f t="shared" si="34"/>
        <v>#VALUE!</v>
      </c>
      <c r="U60" s="789" t="e">
        <f t="shared" si="34"/>
        <v>#VALUE!</v>
      </c>
      <c r="V60" s="789" t="e">
        <f t="shared" si="34"/>
        <v>#VALUE!</v>
      </c>
      <c r="W60" s="789" t="e">
        <f t="shared" si="34"/>
        <v>#VALUE!</v>
      </c>
      <c r="X60" s="789" t="e">
        <f t="shared" si="34"/>
        <v>#VALUE!</v>
      </c>
      <c r="Y60" s="789" t="e">
        <f t="shared" si="34"/>
        <v>#VALUE!</v>
      </c>
      <c r="Z60" s="789" t="e">
        <f t="shared" si="34"/>
        <v>#VALUE!</v>
      </c>
      <c r="AA60" s="791" t="e">
        <f>+Z60*6.25</f>
        <v>#VALUE!</v>
      </c>
      <c r="AB60" s="789" t="e">
        <f t="shared" ref="AB60" si="35">IF($E60&lt;=$E53,AB53,IF(AND($E60&gt;$E53,$E60&lt;=$E54),AB53+(AB54-AB53)/($E54-$E53)*($E60-$E53),IF(AND($E60&gt;$E54,$E60&lt;=$E55),AB54+(AB55-AB54)/($E55-$E54)*($E60-$E54),IF(AND($E60&gt;$E55,$E60&lt;=$E56),AB55+(AB56-AB55)/($E56-$E55)*($E60-$E55),IF($E60&gt;$E56,AB56)))))</f>
        <v>#VALUE!</v>
      </c>
      <c r="AC60" s="791" t="e">
        <f>+AB60*6.25</f>
        <v>#VALUE!</v>
      </c>
      <c r="AD60" s="789" t="e">
        <f t="shared" ref="AD60" si="36">IF($E60&lt;=$E53,AD53,IF(AND($E60&gt;$E53,$E60&lt;=$E54),AD53+(AD54-AD53)/($E54-$E53)*($E60-$E53),IF(AND($E60&gt;$E54,$E60&lt;=$E55),AD54+(AD55-AD54)/($E55-$E54)*($E60-$E54),IF(AND($E60&gt;$E55,$E60&lt;=$E56),AD55+(AD56-AD55)/($E56-$E55)*($E60-$E55),IF($E60&gt;$E56,AD56)))))</f>
        <v>#VALUE!</v>
      </c>
      <c r="AE60" s="791" t="e">
        <f>+AD60*6.25</f>
        <v>#VALUE!</v>
      </c>
      <c r="AF60" s="791" t="e">
        <f>365/((D60-C60)/E60*1000)</f>
        <v>#VALUE!</v>
      </c>
      <c r="AG60" s="789" t="e">
        <f>IF($E60&lt;=$E53,AG53,IF(AND($E60&gt;$E53,$E60&lt;=$E54),AG53+(AG54-AG53)/($E54-$E53)*($E60-$E53),IF(AND($E60&gt;$E54,$E60&lt;=$E55),AG54+(AG55-AG54)/($E55-$E54)*($E60-$E54),IF(AND($E60&gt;$E55,$E60&lt;=$E56),AG55+(AG56-AG55)/($E56-$E55)*($E60-$E55),IF($E60&gt;$E56,AG56)))))</f>
        <v>#VALUE!</v>
      </c>
      <c r="AH60" s="791" t="e">
        <f>+AG60/AF60</f>
        <v>#VALUE!</v>
      </c>
      <c r="AI60" s="791" t="e">
        <f>+CONCATENATE(ROUND(AH60/(D60-C60),1)," : 1")</f>
        <v>#VALUE!</v>
      </c>
      <c r="AJ60" s="789" t="e">
        <f t="shared" ref="AJ60" si="37">IF($E60&lt;=$E53,AJ53,IF(AND($E60&gt;$E53,$E60&lt;=$E54),AJ53+(AJ54-AJ53)/($E54-$E53)*($E60-$E53),IF(AND($E60&gt;$E54,$E60&lt;=$E55),AJ54+(AJ55-AJ54)/($E55-$E54)*($E60-$E54),IF(AND($E60&gt;$E55,$E60&lt;=$E56),AJ55+(AJ56-AJ55)/($E56-$E55)*($E60-$E55),IF($E60&gt;$E56,AJ56)))))</f>
        <v>#VALUE!</v>
      </c>
      <c r="AK60" s="791" t="e">
        <f>+AJ60/2.291</f>
        <v>#VALUE!</v>
      </c>
      <c r="AL60" s="789" t="e">
        <f t="shared" ref="AL60" si="38">IF($E60&lt;=$E53,AL53,IF(AND($E60&gt;$E53,$E60&lt;=$E54),AL53+(AL54-AL53)/($E54-$E53)*($E60-$E53),IF(AND($E60&gt;$E54,$E60&lt;=$E55),AL54+(AL55-AL54)/($E55-$E54)*($E60-$E54),IF(AND($E60&gt;$E55,$E60&lt;=$E56),AL55+(AL56-AL55)/($E56-$E55)*($E60-$E55),IF($E60&gt;$E56,AL56)))))</f>
        <v>#VALUE!</v>
      </c>
      <c r="AM60" s="791" t="e">
        <f>+AL60/2.291</f>
        <v>#VALUE!</v>
      </c>
      <c r="AN60" s="789" t="e">
        <f t="shared" ref="AN60" si="39">IF($E60&lt;=$E53,AN53,IF(AND($E60&gt;$E53,$E60&lt;=$E54),AN53+(AN54-AN53)/($E54-$E53)*($E60-$E53),IF(AND($E60&gt;$E54,$E60&lt;=$E55),AN54+(AN55-AN54)/($E55-$E54)*($E60-$E54),IF(AND($E60&gt;$E55,$E60&lt;=$E56),AN55+(AN56-AN55)/($E56-$E55)*($E60-$E55),IF($E60&gt;$E56,AN56)))))</f>
        <v>#VALUE!</v>
      </c>
      <c r="AO60" s="791" t="e">
        <f>+AN60/2.291</f>
        <v>#VALUE!</v>
      </c>
      <c r="AR60" s="792">
        <v>64</v>
      </c>
      <c r="AS60" s="781">
        <f>IF(OR($C$12=$AR60,$D$12=$AR60),Schweine_Werte!$C60*0.5,IF(OR($C$12&gt;$AR60,$D$12&lt;$AR60),0,Schweine_Werte!$C60))</f>
        <v>0</v>
      </c>
      <c r="AT60" s="716">
        <f>IF(OR($C$24=$AR60,$D$24=$AR60),Schweine_Werte!$C60*0.5,IF(OR($C$24&gt;$AR60,$D$24&lt;$AR60),0,Schweine_Werte!$C60))</f>
        <v>0</v>
      </c>
      <c r="AU60" s="781">
        <f>IF(OR($C$36=$AR60,$D$36=$AR60),Schweine_Werte!$C60*0.5,IF(OR($C$36&gt;$AR60,$D$36&lt;$AR60),0,Schweine_Werte!$C60))</f>
        <v>0</v>
      </c>
      <c r="AV60" s="781">
        <f>IF(OR($C$48=$AR60,$D$48=$AR60),Schweine_Werte!$C60*0.5,IF(OR($C$48&gt;$AR60,$D$48&lt;$AR60),0,Schweine_Werte!$C60))</f>
        <v>0</v>
      </c>
      <c r="AW60" s="781">
        <f>IF(OR($C$60=$AR60,$D$60=$AR60),Schweine_Werte!$C60*0.5,IF(OR($C$60&gt;$AR60,$D$60&lt;$AR60),0,Schweine_Werte!$C60))</f>
        <v>0</v>
      </c>
      <c r="AX60" s="781">
        <f>IF(OR($C$12=$AR60,$D$12=$AR60),Schweine_Werte!$E60*0.5,IF(OR($C$12&gt;$AR60,$D$12&lt;$AR60),0,Schweine_Werte!$E60))</f>
        <v>0</v>
      </c>
      <c r="AY60" s="716">
        <f>IF(OR($C$24=$AR60,$D$24=$AR60),Schweine_Werte!$E60*0.5,IF(OR($C$24&gt;$AR60,$D$24&lt;$AR60),0,Schweine_Werte!$E60))</f>
        <v>0</v>
      </c>
      <c r="AZ60" s="716">
        <f>IF(OR($C$36=$AR60,$D$36=$AR60),Schweine_Werte!$E60*0.5,IF(OR($C$36&gt;$AR60,$D$36&lt;$AR60),0,Schweine_Werte!$E60))</f>
        <v>0</v>
      </c>
      <c r="BA60" s="716">
        <f>IF(OR($C$48=$AR60,$D$48=$AR60),Schweine_Werte!$E60*0.5,IF(OR($C$48&gt;$AR60,$D$48&lt;$AR60),0,Schweine_Werte!$E60))</f>
        <v>0</v>
      </c>
      <c r="BB60" s="716">
        <f>IF(OR($C$60=$AR60,$D$60=$AR60),Schweine_Werte!$E60*0.5,IF(OR($C$60&gt;$AR60,$D$60&lt;$AR60),0,Schweine_Werte!$E60))</f>
        <v>0</v>
      </c>
      <c r="BC60" s="781">
        <f>IF(OR($C$12=$AR60,$D$12=$AR60),Schweine_Werte!$G60*0.5,IF(OR($C$12&gt;$AR60,$D$12&lt;$AR60),0,Schweine_Werte!$G60))</f>
        <v>0</v>
      </c>
      <c r="BD60" s="716">
        <f>IF(OR($C$24=$AR60,$D$24=$AR60),Schweine_Werte!$G60*0.5,IF(OR($C$24&gt;$AR60,$D$24&lt;$AR60),0,Schweine_Werte!$G60))</f>
        <v>0</v>
      </c>
      <c r="BE60" s="716">
        <f>IF(OR($C$36=$AR60,$D$36=$AR60),Schweine_Werte!$G60*0.5,IF(OR($C$36&gt;$AR60,$D$36&lt;$AR60),0,Schweine_Werte!$G60))</f>
        <v>0</v>
      </c>
      <c r="BF60" s="716">
        <f>IF(OR($C$48=$AR60,$D$48=$AR60),Schweine_Werte!$G60*0.5,IF(OR($C$48&gt;$AR60,$D$48&lt;$AR60),0,Schweine_Werte!$G60))</f>
        <v>0</v>
      </c>
      <c r="BG60" s="716">
        <f>IF(OR($C$60=$AR60,$D$60=$AR60),Schweine_Werte!$G60*0.5,IF(OR($C$60&gt;$AR60,$D$60&lt;$AR60),0,Schweine_Werte!$G60))</f>
        <v>0</v>
      </c>
      <c r="BH60" s="781">
        <f>IF(OR($C$12=$AR60,$D$12=$AR60),Schweine_Werte!$I60*0.5,IF(OR($C$12&gt;$AR60,$D$12&lt;$AR60),0,Schweine_Werte!$I60))</f>
        <v>0</v>
      </c>
      <c r="BI60" s="716">
        <f>IF(OR($C$24=$AR60,$D$24=$AR60),Schweine_Werte!$I60*0.5,IF(OR($C$24&gt;$AR60,$D$24&lt;$AR60),0,Schweine_Werte!$I60))</f>
        <v>0</v>
      </c>
      <c r="BJ60" s="716">
        <f>IF(OR($C$36=$AR60,$D$36=$AR60),Schweine_Werte!$I60*0.5,IF(OR($C$36&gt;$AR60,$D$36&lt;$AR60),0,Schweine_Werte!$I60))</f>
        <v>0</v>
      </c>
      <c r="BK60" s="716">
        <f>IF(OR($C$48=$AR60,$D$48=$AR60),Schweine_Werte!$I60*0.5,IF(OR($C$48&gt;$AR60,$D$48&lt;$AR60),0,Schweine_Werte!$I60))</f>
        <v>0</v>
      </c>
      <c r="BL60" s="716">
        <f>IF(OR($C$60=$AR60,$D$60=$AR60),Schweine_Werte!$I60*0.5,IF(OR($C$60&gt;$AR60,$D$60&lt;$AR60),0,Schweine_Werte!$I60))</f>
        <v>0</v>
      </c>
      <c r="BM60" s="781"/>
      <c r="BN60" s="716"/>
      <c r="BO60" s="716"/>
      <c r="BP60" s="716"/>
      <c r="BQ60" s="716"/>
      <c r="BR60" s="781">
        <f>IF(OR($C$74=$AR60,$D$74=$AR60),Schweine_Werte!$M60*0.5,IF(OR($C$74&gt;$AR60,$D$74&lt;$AR60),0,Schweine_Werte!$M60))</f>
        <v>0</v>
      </c>
      <c r="BS60" s="781">
        <f>IF(OR($C$83=$AR60,$D$83=$AR60),Schweine_Werte!$M60*0.5,IF(OR($C$83&gt;$AR60,$D$83&lt;$AR60),0,Schweine_Werte!$M60))</f>
        <v>0</v>
      </c>
      <c r="BT60" s="783">
        <f>IF(OR($C$92=$AR60,$D$92=$AR60),Schweine_Werte!$M60*0.5,IF(OR($C$92&gt;$AR60,$D$92&lt;$AR60),0,Schweine_Werte!$M60))</f>
        <v>0</v>
      </c>
      <c r="BU60" s="783">
        <f>IF(OR($C$101=$AR60,$D$101=$AR60),Schweine_Werte!$M60*0.5,IF(OR($C$101&gt;$AR60,$D$101&lt;$AR60),0,Schweine_Werte!$M60))</f>
        <v>0</v>
      </c>
      <c r="BV60" s="783">
        <f>IF(OR($C$110=$AR60,$D$110=$AR60),Schweine_Werte!$M60*0.5,IF(OR($C$110&gt;$AR60,$D$110&lt;$AR60),0,Schweine_Werte!$M60))</f>
        <v>0</v>
      </c>
      <c r="BW60" s="783">
        <f>IF(OR(8=$AR60,$E$127=$AR60),Schweine_Werte!$M60*0.5,IF(OR(8&gt;$AR60,$E$127&lt;$AR60),0,Schweine_Werte!$M60))</f>
        <v>1.1177555614589696</v>
      </c>
      <c r="BX60" s="783">
        <f>IF(OR(8=$AR60,$E$145=$AR60),Schweine_Werte!$M60*0.5,IF(OR(8&gt;$AR60,$E$145&lt;$AR60),0,Schweine_Werte!$M60))</f>
        <v>1.1177555614589696</v>
      </c>
      <c r="BY60" s="781">
        <f>IF(OR($C$74=$AR60,$D$74=$AR60),Schweine_Werte!$O60*0.5,IF(OR($C$74&gt;$AR60,$D$74&lt;$AR60),0,Schweine_Werte!$O60))</f>
        <v>0</v>
      </c>
      <c r="BZ60" s="781">
        <f>IF(OR($C$83=$AR60,$D$83=$AR60),Schweine_Werte!$O60*0.5,IF(OR($C$83&gt;$AR60,$D$83&lt;$AR60),0,Schweine_Werte!$O60))</f>
        <v>0</v>
      </c>
      <c r="CA60" s="783">
        <f>IF(OR($C$92=$AR60,$D$92=$AR60),Schweine_Werte!$O60*0.5,IF(OR($C$92&gt;$AR60,$D$92&lt;$AR60),0,Schweine_Werte!$O60))</f>
        <v>0</v>
      </c>
      <c r="CB60" s="783">
        <f>IF(OR($C$101=$AR60,$D$101=$AR60),Schweine_Werte!$O60*0.5,IF(OR($C$101&gt;$AR60,$D$101&lt;$AR60),0,Schweine_Werte!$O60))</f>
        <v>0</v>
      </c>
      <c r="CC60" s="783">
        <f>IF(OR($C$110=$AR60,$D$110=$AR60),Schweine_Werte!$O60*0.5,IF(OR($C$110&gt;$AR60,$D$110&lt;$AR60),0,Schweine_Werte!$O60))</f>
        <v>0</v>
      </c>
    </row>
    <row r="61" spans="1:81" x14ac:dyDescent="0.2">
      <c r="AR61" s="792">
        <v>65</v>
      </c>
      <c r="AS61" s="781">
        <f>IF(OR($C$12=$AR61,$D$12=$AR61),Schweine_Werte!$C61*0.5,IF(OR($C$12&gt;$AR61,$D$12&lt;$AR61),0,Schweine_Werte!$C61))</f>
        <v>0</v>
      </c>
      <c r="AT61" s="716">
        <f>IF(OR($C$24=$AR61,$D$24=$AR61),Schweine_Werte!$C61*0.5,IF(OR($C$24&gt;$AR61,$D$24&lt;$AR61),0,Schweine_Werte!$C61))</f>
        <v>0</v>
      </c>
      <c r="AU61" s="781">
        <f>IF(OR($C$36=$AR61,$D$36=$AR61),Schweine_Werte!$C61*0.5,IF(OR($C$36&gt;$AR61,$D$36&lt;$AR61),0,Schweine_Werte!$C61))</f>
        <v>0</v>
      </c>
      <c r="AV61" s="781">
        <f>IF(OR($C$48=$AR61,$D$48=$AR61),Schweine_Werte!$C61*0.5,IF(OR($C$48&gt;$AR61,$D$48&lt;$AR61),0,Schweine_Werte!$C61))</f>
        <v>0</v>
      </c>
      <c r="AW61" s="781">
        <f>IF(OR($C$60=$AR61,$D$60=$AR61),Schweine_Werte!$C61*0.5,IF(OR($C$60&gt;$AR61,$D$60&lt;$AR61),0,Schweine_Werte!$C61))</f>
        <v>0</v>
      </c>
      <c r="AX61" s="781">
        <f>IF(OR($C$12=$AR61,$D$12=$AR61),Schweine_Werte!$E61*0.5,IF(OR($C$12&gt;$AR61,$D$12&lt;$AR61),0,Schweine_Werte!$E61))</f>
        <v>0</v>
      </c>
      <c r="AY61" s="716">
        <f>IF(OR($C$24=$AR61,$D$24=$AR61),Schweine_Werte!$E61*0.5,IF(OR($C$24&gt;$AR61,$D$24&lt;$AR61),0,Schweine_Werte!$E61))</f>
        <v>0</v>
      </c>
      <c r="AZ61" s="716">
        <f>IF(OR($C$36=$AR61,$D$36=$AR61),Schweine_Werte!$E61*0.5,IF(OR($C$36&gt;$AR61,$D$36&lt;$AR61),0,Schweine_Werte!$E61))</f>
        <v>0</v>
      </c>
      <c r="BA61" s="716">
        <f>IF(OR($C$48=$AR61,$D$48=$AR61),Schweine_Werte!$E61*0.5,IF(OR($C$48&gt;$AR61,$D$48&lt;$AR61),0,Schweine_Werte!$E61))</f>
        <v>0</v>
      </c>
      <c r="BB61" s="716">
        <f>IF(OR($C$60=$AR61,$D$60=$AR61),Schweine_Werte!$E61*0.5,IF(OR($C$60&gt;$AR61,$D$60&lt;$AR61),0,Schweine_Werte!$E61))</f>
        <v>0</v>
      </c>
      <c r="BC61" s="781">
        <f>IF(OR($C$12=$AR61,$D$12=$AR61),Schweine_Werte!$G61*0.5,IF(OR($C$12&gt;$AR61,$D$12&lt;$AR61),0,Schweine_Werte!$G61))</f>
        <v>0</v>
      </c>
      <c r="BD61" s="716">
        <f>IF(OR($C$24=$AR61,$D$24=$AR61),Schweine_Werte!$G61*0.5,IF(OR($C$24&gt;$AR61,$D$24&lt;$AR61),0,Schweine_Werte!$G61))</f>
        <v>0</v>
      </c>
      <c r="BE61" s="716">
        <f>IF(OR($C$36=$AR61,$D$36=$AR61),Schweine_Werte!$G61*0.5,IF(OR($C$36&gt;$AR61,$D$36&lt;$AR61),0,Schweine_Werte!$G61))</f>
        <v>0</v>
      </c>
      <c r="BF61" s="716">
        <f>IF(OR($C$48=$AR61,$D$48=$AR61),Schweine_Werte!$G61*0.5,IF(OR($C$48&gt;$AR61,$D$48&lt;$AR61),0,Schweine_Werte!$G61))</f>
        <v>0</v>
      </c>
      <c r="BG61" s="716">
        <f>IF(OR($C$60=$AR61,$D$60=$AR61),Schweine_Werte!$G61*0.5,IF(OR($C$60&gt;$AR61,$D$60&lt;$AR61),0,Schweine_Werte!$G61))</f>
        <v>0</v>
      </c>
      <c r="BH61" s="781">
        <f>IF(OR($C$12=$AR61,$D$12=$AR61),Schweine_Werte!$I61*0.5,IF(OR($C$12&gt;$AR61,$D$12&lt;$AR61),0,Schweine_Werte!$I61))</f>
        <v>0</v>
      </c>
      <c r="BI61" s="716">
        <f>IF(OR($C$24=$AR61,$D$24=$AR61),Schweine_Werte!$I61*0.5,IF(OR($C$24&gt;$AR61,$D$24&lt;$AR61),0,Schweine_Werte!$I61))</f>
        <v>0</v>
      </c>
      <c r="BJ61" s="716">
        <f>IF(OR($C$36=$AR61,$D$36=$AR61),Schweine_Werte!$I61*0.5,IF(OR($C$36&gt;$AR61,$D$36&lt;$AR61),0,Schweine_Werte!$I61))</f>
        <v>0</v>
      </c>
      <c r="BK61" s="716">
        <f>IF(OR($C$48=$AR61,$D$48=$AR61),Schweine_Werte!$I61*0.5,IF(OR($C$48&gt;$AR61,$D$48&lt;$AR61),0,Schweine_Werte!$I61))</f>
        <v>0</v>
      </c>
      <c r="BL61" s="716">
        <f>IF(OR($C$60=$AR61,$D$60=$AR61),Schweine_Werte!$I61*0.5,IF(OR($C$60&gt;$AR61,$D$60&lt;$AR61),0,Schweine_Werte!$I61))</f>
        <v>0</v>
      </c>
      <c r="BM61" s="781"/>
      <c r="BN61" s="716"/>
      <c r="BO61" s="716"/>
      <c r="BP61" s="716"/>
      <c r="BQ61" s="716"/>
      <c r="BR61" s="781">
        <f>IF(OR($C$74=$AR61,$D$74=$AR61),Schweine_Werte!$M61*0.5,IF(OR($C$74&gt;$AR61,$D$74&lt;$AR61),0,Schweine_Werte!$M61))</f>
        <v>0</v>
      </c>
      <c r="BS61" s="781">
        <f>IF(OR($C$83=$AR61,$D$83=$AR61),Schweine_Werte!$M61*0.5,IF(OR($C$83&gt;$AR61,$D$83&lt;$AR61),0,Schweine_Werte!$M61))</f>
        <v>0</v>
      </c>
      <c r="BT61" s="783">
        <f>IF(OR($C$92=$AR61,$D$92=$AR61),Schweine_Werte!$M61*0.5,IF(OR($C$92&gt;$AR61,$D$92&lt;$AR61),0,Schweine_Werte!$M61))</f>
        <v>0</v>
      </c>
      <c r="BU61" s="783">
        <f>IF(OR($C$101=$AR61,$D$101=$AR61),Schweine_Werte!$M61*0.5,IF(OR($C$101&gt;$AR61,$D$101&lt;$AR61),0,Schweine_Werte!$M61))</f>
        <v>0</v>
      </c>
      <c r="BV61" s="783">
        <f>IF(OR($C$110=$AR61,$D$110=$AR61),Schweine_Werte!$M61*0.5,IF(OR($C$110&gt;$AR61,$D$110&lt;$AR61),0,Schweine_Werte!$M61))</f>
        <v>0</v>
      </c>
      <c r="BW61" s="783">
        <f>IF(OR(8=$AR61,$E$127=$AR61),Schweine_Werte!$M61*0.5,IF(OR(8&gt;$AR61,$E$127&lt;$AR61),0,Schweine_Werte!$M61))</f>
        <v>1.1148053306975045</v>
      </c>
      <c r="BX61" s="783">
        <f>IF(OR(8=$AR61,$E$145=$AR61),Schweine_Werte!$M61*0.5,IF(OR(8&gt;$AR61,$E$145&lt;$AR61),0,Schweine_Werte!$M61))</f>
        <v>1.1148053306975045</v>
      </c>
      <c r="BY61" s="781">
        <f>IF(OR($C$74=$AR61,$D$74=$AR61),Schweine_Werte!$O61*0.5,IF(OR($C$74&gt;$AR61,$D$74&lt;$AR61),0,Schweine_Werte!$O61))</f>
        <v>0</v>
      </c>
      <c r="BZ61" s="781">
        <f>IF(OR($C$83=$AR61,$D$83=$AR61),Schweine_Werte!$O61*0.5,IF(OR($C$83&gt;$AR61,$D$83&lt;$AR61),0,Schweine_Werte!$O61))</f>
        <v>0</v>
      </c>
      <c r="CA61" s="783">
        <f>IF(OR($C$92=$AR61,$D$92=$AR61),Schweine_Werte!$O61*0.5,IF(OR($C$92&gt;$AR61,$D$92&lt;$AR61),0,Schweine_Werte!$O61))</f>
        <v>0</v>
      </c>
      <c r="CB61" s="783">
        <f>IF(OR($C$101=$AR61,$D$101=$AR61),Schweine_Werte!$O61*0.5,IF(OR($C$101&gt;$AR61,$D$101&lt;$AR61),0,Schweine_Werte!$O61))</f>
        <v>0</v>
      </c>
      <c r="CC61" s="783">
        <f>IF(OR($C$110=$AR61,$D$110=$AR61),Schweine_Werte!$O61*0.5,IF(OR($C$110&gt;$AR61,$D$110&lt;$AR61),0,Schweine_Werte!$O61))</f>
        <v>0</v>
      </c>
    </row>
    <row r="62" spans="1:81" x14ac:dyDescent="0.2">
      <c r="AR62" s="792">
        <v>66</v>
      </c>
      <c r="AS62" s="781">
        <f>IF(OR($C$12=$AR62,$D$12=$AR62),Schweine_Werte!$C62*0.5,IF(OR($C$12&gt;$AR62,$D$12&lt;$AR62),0,Schweine_Werte!$C62))</f>
        <v>0</v>
      </c>
      <c r="AT62" s="716">
        <f>IF(OR($C$24=$AR62,$D$24=$AR62),Schweine_Werte!$C62*0.5,IF(OR($C$24&gt;$AR62,$D$24&lt;$AR62),0,Schweine_Werte!$C62))</f>
        <v>0</v>
      </c>
      <c r="AU62" s="781">
        <f>IF(OR($C$36=$AR62,$D$36=$AR62),Schweine_Werte!$C62*0.5,IF(OR($C$36&gt;$AR62,$D$36&lt;$AR62),0,Schweine_Werte!$C62))</f>
        <v>0</v>
      </c>
      <c r="AV62" s="781">
        <f>IF(OR($C$48=$AR62,$D$48=$AR62),Schweine_Werte!$C62*0.5,IF(OR($C$48&gt;$AR62,$D$48&lt;$AR62),0,Schweine_Werte!$C62))</f>
        <v>0</v>
      </c>
      <c r="AW62" s="781">
        <f>IF(OR($C$60=$AR62,$D$60=$AR62),Schweine_Werte!$C62*0.5,IF(OR($C$60&gt;$AR62,$D$60&lt;$AR62),0,Schweine_Werte!$C62))</f>
        <v>0</v>
      </c>
      <c r="AX62" s="781">
        <f>IF(OR($C$12=$AR62,$D$12=$AR62),Schweine_Werte!$E62*0.5,IF(OR($C$12&gt;$AR62,$D$12&lt;$AR62),0,Schweine_Werte!$E62))</f>
        <v>0</v>
      </c>
      <c r="AY62" s="716">
        <f>IF(OR($C$24=$AR62,$D$24=$AR62),Schweine_Werte!$E62*0.5,IF(OR($C$24&gt;$AR62,$D$24&lt;$AR62),0,Schweine_Werte!$E62))</f>
        <v>0</v>
      </c>
      <c r="AZ62" s="716">
        <f>IF(OR($C$36=$AR62,$D$36=$AR62),Schweine_Werte!$E62*0.5,IF(OR($C$36&gt;$AR62,$D$36&lt;$AR62),0,Schweine_Werte!$E62))</f>
        <v>0</v>
      </c>
      <c r="BA62" s="716">
        <f>IF(OR($C$48=$AR62,$D$48=$AR62),Schweine_Werte!$E62*0.5,IF(OR($C$48&gt;$AR62,$D$48&lt;$AR62),0,Schweine_Werte!$E62))</f>
        <v>0</v>
      </c>
      <c r="BB62" s="716">
        <f>IF(OR($C$60=$AR62,$D$60=$AR62),Schweine_Werte!$E62*0.5,IF(OR($C$60&gt;$AR62,$D$60&lt;$AR62),0,Schweine_Werte!$E62))</f>
        <v>0</v>
      </c>
      <c r="BC62" s="781">
        <f>IF(OR($C$12=$AR62,$D$12=$AR62),Schweine_Werte!$G62*0.5,IF(OR($C$12&gt;$AR62,$D$12&lt;$AR62),0,Schweine_Werte!$G62))</f>
        <v>0</v>
      </c>
      <c r="BD62" s="716">
        <f>IF(OR($C$24=$AR62,$D$24=$AR62),Schweine_Werte!$G62*0.5,IF(OR($C$24&gt;$AR62,$D$24&lt;$AR62),0,Schweine_Werte!$G62))</f>
        <v>0</v>
      </c>
      <c r="BE62" s="716">
        <f>IF(OR($C$36=$AR62,$D$36=$AR62),Schweine_Werte!$G62*0.5,IF(OR($C$36&gt;$AR62,$D$36&lt;$AR62),0,Schweine_Werte!$G62))</f>
        <v>0</v>
      </c>
      <c r="BF62" s="716">
        <f>IF(OR($C$48=$AR62,$D$48=$AR62),Schweine_Werte!$G62*0.5,IF(OR($C$48&gt;$AR62,$D$48&lt;$AR62),0,Schweine_Werte!$G62))</f>
        <v>0</v>
      </c>
      <c r="BG62" s="716">
        <f>IF(OR($C$60=$AR62,$D$60=$AR62),Schweine_Werte!$G62*0.5,IF(OR($C$60&gt;$AR62,$D$60&lt;$AR62),0,Schweine_Werte!$G62))</f>
        <v>0</v>
      </c>
      <c r="BH62" s="781">
        <f>IF(OR($C$12=$AR62,$D$12=$AR62),Schweine_Werte!$I62*0.5,IF(OR($C$12&gt;$AR62,$D$12&lt;$AR62),0,Schweine_Werte!$I62))</f>
        <v>0</v>
      </c>
      <c r="BI62" s="716">
        <f>IF(OR($C$24=$AR62,$D$24=$AR62),Schweine_Werte!$I62*0.5,IF(OR($C$24&gt;$AR62,$D$24&lt;$AR62),0,Schweine_Werte!$I62))</f>
        <v>0</v>
      </c>
      <c r="BJ62" s="716">
        <f>IF(OR($C$36=$AR62,$D$36=$AR62),Schweine_Werte!$I62*0.5,IF(OR($C$36&gt;$AR62,$D$36&lt;$AR62),0,Schweine_Werte!$I62))</f>
        <v>0</v>
      </c>
      <c r="BK62" s="716">
        <f>IF(OR($C$48=$AR62,$D$48=$AR62),Schweine_Werte!$I62*0.5,IF(OR($C$48&gt;$AR62,$D$48&lt;$AR62),0,Schweine_Werte!$I62))</f>
        <v>0</v>
      </c>
      <c r="BL62" s="716">
        <f>IF(OR($C$60=$AR62,$D$60=$AR62),Schweine_Werte!$I62*0.5,IF(OR($C$60&gt;$AR62,$D$60&lt;$AR62),0,Schweine_Werte!$I62))</f>
        <v>0</v>
      </c>
      <c r="BM62" s="781"/>
      <c r="BN62" s="716"/>
      <c r="BO62" s="716"/>
      <c r="BP62" s="716"/>
      <c r="BQ62" s="716"/>
      <c r="BR62" s="781">
        <f>IF(OR($C$74=$AR62,$D$74=$AR62),Schweine_Werte!$M62*0.5,IF(OR($C$74&gt;$AR62,$D$74&lt;$AR62),0,Schweine_Werte!$M62))</f>
        <v>0</v>
      </c>
      <c r="BS62" s="781">
        <f>IF(OR($C$83=$AR62,$D$83=$AR62),Schweine_Werte!$M62*0.5,IF(OR($C$83&gt;$AR62,$D$83&lt;$AR62),0,Schweine_Werte!$M62))</f>
        <v>0</v>
      </c>
      <c r="BT62" s="783">
        <f>IF(OR($C$92=$AR62,$D$92=$AR62),Schweine_Werte!$M62*0.5,IF(OR($C$92&gt;$AR62,$D$92&lt;$AR62),0,Schweine_Werte!$M62))</f>
        <v>0</v>
      </c>
      <c r="BU62" s="783">
        <f>IF(OR($C$101=$AR62,$D$101=$AR62),Schweine_Werte!$M62*0.5,IF(OR($C$101&gt;$AR62,$D$101&lt;$AR62),0,Schweine_Werte!$M62))</f>
        <v>0</v>
      </c>
      <c r="BV62" s="783">
        <f>IF(OR($C$110=$AR62,$D$110=$AR62),Schweine_Werte!$M62*0.5,IF(OR($C$110&gt;$AR62,$D$110&lt;$AR62),0,Schweine_Werte!$M62))</f>
        <v>0</v>
      </c>
      <c r="BW62" s="783">
        <f>IF(OR(8=$AR62,$E$127=$AR62),Schweine_Werte!$M62*0.5,IF(OR(8&gt;$AR62,$E$127&lt;$AR62),0,Schweine_Werte!$M62))</f>
        <v>1.1122375143918541</v>
      </c>
      <c r="BX62" s="783">
        <f>IF(OR(8=$AR62,$E$145=$AR62),Schweine_Werte!$M62*0.5,IF(OR(8&gt;$AR62,$E$145&lt;$AR62),0,Schweine_Werte!$M62))</f>
        <v>1.1122375143918541</v>
      </c>
      <c r="BY62" s="781">
        <f>IF(OR($C$74=$AR62,$D$74=$AR62),Schweine_Werte!$O62*0.5,IF(OR($C$74&gt;$AR62,$D$74&lt;$AR62),0,Schweine_Werte!$O62))</f>
        <v>0</v>
      </c>
      <c r="BZ62" s="781">
        <f>IF(OR($C$83=$AR62,$D$83=$AR62),Schweine_Werte!$O62*0.5,IF(OR($C$83&gt;$AR62,$D$83&lt;$AR62),0,Schweine_Werte!$O62))</f>
        <v>0</v>
      </c>
      <c r="CA62" s="783">
        <f>IF(OR($C$92=$AR62,$D$92=$AR62),Schweine_Werte!$O62*0.5,IF(OR($C$92&gt;$AR62,$D$92&lt;$AR62),0,Schweine_Werte!$O62))</f>
        <v>0</v>
      </c>
      <c r="CB62" s="783">
        <f>IF(OR($C$101=$AR62,$D$101=$AR62),Schweine_Werte!$O62*0.5,IF(OR($C$101&gt;$AR62,$D$101&lt;$AR62),0,Schweine_Werte!$O62))</f>
        <v>0</v>
      </c>
      <c r="CC62" s="783">
        <f>IF(OR($C$110=$AR62,$D$110=$AR62),Schweine_Werte!$O62*0.5,IF(OR($C$110&gt;$AR62,$D$110&lt;$AR62),0,Schweine_Werte!$O62))</f>
        <v>0</v>
      </c>
    </row>
    <row r="63" spans="1:81" x14ac:dyDescent="0.2">
      <c r="AR63" s="792">
        <v>67</v>
      </c>
      <c r="AS63" s="781">
        <f>IF(OR($C$12=$AR63,$D$12=$AR63),Schweine_Werte!$C63*0.5,IF(OR($C$12&gt;$AR63,$D$12&lt;$AR63),0,Schweine_Werte!$C63))</f>
        <v>0</v>
      </c>
      <c r="AT63" s="716">
        <f>IF(OR($C$24=$AR63,$D$24=$AR63),Schweine_Werte!$C63*0.5,IF(OR($C$24&gt;$AR63,$D$24&lt;$AR63),0,Schweine_Werte!$C63))</f>
        <v>0</v>
      </c>
      <c r="AU63" s="781">
        <f>IF(OR($C$36=$AR63,$D$36=$AR63),Schweine_Werte!$C63*0.5,IF(OR($C$36&gt;$AR63,$D$36&lt;$AR63),0,Schweine_Werte!$C63))</f>
        <v>0</v>
      </c>
      <c r="AV63" s="781">
        <f>IF(OR($C$48=$AR63,$D$48=$AR63),Schweine_Werte!$C63*0.5,IF(OR($C$48&gt;$AR63,$D$48&lt;$AR63),0,Schweine_Werte!$C63))</f>
        <v>0</v>
      </c>
      <c r="AW63" s="781">
        <f>IF(OR($C$60=$AR63,$D$60=$AR63),Schweine_Werte!$C63*0.5,IF(OR($C$60&gt;$AR63,$D$60&lt;$AR63),0,Schweine_Werte!$C63))</f>
        <v>0</v>
      </c>
      <c r="AX63" s="781">
        <f>IF(OR($C$12=$AR63,$D$12=$AR63),Schweine_Werte!$E63*0.5,IF(OR($C$12&gt;$AR63,$D$12&lt;$AR63),0,Schweine_Werte!$E63))</f>
        <v>0</v>
      </c>
      <c r="AY63" s="716">
        <f>IF(OR($C$24=$AR63,$D$24=$AR63),Schweine_Werte!$E63*0.5,IF(OR($C$24&gt;$AR63,$D$24&lt;$AR63),0,Schweine_Werte!$E63))</f>
        <v>0</v>
      </c>
      <c r="AZ63" s="716">
        <f>IF(OR($C$36=$AR63,$D$36=$AR63),Schweine_Werte!$E63*0.5,IF(OR($C$36&gt;$AR63,$D$36&lt;$AR63),0,Schweine_Werte!$E63))</f>
        <v>0</v>
      </c>
      <c r="BA63" s="716">
        <f>IF(OR($C$48=$AR63,$D$48=$AR63),Schweine_Werte!$E63*0.5,IF(OR($C$48&gt;$AR63,$D$48&lt;$AR63),0,Schweine_Werte!$E63))</f>
        <v>0</v>
      </c>
      <c r="BB63" s="716">
        <f>IF(OR($C$60=$AR63,$D$60=$AR63),Schweine_Werte!$E63*0.5,IF(OR($C$60&gt;$AR63,$D$60&lt;$AR63),0,Schweine_Werte!$E63))</f>
        <v>0</v>
      </c>
      <c r="BC63" s="781">
        <f>IF(OR($C$12=$AR63,$D$12=$AR63),Schweine_Werte!$G63*0.5,IF(OR($C$12&gt;$AR63,$D$12&lt;$AR63),0,Schweine_Werte!$G63))</f>
        <v>0</v>
      </c>
      <c r="BD63" s="716">
        <f>IF(OR($C$24=$AR63,$D$24=$AR63),Schweine_Werte!$G63*0.5,IF(OR($C$24&gt;$AR63,$D$24&lt;$AR63),0,Schweine_Werte!$G63))</f>
        <v>0</v>
      </c>
      <c r="BE63" s="716">
        <f>IF(OR($C$36=$AR63,$D$36=$AR63),Schweine_Werte!$G63*0.5,IF(OR($C$36&gt;$AR63,$D$36&lt;$AR63),0,Schweine_Werte!$G63))</f>
        <v>0</v>
      </c>
      <c r="BF63" s="716">
        <f>IF(OR($C$48=$AR63,$D$48=$AR63),Schweine_Werte!$G63*0.5,IF(OR($C$48&gt;$AR63,$D$48&lt;$AR63),0,Schweine_Werte!$G63))</f>
        <v>0</v>
      </c>
      <c r="BG63" s="716">
        <f>IF(OR($C$60=$AR63,$D$60=$AR63),Schweine_Werte!$G63*0.5,IF(OR($C$60&gt;$AR63,$D$60&lt;$AR63),0,Schweine_Werte!$G63))</f>
        <v>0</v>
      </c>
      <c r="BH63" s="781">
        <f>IF(OR($C$12=$AR63,$D$12=$AR63),Schweine_Werte!$I63*0.5,IF(OR($C$12&gt;$AR63,$D$12&lt;$AR63),0,Schweine_Werte!$I63))</f>
        <v>0</v>
      </c>
      <c r="BI63" s="716">
        <f>IF(OR($C$24=$AR63,$D$24=$AR63),Schweine_Werte!$I63*0.5,IF(OR($C$24&gt;$AR63,$D$24&lt;$AR63),0,Schweine_Werte!$I63))</f>
        <v>0</v>
      </c>
      <c r="BJ63" s="716">
        <f>IF(OR($C$36=$AR63,$D$36=$AR63),Schweine_Werte!$I63*0.5,IF(OR($C$36&gt;$AR63,$D$36&lt;$AR63),0,Schweine_Werte!$I63))</f>
        <v>0</v>
      </c>
      <c r="BK63" s="716">
        <f>IF(OR($C$48=$AR63,$D$48=$AR63),Schweine_Werte!$I63*0.5,IF(OR($C$48&gt;$AR63,$D$48&lt;$AR63),0,Schweine_Werte!$I63))</f>
        <v>0</v>
      </c>
      <c r="BL63" s="716">
        <f>IF(OR($C$60=$AR63,$D$60=$AR63),Schweine_Werte!$I63*0.5,IF(OR($C$60&gt;$AR63,$D$60&lt;$AR63),0,Schweine_Werte!$I63))</f>
        <v>0</v>
      </c>
      <c r="BM63" s="781"/>
      <c r="BN63" s="716"/>
      <c r="BO63" s="716"/>
      <c r="BP63" s="716"/>
      <c r="BQ63" s="716"/>
      <c r="BR63" s="781">
        <f>IF(OR($C$74=$AR63,$D$74=$AR63),Schweine_Werte!$M63*0.5,IF(OR($C$74&gt;$AR63,$D$74&lt;$AR63),0,Schweine_Werte!$M63))</f>
        <v>0</v>
      </c>
      <c r="BS63" s="781">
        <f>IF(OR($C$83=$AR63,$D$83=$AR63),Schweine_Werte!$M63*0.5,IF(OR($C$83&gt;$AR63,$D$83&lt;$AR63),0,Schweine_Werte!$M63))</f>
        <v>0</v>
      </c>
      <c r="BT63" s="783">
        <f>IF(OR($C$92=$AR63,$D$92=$AR63),Schweine_Werte!$M63*0.5,IF(OR($C$92&gt;$AR63,$D$92&lt;$AR63),0,Schweine_Werte!$M63))</f>
        <v>0</v>
      </c>
      <c r="BU63" s="783">
        <f>IF(OR($C$101=$AR63,$D$101=$AR63),Schweine_Werte!$M63*0.5,IF(OR($C$101&gt;$AR63,$D$101&lt;$AR63),0,Schweine_Werte!$M63))</f>
        <v>0</v>
      </c>
      <c r="BV63" s="783">
        <f>IF(OR($C$110=$AR63,$D$110=$AR63),Schweine_Werte!$M63*0.5,IF(OR($C$110&gt;$AR63,$D$110&lt;$AR63),0,Schweine_Werte!$M63))</f>
        <v>0</v>
      </c>
      <c r="BW63" s="783">
        <f>IF(OR(8=$AR63,$E$127=$AR63),Schweine_Werte!$M63*0.5,IF(OR(8&gt;$AR63,$E$127&lt;$AR63),0,Schweine_Werte!$M63))</f>
        <v>1.1100470401249107</v>
      </c>
      <c r="BX63" s="783">
        <f>IF(OR(8=$AR63,$E$145=$AR63),Schweine_Werte!$M63*0.5,IF(OR(8&gt;$AR63,$E$145&lt;$AR63),0,Schweine_Werte!$M63))</f>
        <v>1.1100470401249107</v>
      </c>
      <c r="BY63" s="781">
        <f>IF(OR($C$74=$AR63,$D$74=$AR63),Schweine_Werte!$O63*0.5,IF(OR($C$74&gt;$AR63,$D$74&lt;$AR63),0,Schweine_Werte!$O63))</f>
        <v>0</v>
      </c>
      <c r="BZ63" s="781">
        <f>IF(OR($C$83=$AR63,$D$83=$AR63),Schweine_Werte!$O63*0.5,IF(OR($C$83&gt;$AR63,$D$83&lt;$AR63),0,Schweine_Werte!$O63))</f>
        <v>0</v>
      </c>
      <c r="CA63" s="783">
        <f>IF(OR($C$92=$AR63,$D$92=$AR63),Schweine_Werte!$O63*0.5,IF(OR($C$92&gt;$AR63,$D$92&lt;$AR63),0,Schweine_Werte!$O63))</f>
        <v>0</v>
      </c>
      <c r="CB63" s="783">
        <f>IF(OR($C$101=$AR63,$D$101=$AR63),Schweine_Werte!$O63*0.5,IF(OR($C$101&gt;$AR63,$D$101&lt;$AR63),0,Schweine_Werte!$O63))</f>
        <v>0</v>
      </c>
      <c r="CC63" s="783">
        <f>IF(OR($C$110=$AR63,$D$110=$AR63),Schweine_Werte!$O63*0.5,IF(OR($C$110&gt;$AR63,$D$110&lt;$AR63),0,Schweine_Werte!$O63))</f>
        <v>0</v>
      </c>
    </row>
    <row r="64" spans="1:81" x14ac:dyDescent="0.2">
      <c r="AR64" s="792">
        <v>68</v>
      </c>
      <c r="AS64" s="781">
        <f>IF(OR($C$12=$AR64,$D$12=$AR64),Schweine_Werte!$C64*0.5,IF(OR($C$12&gt;$AR64,$D$12&lt;$AR64),0,Schweine_Werte!$C64))</f>
        <v>0</v>
      </c>
      <c r="AT64" s="716">
        <f>IF(OR($C$24=$AR64,$D$24=$AR64),Schweine_Werte!$C64*0.5,IF(OR($C$24&gt;$AR64,$D$24&lt;$AR64),0,Schweine_Werte!$C64))</f>
        <v>0</v>
      </c>
      <c r="AU64" s="781">
        <f>IF(OR($C$36=$AR64,$D$36=$AR64),Schweine_Werte!$C64*0.5,IF(OR($C$36&gt;$AR64,$D$36&lt;$AR64),0,Schweine_Werte!$C64))</f>
        <v>0</v>
      </c>
      <c r="AV64" s="781">
        <f>IF(OR($C$48=$AR64,$D$48=$AR64),Schweine_Werte!$C64*0.5,IF(OR($C$48&gt;$AR64,$D$48&lt;$AR64),0,Schweine_Werte!$C64))</f>
        <v>0</v>
      </c>
      <c r="AW64" s="781">
        <f>IF(OR($C$60=$AR64,$D$60=$AR64),Schweine_Werte!$C64*0.5,IF(OR($C$60&gt;$AR64,$D$60&lt;$AR64),0,Schweine_Werte!$C64))</f>
        <v>0</v>
      </c>
      <c r="AX64" s="781">
        <f>IF(OR($C$12=$AR64,$D$12=$AR64),Schweine_Werte!$E64*0.5,IF(OR($C$12&gt;$AR64,$D$12&lt;$AR64),0,Schweine_Werte!$E64))</f>
        <v>0</v>
      </c>
      <c r="AY64" s="716">
        <f>IF(OR($C$24=$AR64,$D$24=$AR64),Schweine_Werte!$E64*0.5,IF(OR($C$24&gt;$AR64,$D$24&lt;$AR64),0,Schweine_Werte!$E64))</f>
        <v>0</v>
      </c>
      <c r="AZ64" s="716">
        <f>IF(OR($C$36=$AR64,$D$36=$AR64),Schweine_Werte!$E64*0.5,IF(OR($C$36&gt;$AR64,$D$36&lt;$AR64),0,Schweine_Werte!$E64))</f>
        <v>0</v>
      </c>
      <c r="BA64" s="716">
        <f>IF(OR($C$48=$AR64,$D$48=$AR64),Schweine_Werte!$E64*0.5,IF(OR($C$48&gt;$AR64,$D$48&lt;$AR64),0,Schweine_Werte!$E64))</f>
        <v>0</v>
      </c>
      <c r="BB64" s="716">
        <f>IF(OR($C$60=$AR64,$D$60=$AR64),Schweine_Werte!$E64*0.5,IF(OR($C$60&gt;$AR64,$D$60&lt;$AR64),0,Schweine_Werte!$E64))</f>
        <v>0</v>
      </c>
      <c r="BC64" s="781">
        <f>IF(OR($C$12=$AR64,$D$12=$AR64),Schweine_Werte!$G64*0.5,IF(OR($C$12&gt;$AR64,$D$12&lt;$AR64),0,Schweine_Werte!$G64))</f>
        <v>0</v>
      </c>
      <c r="BD64" s="716">
        <f>IF(OR($C$24=$AR64,$D$24=$AR64),Schweine_Werte!$G64*0.5,IF(OR($C$24&gt;$AR64,$D$24&lt;$AR64),0,Schweine_Werte!$G64))</f>
        <v>0</v>
      </c>
      <c r="BE64" s="716">
        <f>IF(OR($C$36=$AR64,$D$36=$AR64),Schweine_Werte!$G64*0.5,IF(OR($C$36&gt;$AR64,$D$36&lt;$AR64),0,Schweine_Werte!$G64))</f>
        <v>0</v>
      </c>
      <c r="BF64" s="716">
        <f>IF(OR($C$48=$AR64,$D$48=$AR64),Schweine_Werte!$G64*0.5,IF(OR($C$48&gt;$AR64,$D$48&lt;$AR64),0,Schweine_Werte!$G64))</f>
        <v>0</v>
      </c>
      <c r="BG64" s="716">
        <f>IF(OR($C$60=$AR64,$D$60=$AR64),Schweine_Werte!$G64*0.5,IF(OR($C$60&gt;$AR64,$D$60&lt;$AR64),0,Schweine_Werte!$G64))</f>
        <v>0</v>
      </c>
      <c r="BH64" s="781">
        <f>IF(OR($C$12=$AR64,$D$12=$AR64),Schweine_Werte!$I64*0.5,IF(OR($C$12&gt;$AR64,$D$12&lt;$AR64),0,Schweine_Werte!$I64))</f>
        <v>0</v>
      </c>
      <c r="BI64" s="716">
        <f>IF(OR($C$24=$AR64,$D$24=$AR64),Schweine_Werte!$I64*0.5,IF(OR($C$24&gt;$AR64,$D$24&lt;$AR64),0,Schweine_Werte!$I64))</f>
        <v>0</v>
      </c>
      <c r="BJ64" s="716">
        <f>IF(OR($C$36=$AR64,$D$36=$AR64),Schweine_Werte!$I64*0.5,IF(OR($C$36&gt;$AR64,$D$36&lt;$AR64),0,Schweine_Werte!$I64))</f>
        <v>0</v>
      </c>
      <c r="BK64" s="716">
        <f>IF(OR($C$48=$AR64,$D$48=$AR64),Schweine_Werte!$I64*0.5,IF(OR($C$48&gt;$AR64,$D$48&lt;$AR64),0,Schweine_Werte!$I64))</f>
        <v>0</v>
      </c>
      <c r="BL64" s="716">
        <f>IF(OR($C$60=$AR64,$D$60=$AR64),Schweine_Werte!$I64*0.5,IF(OR($C$60&gt;$AR64,$D$60&lt;$AR64),0,Schweine_Werte!$I64))</f>
        <v>0</v>
      </c>
      <c r="BM64" s="781"/>
      <c r="BN64" s="716"/>
      <c r="BO64" s="716"/>
      <c r="BP64" s="716"/>
      <c r="BQ64" s="716"/>
      <c r="BR64" s="781">
        <f>IF(OR($C$74=$AR64,$D$74=$AR64),Schweine_Werte!$M64*0.5,IF(OR($C$74&gt;$AR64,$D$74&lt;$AR64),0,Schweine_Werte!$M64))</f>
        <v>0</v>
      </c>
      <c r="BS64" s="781">
        <f>IF(OR($C$83=$AR64,$D$83=$AR64),Schweine_Werte!$M64*0.5,IF(OR($C$83&gt;$AR64,$D$83&lt;$AR64),0,Schweine_Werte!$M64))</f>
        <v>0</v>
      </c>
      <c r="BT64" s="783">
        <f>IF(OR($C$92=$AR64,$D$92=$AR64),Schweine_Werte!$M64*0.5,IF(OR($C$92&gt;$AR64,$D$92&lt;$AR64),0,Schweine_Werte!$M64))</f>
        <v>0</v>
      </c>
      <c r="BU64" s="783">
        <f>IF(OR($C$101=$AR64,$D$101=$AR64),Schweine_Werte!$M64*0.5,IF(OR($C$101&gt;$AR64,$D$101&lt;$AR64),0,Schweine_Werte!$M64))</f>
        <v>0</v>
      </c>
      <c r="BV64" s="783">
        <f>IF(OR($C$110=$AR64,$D$110=$AR64),Schweine_Werte!$M64*0.5,IF(OR($C$110&gt;$AR64,$D$110&lt;$AR64),0,Schweine_Werte!$M64))</f>
        <v>0</v>
      </c>
      <c r="BW64" s="783">
        <f>IF(OR(8=$AR64,$E$127=$AR64),Schweine_Werte!$M64*0.5,IF(OR(8&gt;$AR64,$E$127&lt;$AR64),0,Schweine_Werte!$M64))</f>
        <v>1.1082296078893841</v>
      </c>
      <c r="BX64" s="783">
        <f>IF(OR(8=$AR64,$E$145=$AR64),Schweine_Werte!$M64*0.5,IF(OR(8&gt;$AR64,$E$145&lt;$AR64),0,Schweine_Werte!$M64))</f>
        <v>1.1082296078893841</v>
      </c>
      <c r="BY64" s="781">
        <f>IF(OR($C$74=$AR64,$D$74=$AR64),Schweine_Werte!$O64*0.5,IF(OR($C$74&gt;$AR64,$D$74&lt;$AR64),0,Schweine_Werte!$O64))</f>
        <v>0</v>
      </c>
      <c r="BZ64" s="781">
        <f>IF(OR($C$83=$AR64,$D$83=$AR64),Schweine_Werte!$O64*0.5,IF(OR($C$83&gt;$AR64,$D$83&lt;$AR64),0,Schweine_Werte!$O64))</f>
        <v>0</v>
      </c>
      <c r="CA64" s="783">
        <f>IF(OR($C$92=$AR64,$D$92=$AR64),Schweine_Werte!$O64*0.5,IF(OR($C$92&gt;$AR64,$D$92&lt;$AR64),0,Schweine_Werte!$O64))</f>
        <v>0</v>
      </c>
      <c r="CB64" s="783">
        <f>IF(OR($C$101=$AR64,$D$101=$AR64),Schweine_Werte!$O64*0.5,IF(OR($C$101&gt;$AR64,$D$101&lt;$AR64),0,Schweine_Werte!$O64))</f>
        <v>0</v>
      </c>
      <c r="CC64" s="783">
        <f>IF(OR($C$110=$AR64,$D$110=$AR64),Schweine_Werte!$O64*0.5,IF(OR($C$110&gt;$AR64,$D$110&lt;$AR64),0,Schweine_Werte!$O64))</f>
        <v>0</v>
      </c>
    </row>
    <row r="65" spans="1:81" ht="18.75" x14ac:dyDescent="0.3">
      <c r="B65" s="773" t="s">
        <v>7796</v>
      </c>
      <c r="C65" s="774"/>
      <c r="D65" s="774"/>
      <c r="E65" s="774"/>
      <c r="F65" s="774"/>
      <c r="G65" s="774"/>
      <c r="H65" s="775"/>
      <c r="I65" s="770"/>
      <c r="AR65" s="792">
        <v>69</v>
      </c>
      <c r="AS65" s="781">
        <f>IF(OR($C$12=$AR65,$D$12=$AR65),Schweine_Werte!$C65*0.5,IF(OR($C$12&gt;$AR65,$D$12&lt;$AR65),0,Schweine_Werte!$C65))</f>
        <v>0</v>
      </c>
      <c r="AT65" s="716">
        <f>IF(OR($C$24=$AR65,$D$24=$AR65),Schweine_Werte!$C65*0.5,IF(OR($C$24&gt;$AR65,$D$24&lt;$AR65),0,Schweine_Werte!$C65))</f>
        <v>0</v>
      </c>
      <c r="AU65" s="781">
        <f>IF(OR($C$36=$AR65,$D$36=$AR65),Schweine_Werte!$C65*0.5,IF(OR($C$36&gt;$AR65,$D$36&lt;$AR65),0,Schweine_Werte!$C65))</f>
        <v>0</v>
      </c>
      <c r="AV65" s="781">
        <f>IF(OR($C$48=$AR65,$D$48=$AR65),Schweine_Werte!$C65*0.5,IF(OR($C$48&gt;$AR65,$D$48&lt;$AR65),0,Schweine_Werte!$C65))</f>
        <v>0</v>
      </c>
      <c r="AW65" s="781">
        <f>IF(OR($C$60=$AR65,$D$60=$AR65),Schweine_Werte!$C65*0.5,IF(OR($C$60&gt;$AR65,$D$60&lt;$AR65),0,Schweine_Werte!$C65))</f>
        <v>0</v>
      </c>
      <c r="AX65" s="781">
        <f>IF(OR($C$12=$AR65,$D$12=$AR65),Schweine_Werte!$E65*0.5,IF(OR($C$12&gt;$AR65,$D$12&lt;$AR65),0,Schweine_Werte!$E65))</f>
        <v>0</v>
      </c>
      <c r="AY65" s="716">
        <f>IF(OR($C$24=$AR65,$D$24=$AR65),Schweine_Werte!$E65*0.5,IF(OR($C$24&gt;$AR65,$D$24&lt;$AR65),0,Schweine_Werte!$E65))</f>
        <v>0</v>
      </c>
      <c r="AZ65" s="716">
        <f>IF(OR($C$36=$AR65,$D$36=$AR65),Schweine_Werte!$E65*0.5,IF(OR($C$36&gt;$AR65,$D$36&lt;$AR65),0,Schweine_Werte!$E65))</f>
        <v>0</v>
      </c>
      <c r="BA65" s="716">
        <f>IF(OR($C$48=$AR65,$D$48=$AR65),Schweine_Werte!$E65*0.5,IF(OR($C$48&gt;$AR65,$D$48&lt;$AR65),0,Schweine_Werte!$E65))</f>
        <v>0</v>
      </c>
      <c r="BB65" s="716">
        <f>IF(OR($C$60=$AR65,$D$60=$AR65),Schweine_Werte!$E65*0.5,IF(OR($C$60&gt;$AR65,$D$60&lt;$AR65),0,Schweine_Werte!$E65))</f>
        <v>0</v>
      </c>
      <c r="BC65" s="781">
        <f>IF(OR($C$12=$AR65,$D$12=$AR65),Schweine_Werte!$G65*0.5,IF(OR($C$12&gt;$AR65,$D$12&lt;$AR65),0,Schweine_Werte!$G65))</f>
        <v>0</v>
      </c>
      <c r="BD65" s="716">
        <f>IF(OR($C$24=$AR65,$D$24=$AR65),Schweine_Werte!$G65*0.5,IF(OR($C$24&gt;$AR65,$D$24&lt;$AR65),0,Schweine_Werte!$G65))</f>
        <v>0</v>
      </c>
      <c r="BE65" s="716">
        <f>IF(OR($C$36=$AR65,$D$36=$AR65),Schweine_Werte!$G65*0.5,IF(OR($C$36&gt;$AR65,$D$36&lt;$AR65),0,Schweine_Werte!$G65))</f>
        <v>0</v>
      </c>
      <c r="BF65" s="716">
        <f>IF(OR($C$48=$AR65,$D$48=$AR65),Schweine_Werte!$G65*0.5,IF(OR($C$48&gt;$AR65,$D$48&lt;$AR65),0,Schweine_Werte!$G65))</f>
        <v>0</v>
      </c>
      <c r="BG65" s="716">
        <f>IF(OR($C$60=$AR65,$D$60=$AR65),Schweine_Werte!$G65*0.5,IF(OR($C$60&gt;$AR65,$D$60&lt;$AR65),0,Schweine_Werte!$G65))</f>
        <v>0</v>
      </c>
      <c r="BH65" s="781">
        <f>IF(OR($C$12=$AR65,$D$12=$AR65),Schweine_Werte!$I65*0.5,IF(OR($C$12&gt;$AR65,$D$12&lt;$AR65),0,Schweine_Werte!$I65))</f>
        <v>0</v>
      </c>
      <c r="BI65" s="716">
        <f>IF(OR($C$24=$AR65,$D$24=$AR65),Schweine_Werte!$I65*0.5,IF(OR($C$24&gt;$AR65,$D$24&lt;$AR65),0,Schweine_Werte!$I65))</f>
        <v>0</v>
      </c>
      <c r="BJ65" s="716">
        <f>IF(OR($C$36=$AR65,$D$36=$AR65),Schweine_Werte!$I65*0.5,IF(OR($C$36&gt;$AR65,$D$36&lt;$AR65),0,Schweine_Werte!$I65))</f>
        <v>0</v>
      </c>
      <c r="BK65" s="716">
        <f>IF(OR($C$48=$AR65,$D$48=$AR65),Schweine_Werte!$I65*0.5,IF(OR($C$48&gt;$AR65,$D$48&lt;$AR65),0,Schweine_Werte!$I65))</f>
        <v>0</v>
      </c>
      <c r="BL65" s="716">
        <f>IF(OR($C$60=$AR65,$D$60=$AR65),Schweine_Werte!$I65*0.5,IF(OR($C$60&gt;$AR65,$D$60&lt;$AR65),0,Schweine_Werte!$I65))</f>
        <v>0</v>
      </c>
      <c r="BM65" s="781"/>
      <c r="BN65" s="716"/>
      <c r="BO65" s="716"/>
      <c r="BP65" s="716"/>
      <c r="BQ65" s="716"/>
      <c r="BR65" s="781">
        <f>IF(OR($C$74=$AR65,$D$74=$AR65),Schweine_Werte!$M65*0.5,IF(OR($C$74&gt;$AR65,$D$74&lt;$AR65),0,Schweine_Werte!$M65))</f>
        <v>0</v>
      </c>
      <c r="BS65" s="781">
        <f>IF(OR($C$83=$AR65,$D$83=$AR65),Schweine_Werte!$M65*0.5,IF(OR($C$83&gt;$AR65,$D$83&lt;$AR65),0,Schweine_Werte!$M65))</f>
        <v>0</v>
      </c>
      <c r="BT65" s="783">
        <f>IF(OR($C$92=$AR65,$D$92=$AR65),Schweine_Werte!$M65*0.5,IF(OR($C$92&gt;$AR65,$D$92&lt;$AR65),0,Schweine_Werte!$M65))</f>
        <v>0</v>
      </c>
      <c r="BU65" s="783">
        <f>IF(OR($C$101=$AR65,$D$101=$AR65),Schweine_Werte!$M65*0.5,IF(OR($C$101&gt;$AR65,$D$101&lt;$AR65),0,Schweine_Werte!$M65))</f>
        <v>0</v>
      </c>
      <c r="BV65" s="783">
        <f>IF(OR($C$110=$AR65,$D$110=$AR65),Schweine_Werte!$M65*0.5,IF(OR($C$110&gt;$AR65,$D$110&lt;$AR65),0,Schweine_Werte!$M65))</f>
        <v>0</v>
      </c>
      <c r="BW65" s="783">
        <f>IF(OR(8=$AR65,$E$127=$AR65),Schweine_Werte!$M65*0.5,IF(OR(8&gt;$AR65,$E$127&lt;$AR65),0,Schweine_Werte!$M65))</f>
        <v>1.106781668808736</v>
      </c>
      <c r="BX65" s="783">
        <f>IF(OR(8=$AR65,$E$145=$AR65),Schweine_Werte!$M65*0.5,IF(OR(8&gt;$AR65,$E$145&lt;$AR65),0,Schweine_Werte!$M65))</f>
        <v>1.106781668808736</v>
      </c>
      <c r="BY65" s="781">
        <f>IF(OR($C$74=$AR65,$D$74=$AR65),Schweine_Werte!$O65*0.5,IF(OR($C$74&gt;$AR65,$D$74&lt;$AR65),0,Schweine_Werte!$O65))</f>
        <v>0</v>
      </c>
      <c r="BZ65" s="781">
        <f>IF(OR($C$83=$AR65,$D$83=$AR65),Schweine_Werte!$O65*0.5,IF(OR($C$83&gt;$AR65,$D$83&lt;$AR65),0,Schweine_Werte!$O65))</f>
        <v>0</v>
      </c>
      <c r="CA65" s="783">
        <f>IF(OR($C$92=$AR65,$D$92=$AR65),Schweine_Werte!$O65*0.5,IF(OR($C$92&gt;$AR65,$D$92&lt;$AR65),0,Schweine_Werte!$O65))</f>
        <v>0</v>
      </c>
      <c r="CB65" s="783">
        <f>IF(OR($C$101=$AR65,$D$101=$AR65),Schweine_Werte!$O65*0.5,IF(OR($C$101&gt;$AR65,$D$101&lt;$AR65),0,Schweine_Werte!$O65))</f>
        <v>0</v>
      </c>
      <c r="CC65" s="783">
        <f>IF(OR($C$110=$AR65,$D$110=$AR65),Schweine_Werte!$O65*0.5,IF(OR($C$110&gt;$AR65,$D$110&lt;$AR65),0,Schweine_Werte!$O65))</f>
        <v>0</v>
      </c>
    </row>
    <row r="66" spans="1:81" x14ac:dyDescent="0.2">
      <c r="AR66" s="792">
        <v>70</v>
      </c>
      <c r="AS66" s="781">
        <f>IF(OR($C$12=$AR66,$D$12=$AR66),Schweine_Werte!$C66*0.5,IF(OR($C$12&gt;$AR66,$D$12&lt;$AR66),0,Schweine_Werte!$C66))</f>
        <v>0</v>
      </c>
      <c r="AT66" s="716">
        <f>IF(OR($C$24=$AR66,$D$24=$AR66),Schweine_Werte!$C66*0.5,IF(OR($C$24&gt;$AR66,$D$24&lt;$AR66),0,Schweine_Werte!$C66))</f>
        <v>0</v>
      </c>
      <c r="AU66" s="781">
        <f>IF(OR($C$36=$AR66,$D$36=$AR66),Schweine_Werte!$C66*0.5,IF(OR($C$36&gt;$AR66,$D$36&lt;$AR66),0,Schweine_Werte!$C66))</f>
        <v>0</v>
      </c>
      <c r="AV66" s="781">
        <f>IF(OR($C$48=$AR66,$D$48=$AR66),Schweine_Werte!$C66*0.5,IF(OR($C$48&gt;$AR66,$D$48&lt;$AR66),0,Schweine_Werte!$C66))</f>
        <v>0</v>
      </c>
      <c r="AW66" s="781">
        <f>IF(OR($C$60=$AR66,$D$60=$AR66),Schweine_Werte!$C66*0.5,IF(OR($C$60&gt;$AR66,$D$60&lt;$AR66),0,Schweine_Werte!$C66))</f>
        <v>0</v>
      </c>
      <c r="AX66" s="781">
        <f>IF(OR($C$12=$AR66,$D$12=$AR66),Schweine_Werte!$E66*0.5,IF(OR($C$12&gt;$AR66,$D$12&lt;$AR66),0,Schweine_Werte!$E66))</f>
        <v>0</v>
      </c>
      <c r="AY66" s="716">
        <f>IF(OR($C$24=$AR66,$D$24=$AR66),Schweine_Werte!$E66*0.5,IF(OR($C$24&gt;$AR66,$D$24&lt;$AR66),0,Schweine_Werte!$E66))</f>
        <v>0</v>
      </c>
      <c r="AZ66" s="716">
        <f>IF(OR($C$36=$AR66,$D$36=$AR66),Schweine_Werte!$E66*0.5,IF(OR($C$36&gt;$AR66,$D$36&lt;$AR66),0,Schweine_Werte!$E66))</f>
        <v>0</v>
      </c>
      <c r="BA66" s="716">
        <f>IF(OR($C$48=$AR66,$D$48=$AR66),Schweine_Werte!$E66*0.5,IF(OR($C$48&gt;$AR66,$D$48&lt;$AR66),0,Schweine_Werte!$E66))</f>
        <v>0</v>
      </c>
      <c r="BB66" s="716">
        <f>IF(OR($C$60=$AR66,$D$60=$AR66),Schweine_Werte!$E66*0.5,IF(OR($C$60&gt;$AR66,$D$60&lt;$AR66),0,Schweine_Werte!$E66))</f>
        <v>0</v>
      </c>
      <c r="BC66" s="781">
        <f>IF(OR($C$12=$AR66,$D$12=$AR66),Schweine_Werte!$G66*0.5,IF(OR($C$12&gt;$AR66,$D$12&lt;$AR66),0,Schweine_Werte!$G66))</f>
        <v>0</v>
      </c>
      <c r="BD66" s="716">
        <f>IF(OR($C$24=$AR66,$D$24=$AR66),Schweine_Werte!$G66*0.5,IF(OR($C$24&gt;$AR66,$D$24&lt;$AR66),0,Schweine_Werte!$G66))</f>
        <v>0</v>
      </c>
      <c r="BE66" s="716">
        <f>IF(OR($C$36=$AR66,$D$36=$AR66),Schweine_Werte!$G66*0.5,IF(OR($C$36&gt;$AR66,$D$36&lt;$AR66),0,Schweine_Werte!$G66))</f>
        <v>0</v>
      </c>
      <c r="BF66" s="716">
        <f>IF(OR($C$48=$AR66,$D$48=$AR66),Schweine_Werte!$G66*0.5,IF(OR($C$48&gt;$AR66,$D$48&lt;$AR66),0,Schweine_Werte!$G66))</f>
        <v>0</v>
      </c>
      <c r="BG66" s="716">
        <f>IF(OR($C$60=$AR66,$D$60=$AR66),Schweine_Werte!$G66*0.5,IF(OR($C$60&gt;$AR66,$D$60&lt;$AR66),0,Schweine_Werte!$G66))</f>
        <v>0</v>
      </c>
      <c r="BH66" s="781">
        <f>IF(OR($C$12=$AR66,$D$12=$AR66),Schweine_Werte!$I66*0.5,IF(OR($C$12&gt;$AR66,$D$12&lt;$AR66),0,Schweine_Werte!$I66))</f>
        <v>0</v>
      </c>
      <c r="BI66" s="716">
        <f>IF(OR($C$24=$AR66,$D$24=$AR66),Schweine_Werte!$I66*0.5,IF(OR($C$24&gt;$AR66,$D$24&lt;$AR66),0,Schweine_Werte!$I66))</f>
        <v>0</v>
      </c>
      <c r="BJ66" s="716">
        <f>IF(OR($C$36=$AR66,$D$36=$AR66),Schweine_Werte!$I66*0.5,IF(OR($C$36&gt;$AR66,$D$36&lt;$AR66),0,Schweine_Werte!$I66))</f>
        <v>0</v>
      </c>
      <c r="BK66" s="716">
        <f>IF(OR($C$48=$AR66,$D$48=$AR66),Schweine_Werte!$I66*0.5,IF(OR($C$48&gt;$AR66,$D$48&lt;$AR66),0,Schweine_Werte!$I66))</f>
        <v>0</v>
      </c>
      <c r="BL66" s="716">
        <f>IF(OR($C$60=$AR66,$D$60=$AR66),Schweine_Werte!$I66*0.5,IF(OR($C$60&gt;$AR66,$D$60&lt;$AR66),0,Schweine_Werte!$I66))</f>
        <v>0</v>
      </c>
      <c r="BM66" s="781"/>
      <c r="BN66" s="716"/>
      <c r="BO66" s="716"/>
      <c r="BP66" s="716"/>
      <c r="BQ66" s="716"/>
      <c r="BR66" s="781">
        <f>IF(OR($C$74=$AR66,$D$74=$AR66),Schweine_Werte!$M66*0.5,IF(OR($C$74&gt;$AR66,$D$74&lt;$AR66),0,Schweine_Werte!$M66))</f>
        <v>0</v>
      </c>
      <c r="BS66" s="781">
        <f>IF(OR($C$83=$AR66,$D$83=$AR66),Schweine_Werte!$M66*0.5,IF(OR($C$83&gt;$AR66,$D$83&lt;$AR66),0,Schweine_Werte!$M66))</f>
        <v>0</v>
      </c>
      <c r="BT66" s="783">
        <f>IF(OR($C$92=$AR66,$D$92=$AR66),Schweine_Werte!$M66*0.5,IF(OR($C$92&gt;$AR66,$D$92&lt;$AR66),0,Schweine_Werte!$M66))</f>
        <v>0</v>
      </c>
      <c r="BU66" s="783">
        <f>IF(OR($C$101=$AR66,$D$101=$AR66),Schweine_Werte!$M66*0.5,IF(OR($C$101&gt;$AR66,$D$101&lt;$AR66),0,Schweine_Werte!$M66))</f>
        <v>0</v>
      </c>
      <c r="BV66" s="783">
        <f>IF(OR($C$110=$AR66,$D$110=$AR66),Schweine_Werte!$M66*0.5,IF(OR($C$110&gt;$AR66,$D$110&lt;$AR66),0,Schweine_Werte!$M66))</f>
        <v>0</v>
      </c>
      <c r="BW66" s="783">
        <f>IF(OR(8=$AR66,$E$127=$AR66),Schweine_Werte!$M66*0.5,IF(OR(8&gt;$AR66,$E$127&lt;$AR66),0,Schweine_Werte!$M66))</f>
        <v>1.1057004077079438</v>
      </c>
      <c r="BX66" s="783">
        <f>IF(OR(8=$AR66,$E$145=$AR66),Schweine_Werte!$M66*0.5,IF(OR(8&gt;$AR66,$E$145&lt;$AR66),0,Schweine_Werte!$M66))</f>
        <v>1.1057004077079438</v>
      </c>
      <c r="BY66" s="781">
        <f>IF(OR($C$74=$AR66,$D$74=$AR66),Schweine_Werte!$O66*0.5,IF(OR($C$74&gt;$AR66,$D$74&lt;$AR66),0,Schweine_Werte!$O66))</f>
        <v>0</v>
      </c>
      <c r="BZ66" s="781">
        <f>IF(OR($C$83=$AR66,$D$83=$AR66),Schweine_Werte!$O66*0.5,IF(OR($C$83&gt;$AR66,$D$83&lt;$AR66),0,Schweine_Werte!$O66))</f>
        <v>0</v>
      </c>
      <c r="CA66" s="783">
        <f>IF(OR($C$92=$AR66,$D$92=$AR66),Schweine_Werte!$O66*0.5,IF(OR($C$92&gt;$AR66,$D$92&lt;$AR66),0,Schweine_Werte!$O66))</f>
        <v>0</v>
      </c>
      <c r="CB66" s="783">
        <f>IF(OR($C$101=$AR66,$D$101=$AR66),Schweine_Werte!$O66*0.5,IF(OR($C$101&gt;$AR66,$D$101&lt;$AR66),0,Schweine_Werte!$O66))</f>
        <v>0</v>
      </c>
      <c r="CC66" s="783">
        <f>IF(OR($C$110=$AR66,$D$110=$AR66),Schweine_Werte!$O66*0.5,IF(OR($C$110&gt;$AR66,$D$110&lt;$AR66),0,Schweine_Werte!$O66))</f>
        <v>0</v>
      </c>
    </row>
    <row r="67" spans="1:81" x14ac:dyDescent="0.2">
      <c r="AR67" s="792">
        <v>71</v>
      </c>
      <c r="AS67" s="781">
        <f>IF(OR($C$12=$AR67,$D$12=$AR67),Schweine_Werte!$C67*0.5,IF(OR($C$12&gt;$AR67,$D$12&lt;$AR67),0,Schweine_Werte!$C67))</f>
        <v>0</v>
      </c>
      <c r="AT67" s="716">
        <f>IF(OR($C$24=$AR67,$D$24=$AR67),Schweine_Werte!$C67*0.5,IF(OR($C$24&gt;$AR67,$D$24&lt;$AR67),0,Schweine_Werte!$C67))</f>
        <v>0</v>
      </c>
      <c r="AU67" s="781">
        <f>IF(OR($C$36=$AR67,$D$36=$AR67),Schweine_Werte!$C67*0.5,IF(OR($C$36&gt;$AR67,$D$36&lt;$AR67),0,Schweine_Werte!$C67))</f>
        <v>0</v>
      </c>
      <c r="AV67" s="781">
        <f>IF(OR($C$48=$AR67,$D$48=$AR67),Schweine_Werte!$C67*0.5,IF(OR($C$48&gt;$AR67,$D$48&lt;$AR67),0,Schweine_Werte!$C67))</f>
        <v>0</v>
      </c>
      <c r="AW67" s="781">
        <f>IF(OR($C$60=$AR67,$D$60=$AR67),Schweine_Werte!$C67*0.5,IF(OR($C$60&gt;$AR67,$D$60&lt;$AR67),0,Schweine_Werte!$C67))</f>
        <v>0</v>
      </c>
      <c r="AX67" s="781">
        <f>IF(OR($C$12=$AR67,$D$12=$AR67),Schweine_Werte!$E67*0.5,IF(OR($C$12&gt;$AR67,$D$12&lt;$AR67),0,Schweine_Werte!$E67))</f>
        <v>0</v>
      </c>
      <c r="AY67" s="716">
        <f>IF(OR($C$24=$AR67,$D$24=$AR67),Schweine_Werte!$E67*0.5,IF(OR($C$24&gt;$AR67,$D$24&lt;$AR67),0,Schweine_Werte!$E67))</f>
        <v>0</v>
      </c>
      <c r="AZ67" s="716">
        <f>IF(OR($C$36=$AR67,$D$36=$AR67),Schweine_Werte!$E67*0.5,IF(OR($C$36&gt;$AR67,$D$36&lt;$AR67),0,Schweine_Werte!$E67))</f>
        <v>0</v>
      </c>
      <c r="BA67" s="716">
        <f>IF(OR($C$48=$AR67,$D$48=$AR67),Schweine_Werte!$E67*0.5,IF(OR($C$48&gt;$AR67,$D$48&lt;$AR67),0,Schweine_Werte!$E67))</f>
        <v>0</v>
      </c>
      <c r="BB67" s="716">
        <f>IF(OR($C$60=$AR67,$D$60=$AR67),Schweine_Werte!$E67*0.5,IF(OR($C$60&gt;$AR67,$D$60&lt;$AR67),0,Schweine_Werte!$E67))</f>
        <v>0</v>
      </c>
      <c r="BC67" s="781">
        <f>IF(OR($C$12=$AR67,$D$12=$AR67),Schweine_Werte!$G67*0.5,IF(OR($C$12&gt;$AR67,$D$12&lt;$AR67),0,Schweine_Werte!$G67))</f>
        <v>0</v>
      </c>
      <c r="BD67" s="716">
        <f>IF(OR($C$24=$AR67,$D$24=$AR67),Schweine_Werte!$G67*0.5,IF(OR($C$24&gt;$AR67,$D$24&lt;$AR67),0,Schweine_Werte!$G67))</f>
        <v>0</v>
      </c>
      <c r="BE67" s="716">
        <f>IF(OR($C$36=$AR67,$D$36=$AR67),Schweine_Werte!$G67*0.5,IF(OR($C$36&gt;$AR67,$D$36&lt;$AR67),0,Schweine_Werte!$G67))</f>
        <v>0</v>
      </c>
      <c r="BF67" s="716">
        <f>IF(OR($C$48=$AR67,$D$48=$AR67),Schweine_Werte!$G67*0.5,IF(OR($C$48&gt;$AR67,$D$48&lt;$AR67),0,Schweine_Werte!$G67))</f>
        <v>0</v>
      </c>
      <c r="BG67" s="716">
        <f>IF(OR($C$60=$AR67,$D$60=$AR67),Schweine_Werte!$G67*0.5,IF(OR($C$60&gt;$AR67,$D$60&lt;$AR67),0,Schweine_Werte!$G67))</f>
        <v>0</v>
      </c>
      <c r="BH67" s="781">
        <f>IF(OR($C$12=$AR67,$D$12=$AR67),Schweine_Werte!$I67*0.5,IF(OR($C$12&gt;$AR67,$D$12&lt;$AR67),0,Schweine_Werte!$I67))</f>
        <v>0</v>
      </c>
      <c r="BI67" s="716">
        <f>IF(OR($C$24=$AR67,$D$24=$AR67),Schweine_Werte!$I67*0.5,IF(OR($C$24&gt;$AR67,$D$24&lt;$AR67),0,Schweine_Werte!$I67))</f>
        <v>0</v>
      </c>
      <c r="BJ67" s="716">
        <f>IF(OR($C$36=$AR67,$D$36=$AR67),Schweine_Werte!$I67*0.5,IF(OR($C$36&gt;$AR67,$D$36&lt;$AR67),0,Schweine_Werte!$I67))</f>
        <v>0</v>
      </c>
      <c r="BK67" s="716">
        <f>IF(OR($C$48=$AR67,$D$48=$AR67),Schweine_Werte!$I67*0.5,IF(OR($C$48&gt;$AR67,$D$48&lt;$AR67),0,Schweine_Werte!$I67))</f>
        <v>0</v>
      </c>
      <c r="BL67" s="716">
        <f>IF(OR($C$60=$AR67,$D$60=$AR67),Schweine_Werte!$I67*0.5,IF(OR($C$60&gt;$AR67,$D$60&lt;$AR67),0,Schweine_Werte!$I67))</f>
        <v>0</v>
      </c>
      <c r="BM67" s="781"/>
      <c r="BN67" s="716"/>
      <c r="BO67" s="716"/>
      <c r="BP67" s="716"/>
      <c r="BQ67" s="716"/>
      <c r="BR67" s="781">
        <f>IF(OR($C$74=$AR67,$D$74=$AR67),Schweine_Werte!$M67*0.5,IF(OR($C$74&gt;$AR67,$D$74&lt;$AR67),0,Schweine_Werte!$M67))</f>
        <v>0</v>
      </c>
      <c r="BS67" s="781">
        <f>IF(OR($C$83=$AR67,$D$83=$AR67),Schweine_Werte!$M67*0.5,IF(OR($C$83&gt;$AR67,$D$83&lt;$AR67),0,Schweine_Werte!$M67))</f>
        <v>0</v>
      </c>
      <c r="BT67" s="783">
        <f>IF(OR($C$92=$AR67,$D$92=$AR67),Schweine_Werte!$M67*0.5,IF(OR($C$92&gt;$AR67,$D$92&lt;$AR67),0,Schweine_Werte!$M67))</f>
        <v>0</v>
      </c>
      <c r="BU67" s="783">
        <f>IF(OR($C$101=$AR67,$D$101=$AR67),Schweine_Werte!$M67*0.5,IF(OR($C$101&gt;$AR67,$D$101&lt;$AR67),0,Schweine_Werte!$M67))</f>
        <v>0</v>
      </c>
      <c r="BV67" s="783">
        <f>IF(OR($C$110=$AR67,$D$110=$AR67),Schweine_Werte!$M67*0.5,IF(OR($C$110&gt;$AR67,$D$110&lt;$AR67),0,Schweine_Werte!$M67))</f>
        <v>0</v>
      </c>
      <c r="BW67" s="783">
        <f>IF(OR(8=$AR67,$E$127=$AR67),Schweine_Werte!$M67*0.5,IF(OR(8&gt;$AR67,$E$127&lt;$AR67),0,Schweine_Werte!$M67))</f>
        <v>1.1049837293732905</v>
      </c>
      <c r="BX67" s="783">
        <f>IF(OR(8=$AR67,$E$145=$AR67),Schweine_Werte!$M67*0.5,IF(OR(8&gt;$AR67,$E$145&lt;$AR67),0,Schweine_Werte!$M67))</f>
        <v>1.1049837293732905</v>
      </c>
      <c r="BY67" s="781">
        <f>IF(OR($C$74=$AR67,$D$74=$AR67),Schweine_Werte!$O67*0.5,IF(OR($C$74&gt;$AR67,$D$74&lt;$AR67),0,Schweine_Werte!$O67))</f>
        <v>0</v>
      </c>
      <c r="BZ67" s="781">
        <f>IF(OR($C$83=$AR67,$D$83=$AR67),Schweine_Werte!$O67*0.5,IF(OR($C$83&gt;$AR67,$D$83&lt;$AR67),0,Schweine_Werte!$O67))</f>
        <v>0</v>
      </c>
      <c r="CA67" s="783">
        <f>IF(OR($C$92=$AR67,$D$92=$AR67),Schweine_Werte!$O67*0.5,IF(OR($C$92&gt;$AR67,$D$92&lt;$AR67),0,Schweine_Werte!$O67))</f>
        <v>0</v>
      </c>
      <c r="CB67" s="783">
        <f>IF(OR($C$101=$AR67,$D$101=$AR67),Schweine_Werte!$O67*0.5,IF(OR($C$101&gt;$AR67,$D$101&lt;$AR67),0,Schweine_Werte!$O67))</f>
        <v>0</v>
      </c>
      <c r="CC67" s="783">
        <f>IF(OR($C$110=$AR67,$D$110=$AR67),Schweine_Werte!$O67*0.5,IF(OR($C$110&gt;$AR67,$D$110&lt;$AR67),0,Schweine_Werte!$O67))</f>
        <v>0</v>
      </c>
    </row>
    <row r="68" spans="1:81" x14ac:dyDescent="0.2">
      <c r="Q68" s="1587" t="s">
        <v>7768</v>
      </c>
      <c r="R68" s="1587"/>
      <c r="S68" s="1587"/>
      <c r="T68" s="1587" t="s">
        <v>7769</v>
      </c>
      <c r="U68" s="1587"/>
      <c r="V68" s="1587"/>
      <c r="W68" s="975" t="s">
        <v>7662</v>
      </c>
      <c r="X68" s="975"/>
      <c r="Y68" s="975"/>
      <c r="AR68" s="792">
        <v>72</v>
      </c>
      <c r="AS68" s="781">
        <f>IF(OR($C$12=$AR68,$D$12=$AR68),Schweine_Werte!$C68*0.5,IF(OR($C$12&gt;$AR68,$D$12&lt;$AR68),0,Schweine_Werte!$C68))</f>
        <v>0</v>
      </c>
      <c r="AT68" s="716">
        <f>IF(OR($C$24=$AR68,$D$24=$AR68),Schweine_Werte!$C68*0.5,IF(OR($C$24&gt;$AR68,$D$24&lt;$AR68),0,Schweine_Werte!$C68))</f>
        <v>0</v>
      </c>
      <c r="AU68" s="781">
        <f>IF(OR($C$36=$AR68,$D$36=$AR68),Schweine_Werte!$C68*0.5,IF(OR($C$36&gt;$AR68,$D$36&lt;$AR68),0,Schweine_Werte!$C68))</f>
        <v>0</v>
      </c>
      <c r="AV68" s="781">
        <f>IF(OR($C$48=$AR68,$D$48=$AR68),Schweine_Werte!$C68*0.5,IF(OR($C$48&gt;$AR68,$D$48&lt;$AR68),0,Schweine_Werte!$C68))</f>
        <v>0</v>
      </c>
      <c r="AW68" s="781">
        <f>IF(OR($C$60=$AR68,$D$60=$AR68),Schweine_Werte!$C68*0.5,IF(OR($C$60&gt;$AR68,$D$60&lt;$AR68),0,Schweine_Werte!$C68))</f>
        <v>0</v>
      </c>
      <c r="AX68" s="781">
        <f>IF(OR($C$12=$AR68,$D$12=$AR68),Schweine_Werte!$E68*0.5,IF(OR($C$12&gt;$AR68,$D$12&lt;$AR68),0,Schweine_Werte!$E68))</f>
        <v>0</v>
      </c>
      <c r="AY68" s="716">
        <f>IF(OR($C$24=$AR68,$D$24=$AR68),Schweine_Werte!$E68*0.5,IF(OR($C$24&gt;$AR68,$D$24&lt;$AR68),0,Schweine_Werte!$E68))</f>
        <v>0</v>
      </c>
      <c r="AZ68" s="716">
        <f>IF(OR($C$36=$AR68,$D$36=$AR68),Schweine_Werte!$E68*0.5,IF(OR($C$36&gt;$AR68,$D$36&lt;$AR68),0,Schweine_Werte!$E68))</f>
        <v>0</v>
      </c>
      <c r="BA68" s="716">
        <f>IF(OR($C$48=$AR68,$D$48=$AR68),Schweine_Werte!$E68*0.5,IF(OR($C$48&gt;$AR68,$D$48&lt;$AR68),0,Schweine_Werte!$E68))</f>
        <v>0</v>
      </c>
      <c r="BB68" s="716">
        <f>IF(OR($C$60=$AR68,$D$60=$AR68),Schweine_Werte!$E68*0.5,IF(OR($C$60&gt;$AR68,$D$60&lt;$AR68),0,Schweine_Werte!$E68))</f>
        <v>0</v>
      </c>
      <c r="BC68" s="781">
        <f>IF(OR($C$12=$AR68,$D$12=$AR68),Schweine_Werte!$G68*0.5,IF(OR($C$12&gt;$AR68,$D$12&lt;$AR68),0,Schweine_Werte!$G68))</f>
        <v>0</v>
      </c>
      <c r="BD68" s="716">
        <f>IF(OR($C$24=$AR68,$D$24=$AR68),Schweine_Werte!$G68*0.5,IF(OR($C$24&gt;$AR68,$D$24&lt;$AR68),0,Schweine_Werte!$G68))</f>
        <v>0</v>
      </c>
      <c r="BE68" s="716">
        <f>IF(OR($C$36=$AR68,$D$36=$AR68),Schweine_Werte!$G68*0.5,IF(OR($C$36&gt;$AR68,$D$36&lt;$AR68),0,Schweine_Werte!$G68))</f>
        <v>0</v>
      </c>
      <c r="BF68" s="716">
        <f>IF(OR($C$48=$AR68,$D$48=$AR68),Schweine_Werte!$G68*0.5,IF(OR($C$48&gt;$AR68,$D$48&lt;$AR68),0,Schweine_Werte!$G68))</f>
        <v>0</v>
      </c>
      <c r="BG68" s="716">
        <f>IF(OR($C$60=$AR68,$D$60=$AR68),Schweine_Werte!$G68*0.5,IF(OR($C$60&gt;$AR68,$D$60&lt;$AR68),0,Schweine_Werte!$G68))</f>
        <v>0</v>
      </c>
      <c r="BH68" s="781">
        <f>IF(OR($C$12=$AR68,$D$12=$AR68),Schweine_Werte!$I68*0.5,IF(OR($C$12&gt;$AR68,$D$12&lt;$AR68),0,Schweine_Werte!$I68))</f>
        <v>0</v>
      </c>
      <c r="BI68" s="716">
        <f>IF(OR($C$24=$AR68,$D$24=$AR68),Schweine_Werte!$I68*0.5,IF(OR($C$24&gt;$AR68,$D$24&lt;$AR68),0,Schweine_Werte!$I68))</f>
        <v>0</v>
      </c>
      <c r="BJ68" s="716">
        <f>IF(OR($C$36=$AR68,$D$36=$AR68),Schweine_Werte!$I68*0.5,IF(OR($C$36&gt;$AR68,$D$36&lt;$AR68),0,Schweine_Werte!$I68))</f>
        <v>0</v>
      </c>
      <c r="BK68" s="716">
        <f>IF(OR($C$48=$AR68,$D$48=$AR68),Schweine_Werte!$I68*0.5,IF(OR($C$48&gt;$AR68,$D$48&lt;$AR68),0,Schweine_Werte!$I68))</f>
        <v>0</v>
      </c>
      <c r="BL68" s="716">
        <f>IF(OR($C$60=$AR68,$D$60=$AR68),Schweine_Werte!$I68*0.5,IF(OR($C$60&gt;$AR68,$D$60&lt;$AR68),0,Schweine_Werte!$I68))</f>
        <v>0</v>
      </c>
      <c r="BM68" s="781"/>
      <c r="BN68" s="716"/>
      <c r="BO68" s="716"/>
      <c r="BP68" s="716"/>
      <c r="BQ68" s="716"/>
      <c r="BR68" s="781">
        <f>IF(OR($C$74=$AR68,$D$74=$AR68),Schweine_Werte!$M68*0.5,IF(OR($C$74&gt;$AR68,$D$74&lt;$AR68),0,Schweine_Werte!$M68))</f>
        <v>0</v>
      </c>
      <c r="BS68" s="781">
        <f>IF(OR($C$83=$AR68,$D$83=$AR68),Schweine_Werte!$M68*0.5,IF(OR($C$83&gt;$AR68,$D$83&lt;$AR68),0,Schweine_Werte!$M68))</f>
        <v>0</v>
      </c>
      <c r="BT68" s="783">
        <f>IF(OR($C$92=$AR68,$D$92=$AR68),Schweine_Werte!$M68*0.5,IF(OR($C$92&gt;$AR68,$D$92&lt;$AR68),0,Schweine_Werte!$M68))</f>
        <v>0</v>
      </c>
      <c r="BU68" s="783">
        <f>IF(OR($C$101=$AR68,$D$101=$AR68),Schweine_Werte!$M68*0.5,IF(OR($C$101&gt;$AR68,$D$101&lt;$AR68),0,Schweine_Werte!$M68))</f>
        <v>0</v>
      </c>
      <c r="BV68" s="783">
        <f>IF(OR($C$110=$AR68,$D$110=$AR68),Schweine_Werte!$M68*0.5,IF(OR($C$110&gt;$AR68,$D$110&lt;$AR68),0,Schweine_Werte!$M68))</f>
        <v>0</v>
      </c>
      <c r="BW68" s="783">
        <f>IF(OR(8=$AR68,$E$127=$AR68),Schweine_Werte!$M68*0.5,IF(OR(8&gt;$AR68,$E$127&lt;$AR68),0,Schweine_Werte!$M68))</f>
        <v>1.104630248375454</v>
      </c>
      <c r="BX68" s="783">
        <f>IF(OR(8=$AR68,$E$145=$AR68),Schweine_Werte!$M68*0.5,IF(OR(8&gt;$AR68,$E$145&lt;$AR68),0,Schweine_Werte!$M68))</f>
        <v>1.104630248375454</v>
      </c>
      <c r="BY68" s="781">
        <f>IF(OR($C$74=$AR68,$D$74=$AR68),Schweine_Werte!$O68*0.5,IF(OR($C$74&gt;$AR68,$D$74&lt;$AR68),0,Schweine_Werte!$O68))</f>
        <v>0</v>
      </c>
      <c r="BZ68" s="781">
        <f>IF(OR($C$83=$AR68,$D$83=$AR68),Schweine_Werte!$O68*0.5,IF(OR($C$83&gt;$AR68,$D$83&lt;$AR68),0,Schweine_Werte!$O68))</f>
        <v>0</v>
      </c>
      <c r="CA68" s="783">
        <f>IF(OR($C$92=$AR68,$D$92=$AR68),Schweine_Werte!$O68*0.5,IF(OR($C$92&gt;$AR68,$D$92&lt;$AR68),0,Schweine_Werte!$O68))</f>
        <v>0</v>
      </c>
      <c r="CB68" s="783">
        <f>IF(OR($C$101=$AR68,$D$101=$AR68),Schweine_Werte!$O68*0.5,IF(OR($C$101&gt;$AR68,$D$101&lt;$AR68),0,Schweine_Werte!$O68))</f>
        <v>0</v>
      </c>
      <c r="CC68" s="783">
        <f>IF(OR($C$110=$AR68,$D$110=$AR68),Schweine_Werte!$O68*0.5,IF(OR($C$110&gt;$AR68,$D$110&lt;$AR68),0,Schweine_Werte!$O68))</f>
        <v>0</v>
      </c>
    </row>
    <row r="69" spans="1:81" x14ac:dyDescent="0.2">
      <c r="B69" t="s">
        <v>7712</v>
      </c>
      <c r="E69" t="s">
        <v>7688</v>
      </c>
      <c r="F69" t="s">
        <v>196</v>
      </c>
      <c r="G69" t="s">
        <v>7689</v>
      </c>
      <c r="H69" t="s">
        <v>7690</v>
      </c>
      <c r="I69" t="s">
        <v>7691</v>
      </c>
      <c r="J69" t="s">
        <v>589</v>
      </c>
      <c r="K69" t="s">
        <v>7692</v>
      </c>
      <c r="L69" t="s">
        <v>7693</v>
      </c>
      <c r="M69" t="s">
        <v>7694</v>
      </c>
      <c r="N69" t="s">
        <v>7695</v>
      </c>
      <c r="O69" t="s">
        <v>7696</v>
      </c>
      <c r="P69" t="s">
        <v>7697</v>
      </c>
      <c r="Q69" t="s">
        <v>39</v>
      </c>
      <c r="R69" t="s">
        <v>40</v>
      </c>
      <c r="S69" t="s">
        <v>41</v>
      </c>
      <c r="T69" t="s">
        <v>39</v>
      </c>
      <c r="U69" t="s">
        <v>40</v>
      </c>
      <c r="V69" t="s">
        <v>41</v>
      </c>
      <c r="W69" t="s">
        <v>7675</v>
      </c>
      <c r="X69" t="s">
        <v>7676</v>
      </c>
      <c r="Y69" t="s">
        <v>7677</v>
      </c>
      <c r="AR69" s="792">
        <v>73</v>
      </c>
      <c r="AS69" s="781">
        <f>IF(OR($C$12=$AR69,$D$12=$AR69),Schweine_Werte!$C69*0.5,IF(OR($C$12&gt;$AR69,$D$12&lt;$AR69),0,Schweine_Werte!$C69))</f>
        <v>0</v>
      </c>
      <c r="AT69" s="716">
        <f>IF(OR($C$24=$AR69,$D$24=$AR69),Schweine_Werte!$C69*0.5,IF(OR($C$24&gt;$AR69,$D$24&lt;$AR69),0,Schweine_Werte!$C69))</f>
        <v>0</v>
      </c>
      <c r="AU69" s="781">
        <f>IF(OR($C$36=$AR69,$D$36=$AR69),Schweine_Werte!$C69*0.5,IF(OR($C$36&gt;$AR69,$D$36&lt;$AR69),0,Schweine_Werte!$C69))</f>
        <v>0</v>
      </c>
      <c r="AV69" s="781">
        <f>IF(OR($C$48=$AR69,$D$48=$AR69),Schweine_Werte!$C69*0.5,IF(OR($C$48&gt;$AR69,$D$48&lt;$AR69),0,Schweine_Werte!$C69))</f>
        <v>0</v>
      </c>
      <c r="AW69" s="781">
        <f>IF(OR($C$60=$AR69,$D$60=$AR69),Schweine_Werte!$C69*0.5,IF(OR($C$60&gt;$AR69,$D$60&lt;$AR69),0,Schweine_Werte!$C69))</f>
        <v>0</v>
      </c>
      <c r="AX69" s="781">
        <f>IF(OR($C$12=$AR69,$D$12=$AR69),Schweine_Werte!$E69*0.5,IF(OR($C$12&gt;$AR69,$D$12&lt;$AR69),0,Schweine_Werte!$E69))</f>
        <v>0</v>
      </c>
      <c r="AY69" s="716">
        <f>IF(OR($C$24=$AR69,$D$24=$AR69),Schweine_Werte!$E69*0.5,IF(OR($C$24&gt;$AR69,$D$24&lt;$AR69),0,Schweine_Werte!$E69))</f>
        <v>0</v>
      </c>
      <c r="AZ69" s="716">
        <f>IF(OR($C$36=$AR69,$D$36=$AR69),Schweine_Werte!$E69*0.5,IF(OR($C$36&gt;$AR69,$D$36&lt;$AR69),0,Schweine_Werte!$E69))</f>
        <v>0</v>
      </c>
      <c r="BA69" s="716">
        <f>IF(OR($C$48=$AR69,$D$48=$AR69),Schweine_Werte!$E69*0.5,IF(OR($C$48&gt;$AR69,$D$48&lt;$AR69),0,Schweine_Werte!$E69))</f>
        <v>0</v>
      </c>
      <c r="BB69" s="716">
        <f>IF(OR($C$60=$AR69,$D$60=$AR69),Schweine_Werte!$E69*0.5,IF(OR($C$60&gt;$AR69,$D$60&lt;$AR69),0,Schweine_Werte!$E69))</f>
        <v>0</v>
      </c>
      <c r="BC69" s="781">
        <f>IF(OR($C$12=$AR69,$D$12=$AR69),Schweine_Werte!$G69*0.5,IF(OR($C$12&gt;$AR69,$D$12&lt;$AR69),0,Schweine_Werte!$G69))</f>
        <v>0</v>
      </c>
      <c r="BD69" s="716">
        <f>IF(OR($C$24=$AR69,$D$24=$AR69),Schweine_Werte!$G69*0.5,IF(OR($C$24&gt;$AR69,$D$24&lt;$AR69),0,Schweine_Werte!$G69))</f>
        <v>0</v>
      </c>
      <c r="BE69" s="716">
        <f>IF(OR($C$36=$AR69,$D$36=$AR69),Schweine_Werte!$G69*0.5,IF(OR($C$36&gt;$AR69,$D$36&lt;$AR69),0,Schweine_Werte!$G69))</f>
        <v>0</v>
      </c>
      <c r="BF69" s="716">
        <f>IF(OR($C$48=$AR69,$D$48=$AR69),Schweine_Werte!$G69*0.5,IF(OR($C$48&gt;$AR69,$D$48&lt;$AR69),0,Schweine_Werte!$G69))</f>
        <v>0</v>
      </c>
      <c r="BG69" s="716">
        <f>IF(OR($C$60=$AR69,$D$60=$AR69),Schweine_Werte!$G69*0.5,IF(OR($C$60&gt;$AR69,$D$60&lt;$AR69),0,Schweine_Werte!$G69))</f>
        <v>0</v>
      </c>
      <c r="BH69" s="781">
        <f>IF(OR($C$12=$AR69,$D$12=$AR69),Schweine_Werte!$I69*0.5,IF(OR($C$12&gt;$AR69,$D$12&lt;$AR69),0,Schweine_Werte!$I69))</f>
        <v>0</v>
      </c>
      <c r="BI69" s="716">
        <f>IF(OR($C$24=$AR69,$D$24=$AR69),Schweine_Werte!$I69*0.5,IF(OR($C$24&gt;$AR69,$D$24&lt;$AR69),0,Schweine_Werte!$I69))</f>
        <v>0</v>
      </c>
      <c r="BJ69" s="716">
        <f>IF(OR($C$36=$AR69,$D$36=$AR69),Schweine_Werte!$I69*0.5,IF(OR($C$36&gt;$AR69,$D$36&lt;$AR69),0,Schweine_Werte!$I69))</f>
        <v>0</v>
      </c>
      <c r="BK69" s="716">
        <f>IF(OR($C$48=$AR69,$D$48=$AR69),Schweine_Werte!$I69*0.5,IF(OR($C$48&gt;$AR69,$D$48&lt;$AR69),0,Schweine_Werte!$I69))</f>
        <v>0</v>
      </c>
      <c r="BL69" s="716">
        <f>IF(OR($C$60=$AR69,$D$60=$AR69),Schweine_Werte!$I69*0.5,IF(OR($C$60&gt;$AR69,$D$60&lt;$AR69),0,Schweine_Werte!$I69))</f>
        <v>0</v>
      </c>
      <c r="BM69" s="781"/>
      <c r="BN69" s="716"/>
      <c r="BO69" s="716"/>
      <c r="BP69" s="716"/>
      <c r="BQ69" s="716"/>
      <c r="BR69" s="781">
        <f>IF(OR($C$74=$AR69,$D$74=$AR69),Schweine_Werte!$M69*0.5,IF(OR($C$74&gt;$AR69,$D$74&lt;$AR69),0,Schweine_Werte!$M69))</f>
        <v>0</v>
      </c>
      <c r="BS69" s="781">
        <f>IF(OR($C$83=$AR69,$D$83=$AR69),Schweine_Werte!$M69*0.5,IF(OR($C$83&gt;$AR69,$D$83&lt;$AR69),0,Schweine_Werte!$M69))</f>
        <v>0</v>
      </c>
      <c r="BT69" s="783">
        <f>IF(OR($C$92=$AR69,$D$92=$AR69),Schweine_Werte!$M69*0.5,IF(OR($C$92&gt;$AR69,$D$92&lt;$AR69),0,Schweine_Werte!$M69))</f>
        <v>0</v>
      </c>
      <c r="BU69" s="783">
        <f>IF(OR($C$101=$AR69,$D$101=$AR69),Schweine_Werte!$M69*0.5,IF(OR($C$101&gt;$AR69,$D$101&lt;$AR69),0,Schweine_Werte!$M69))</f>
        <v>0</v>
      </c>
      <c r="BV69" s="783">
        <f>IF(OR($C$110=$AR69,$D$110=$AR69),Schweine_Werte!$M69*0.5,IF(OR($C$110&gt;$AR69,$D$110&lt;$AR69),0,Schweine_Werte!$M69))</f>
        <v>0</v>
      </c>
      <c r="BW69" s="783">
        <f>IF(OR(8=$AR69,$E$127=$AR69),Schweine_Werte!$M69*0.5,IF(OR(8&gt;$AR69,$E$127&lt;$AR69),0,Schweine_Werte!$M69))</f>
        <v>1.1046392823633366</v>
      </c>
      <c r="BX69" s="783">
        <f>IF(OR(8=$AR69,$E$145=$AR69),Schweine_Werte!$M69*0.5,IF(OR(8&gt;$AR69,$E$145&lt;$AR69),0,Schweine_Werte!$M69))</f>
        <v>1.1046392823633366</v>
      </c>
      <c r="BY69" s="781">
        <f>IF(OR($C$74=$AR69,$D$74=$AR69),Schweine_Werte!$O69*0.5,IF(OR($C$74&gt;$AR69,$D$74&lt;$AR69),0,Schweine_Werte!$O69))</f>
        <v>0</v>
      </c>
      <c r="BZ69" s="781">
        <f>IF(OR($C$83=$AR69,$D$83=$AR69),Schweine_Werte!$O69*0.5,IF(OR($C$83&gt;$AR69,$D$83&lt;$AR69),0,Schweine_Werte!$O69))</f>
        <v>0</v>
      </c>
      <c r="CA69" s="783">
        <f>IF(OR($C$92=$AR69,$D$92=$AR69),Schweine_Werte!$O69*0.5,IF(OR($C$92&gt;$AR69,$D$92&lt;$AR69),0,Schweine_Werte!$O69))</f>
        <v>0</v>
      </c>
      <c r="CB69" s="783">
        <f>IF(OR($C$101=$AR69,$D$101=$AR69),Schweine_Werte!$O69*0.5,IF(OR($C$101&gt;$AR69,$D$101&lt;$AR69),0,Schweine_Werte!$O69))</f>
        <v>0</v>
      </c>
      <c r="CC69" s="783">
        <f>IF(OR($C$110=$AR69,$D$110=$AR69),Schweine_Werte!$O69*0.5,IF(OR($C$110&gt;$AR69,$D$110&lt;$AR69),0,Schweine_Werte!$O69))</f>
        <v>0</v>
      </c>
    </row>
    <row r="70" spans="1:81" x14ac:dyDescent="0.2">
      <c r="B70">
        <v>450</v>
      </c>
      <c r="D70" s="716"/>
      <c r="E70" t="e">
        <f>($D74-$C74)*1000/SUM($BR$4:$BR$31)</f>
        <v>#VALUE!</v>
      </c>
      <c r="F70" s="716" t="e">
        <f>SUMPRODUCT($BR$4:$BR$31,Schweine_Werte!$V$4:$V$31)/SUM($BR$4:$BR$31)</f>
        <v>#DIV/0!</v>
      </c>
      <c r="G70" s="716" t="e">
        <f>IF($B74=$A$8,SUMPRODUCT($BR$4:$BR$31,Schweine_Werte!HE$4:HE$31)/SUM($BR$4:$BR$31),IF($B74=$A$7,SUMPRODUCT($BR$4:$BR$31,Schweine_Werte!GQ$4:GQ$31)/SUM($BR$4:$BR$31),IF($B74=$A$6,SUMPRODUCT($BR$4:$BR$31,Schweine_Werte!GC$4:GC$31)/SUM($BR$4:$BR$31),SUMPRODUCT($BR$4:$BR$31,Schweine_Werte!FO$4:FO$31)/SUM($BR$4:$BR$31))))</f>
        <v>#DIV/0!</v>
      </c>
      <c r="H70" s="716" t="e">
        <f>IF($B74=$A$8,SUMPRODUCT($BR$4:$BR$31,Schweine_Werte!HF$4:HF$31)/SUM($BR$4:$BR$31),IF($B74=$A$7,SUMPRODUCT($BR$4:$BR$31,Schweine_Werte!GR$4:GR$31)/SUM($BR$4:$BR$31),IF($B74=$A$6,SUMPRODUCT($BR$4:$BR$31,Schweine_Werte!GD$4:GD$31)/SUM($BR$4:$BR$31),SUMPRODUCT($BR$4:$BR$31,Schweine_Werte!FP$4:FP$31)/SUM($BR$4:$BR$31))))</f>
        <v>#DIV/0!</v>
      </c>
      <c r="I70" s="716" t="e">
        <f>IF($B74=$A$8,SUMPRODUCT($BR$4:$BR$31,Schweine_Werte!HG$4:HG$31)/SUM($BR$4:$BR$31),IF($B74=$A$7,SUMPRODUCT($BR$4:$BR$31,Schweine_Werte!GS$4:GS$31)/SUM($BR$4:$BR$31),IF($B74=$A$6,SUMPRODUCT($BR$4:$BR$31,Schweine_Werte!GE$4:GE$31)/SUM($BR$4:$BR$31),SUMPRODUCT($BR$4:$BR$31,Schweine_Werte!FQ$4:FQ$31)/SUM($BR$4:$BR$31))))</f>
        <v>#DIV/0!</v>
      </c>
      <c r="J70" s="716" t="e">
        <f>SUMPRODUCT($BR$4:$BR$31,Schweine_Werte!$AD$4:$AD$31)/SUM($BR$4:$BR$31)</f>
        <v>#DIV/0!</v>
      </c>
      <c r="K70" s="716" t="e">
        <f>SUMPRODUCT($BR$4:$BR$31,Schweine_Werte!$AL$4:$AL$31)/SUM($BR$4:$BR$31)</f>
        <v>#DIV/0!</v>
      </c>
      <c r="L70" s="716" t="e">
        <f>T70*$F70*365/1000+$J70-$K70</f>
        <v>#DIV/0!</v>
      </c>
      <c r="M70" s="716" t="e">
        <f>U70*$F70*365/1000+$J70-$K70/2</f>
        <v>#DIV/0!</v>
      </c>
      <c r="N70" s="716" t="e">
        <f>V70*$F70*365/1000+$J70</f>
        <v>#DIV/0!</v>
      </c>
      <c r="O70" s="716">
        <f>IF($C74&lt;28,SUM($BR$4:$BR$23)+IF($D74&gt;28,$BR$24*0.5,$BR$24),0)</f>
        <v>0</v>
      </c>
      <c r="P70" s="716">
        <f>IF($D74&gt;28,SUM($BR$25:$BR$31)+IF($C74&lt;28,$BR$24*0.5,$BR$24),0)</f>
        <v>0</v>
      </c>
      <c r="Q70" s="716" t="e">
        <f t="shared" ref="Q70:S71" si="40">+T70*$F70</f>
        <v>#DIV/0!</v>
      </c>
      <c r="R70" s="716" t="e">
        <f t="shared" si="40"/>
        <v>#DIV/0!</v>
      </c>
      <c r="S70" s="716" t="e">
        <f t="shared" si="40"/>
        <v>#DIV/0!</v>
      </c>
      <c r="T70" s="716" t="e">
        <f>+($O70*Schweine_Werte!$HT$15+$P70*Schweine_Werte!$HU$15)/SUM($O70:$P70)</f>
        <v>#DIV/0!</v>
      </c>
      <c r="U70" s="716" t="e">
        <f>+($O70*Schweine_Werte!$HV$15+$P70*Schweine_Werte!$HW$15)/SUM($O70:$P70)</f>
        <v>#DIV/0!</v>
      </c>
      <c r="V70" s="716" t="e">
        <f>+($O70*Schweine_Werte!$HX$15+$P70*Schweine_Werte!$HY$15)/SUM($O70:$P70)</f>
        <v>#DIV/0!</v>
      </c>
      <c r="W70" s="771" t="e">
        <f>($J70*0.055+T70*0.365*0.86*$F70-$K70*0.018)/L70*100</f>
        <v>#DIV/0!</v>
      </c>
      <c r="X70" s="771" t="e">
        <f>($J70*0.055+U70*0.365*0.86*$F70-$K70*0.018/2)/M70*100</f>
        <v>#DIV/0!</v>
      </c>
      <c r="Y70" s="716" t="e">
        <f>($J70*0.055+V70*0.365*0.86*$F70)/N70*100</f>
        <v>#DIV/0!</v>
      </c>
      <c r="Z70" s="716"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16"/>
      <c r="AB70" s="716">
        <f>IF($B74=$A$8,SUMIF(Schweine_Werte!$AO$4:$AO$31,$C74,Schweine_Werte!$HI$4:$HI$31),IF($B74=$A$7,SUMIF(Schweine_Werte!$AO$4:$AO$31,$C74,Schweine_Werte!$GU$4:$GU$31),IF($B74=$A$6,SUMIF(Schweine_Werte!$AO$4:$AO$31,$C74,Schweine_Werte!$GG$4:$GG$31),SUMIF(Schweine_Werte!$AO$4:$AO$31,$C74,Schweine_Werte!$FS$4:$FS$31))))</f>
        <v>0</v>
      </c>
      <c r="AC70" s="716"/>
      <c r="AD70" s="716">
        <f>IF($B74=$A$8,SUMIF(Schweine_Werte!$AO$4:$AO$31,$D74,Schweine_Werte!$HI$4:$HI$31),IF($B74=$A$7,SUMIF(Schweine_Werte!$AO$4:$AO$31,$D74,Schweine_Werte!$GU$4:$GU$31),IF($B74=$A$6,SUMIF(Schweine_Werte!$AO$4:$AO$31,$D74,Schweine_Werte!$GG$4:$GG$31),SUMIF(Schweine_Werte!$AO$4:$AO$31,$D74,Schweine_Werte!$FS$4:$FS$31))))</f>
        <v>0</v>
      </c>
      <c r="AE70" s="716"/>
      <c r="AF70" s="716"/>
      <c r="AG70" s="716" t="e">
        <f>IF($B74=$A$8,SUMPRODUCT($BR$4:$BR$31,Schweine_Werte!$HH$4:$HH$31)/SUM($BR$4:$BR$31),IF($B74=$A$7,SUMPRODUCT($BR$4:$BR$31,Schweine_Werte!$GT$4:$GT$31)/SUM($BR$4:$BR$31),IF($B74=$A$6,SUMPRODUCT($BR$4:$BR$31,Schweine_Werte!$GF$4:$GF$31)/SUM($BR$4:$BR$31),SUMPRODUCT($BR$4:$BR$31,Schweine_Werte!$FR$4:$FR$31)/SUM($BR$4:$BR$31))))</f>
        <v>#DIV/0!</v>
      </c>
      <c r="AH70" s="716"/>
      <c r="AI70" s="716"/>
      <c r="AJ70" s="716"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16"/>
      <c r="AL70" s="716">
        <f>IF($B74=$A$8,SUMIF(Schweine_Werte!$AO$4:$AO$31,$C74,Schweine_Werte!$HJ$4:$HJ$31),IF($B74=$A$7,SUMIF(Schweine_Werte!$AO$4:$AO$31,$C74,Schweine_Werte!$GV$4:$GV$31),IF($B74=$A$6,SUMIF(Schweine_Werte!$AO$4:$AO$31,$C74,Schweine_Werte!$GH$4:$GH$31),SUMIF(Schweine_Werte!$AO$4:$AO$31,$C74,Schweine_Werte!$FT$4:$FT$31))))</f>
        <v>0</v>
      </c>
      <c r="AM70" s="716"/>
      <c r="AN70" s="716">
        <f>IF($B74=$A$8,SUMIF(Schweine_Werte!$AO$4:$AO$31,$D74,Schweine_Werte!$HJ$4:$HJ$31),IF($B74=$A$7,SUMIF(Schweine_Werte!$AO$4:$AO$31,$D74,Schweine_Werte!$GV$4:$GV$31),IF($B74=$A$6,SUMIF(Schweine_Werte!$AO$4:$AO$31,$D74,Schweine_Werte!$GH$4:$GH$31),SUMIF(Schweine_Werte!$AO$4:$AO$31,$D74,Schweine_Werte!$FT$4:$FT$31))))</f>
        <v>0</v>
      </c>
      <c r="AO70" s="716"/>
      <c r="AR70" s="792">
        <v>74</v>
      </c>
      <c r="AS70" s="781">
        <f>IF(OR($C$12=$AR70,$D$12=$AR70),Schweine_Werte!$C70*0.5,IF(OR($C$12&gt;$AR70,$D$12&lt;$AR70),0,Schweine_Werte!$C70))</f>
        <v>0</v>
      </c>
      <c r="AT70" s="716">
        <f>IF(OR($C$24=$AR70,$D$24=$AR70),Schweine_Werte!$C70*0.5,IF(OR($C$24&gt;$AR70,$D$24&lt;$AR70),0,Schweine_Werte!$C70))</f>
        <v>0</v>
      </c>
      <c r="AU70" s="781">
        <f>IF(OR($C$36=$AR70,$D$36=$AR70),Schweine_Werte!$C70*0.5,IF(OR($C$36&gt;$AR70,$D$36&lt;$AR70),0,Schweine_Werte!$C70))</f>
        <v>0</v>
      </c>
      <c r="AV70" s="781">
        <f>IF(OR($C$48=$AR70,$D$48=$AR70),Schweine_Werte!$C70*0.5,IF(OR($C$48&gt;$AR70,$D$48&lt;$AR70),0,Schweine_Werte!$C70))</f>
        <v>0</v>
      </c>
      <c r="AW70" s="781">
        <f>IF(OR($C$60=$AR70,$D$60=$AR70),Schweine_Werte!$C70*0.5,IF(OR($C$60&gt;$AR70,$D$60&lt;$AR70),0,Schweine_Werte!$C70))</f>
        <v>0</v>
      </c>
      <c r="AX70" s="781">
        <f>IF(OR($C$12=$AR70,$D$12=$AR70),Schweine_Werte!$E70*0.5,IF(OR($C$12&gt;$AR70,$D$12&lt;$AR70),0,Schweine_Werte!$E70))</f>
        <v>0</v>
      </c>
      <c r="AY70" s="716">
        <f>IF(OR($C$24=$AR70,$D$24=$AR70),Schweine_Werte!$E70*0.5,IF(OR($C$24&gt;$AR70,$D$24&lt;$AR70),0,Schweine_Werte!$E70))</f>
        <v>0</v>
      </c>
      <c r="AZ70" s="716">
        <f>IF(OR($C$36=$AR70,$D$36=$AR70),Schweine_Werte!$E70*0.5,IF(OR($C$36&gt;$AR70,$D$36&lt;$AR70),0,Schweine_Werte!$E70))</f>
        <v>0</v>
      </c>
      <c r="BA70" s="716">
        <f>IF(OR($C$48=$AR70,$D$48=$AR70),Schweine_Werte!$E70*0.5,IF(OR($C$48&gt;$AR70,$D$48&lt;$AR70),0,Schweine_Werte!$E70))</f>
        <v>0</v>
      </c>
      <c r="BB70" s="716">
        <f>IF(OR($C$60=$AR70,$D$60=$AR70),Schweine_Werte!$E70*0.5,IF(OR($C$60&gt;$AR70,$D$60&lt;$AR70),0,Schweine_Werte!$E70))</f>
        <v>0</v>
      </c>
      <c r="BC70" s="781">
        <f>IF(OR($C$12=$AR70,$D$12=$AR70),Schweine_Werte!$G70*0.5,IF(OR($C$12&gt;$AR70,$D$12&lt;$AR70),0,Schweine_Werte!$G70))</f>
        <v>0</v>
      </c>
      <c r="BD70" s="716">
        <f>IF(OR($C$24=$AR70,$D$24=$AR70),Schweine_Werte!$G70*0.5,IF(OR($C$24&gt;$AR70,$D$24&lt;$AR70),0,Schweine_Werte!$G70))</f>
        <v>0</v>
      </c>
      <c r="BE70" s="716">
        <f>IF(OR($C$36=$AR70,$D$36=$AR70),Schweine_Werte!$G70*0.5,IF(OR($C$36&gt;$AR70,$D$36&lt;$AR70),0,Schweine_Werte!$G70))</f>
        <v>0</v>
      </c>
      <c r="BF70" s="716">
        <f>IF(OR($C$48=$AR70,$D$48=$AR70),Schweine_Werte!$G70*0.5,IF(OR($C$48&gt;$AR70,$D$48&lt;$AR70),0,Schweine_Werte!$G70))</f>
        <v>0</v>
      </c>
      <c r="BG70" s="716">
        <f>IF(OR($C$60=$AR70,$D$60=$AR70),Schweine_Werte!$G70*0.5,IF(OR($C$60&gt;$AR70,$D$60&lt;$AR70),0,Schweine_Werte!$G70))</f>
        <v>0</v>
      </c>
      <c r="BH70" s="781">
        <f>IF(OR($C$12=$AR70,$D$12=$AR70),Schweine_Werte!$I70*0.5,IF(OR($C$12&gt;$AR70,$D$12&lt;$AR70),0,Schweine_Werte!$I70))</f>
        <v>0</v>
      </c>
      <c r="BI70" s="716">
        <f>IF(OR($C$24=$AR70,$D$24=$AR70),Schweine_Werte!$I70*0.5,IF(OR($C$24&gt;$AR70,$D$24&lt;$AR70),0,Schweine_Werte!$I70))</f>
        <v>0</v>
      </c>
      <c r="BJ70" s="716">
        <f>IF(OR($C$36=$AR70,$D$36=$AR70),Schweine_Werte!$I70*0.5,IF(OR($C$36&gt;$AR70,$D$36&lt;$AR70),0,Schweine_Werte!$I70))</f>
        <v>0</v>
      </c>
      <c r="BK70" s="716">
        <f>IF(OR($C$48=$AR70,$D$48=$AR70),Schweine_Werte!$I70*0.5,IF(OR($C$48&gt;$AR70,$D$48&lt;$AR70),0,Schweine_Werte!$I70))</f>
        <v>0</v>
      </c>
      <c r="BL70" s="716">
        <f>IF(OR($C$60=$AR70,$D$60=$AR70),Schweine_Werte!$I70*0.5,IF(OR($C$60&gt;$AR70,$D$60&lt;$AR70),0,Schweine_Werte!$I70))</f>
        <v>0</v>
      </c>
      <c r="BM70" s="781"/>
      <c r="BN70" s="716"/>
      <c r="BO70" s="716"/>
      <c r="BP70" s="716"/>
      <c r="BQ70" s="716"/>
      <c r="BR70" s="781">
        <f>IF(OR($C$74=$AR70,$D$74=$AR70),Schweine_Werte!$M70*0.5,IF(OR($C$74&gt;$AR70,$D$74&lt;$AR70),0,Schweine_Werte!$M70))</f>
        <v>0</v>
      </c>
      <c r="BS70" s="781">
        <f>IF(OR($C$83=$AR70,$D$83=$AR70),Schweine_Werte!$M70*0.5,IF(OR($C$83&gt;$AR70,$D$83&lt;$AR70),0,Schweine_Werte!$M70))</f>
        <v>0</v>
      </c>
      <c r="BT70" s="783">
        <f>IF(OR($C$92=$AR70,$D$92=$AR70),Schweine_Werte!$M70*0.5,IF(OR($C$92&gt;$AR70,$D$92&lt;$AR70),0,Schweine_Werte!$M70))</f>
        <v>0</v>
      </c>
      <c r="BU70" s="783">
        <f>IF(OR($C$101=$AR70,$D$101=$AR70),Schweine_Werte!$M70*0.5,IF(OR($C$101&gt;$AR70,$D$101&lt;$AR70),0,Schweine_Werte!$M70))</f>
        <v>0</v>
      </c>
      <c r="BV70" s="783">
        <f>IF(OR($C$110=$AR70,$D$110=$AR70),Schweine_Werte!$M70*0.5,IF(OR($C$110&gt;$AR70,$D$110&lt;$AR70),0,Schweine_Werte!$M70))</f>
        <v>0</v>
      </c>
      <c r="BW70" s="783">
        <f>IF(OR(8=$AR70,$E$127=$AR70),Schweine_Werte!$M70*0.5,IF(OR(8&gt;$AR70,$E$127&lt;$AR70),0,Schweine_Werte!$M70))</f>
        <v>1.1050108487679347</v>
      </c>
      <c r="BX70" s="783">
        <f>IF(OR(8=$AR70,$E$145=$AR70),Schweine_Werte!$M70*0.5,IF(OR(8&gt;$AR70,$E$145&lt;$AR70),0,Schweine_Werte!$M70))</f>
        <v>1.1050108487679347</v>
      </c>
      <c r="BY70" s="781">
        <f>IF(OR($C$74=$AR70,$D$74=$AR70),Schweine_Werte!$O70*0.5,IF(OR($C$74&gt;$AR70,$D$74&lt;$AR70),0,Schweine_Werte!$O70))</f>
        <v>0</v>
      </c>
      <c r="BZ70" s="781">
        <f>IF(OR($C$83=$AR70,$D$83=$AR70),Schweine_Werte!$O70*0.5,IF(OR($C$83&gt;$AR70,$D$83&lt;$AR70),0,Schweine_Werte!$O70))</f>
        <v>0</v>
      </c>
      <c r="CA70" s="783">
        <f>IF(OR($C$92=$AR70,$D$92=$AR70),Schweine_Werte!$O70*0.5,IF(OR($C$92&gt;$AR70,$D$92&lt;$AR70),0,Schweine_Werte!$O70))</f>
        <v>0</v>
      </c>
      <c r="CB70" s="783">
        <f>IF(OR($C$101=$AR70,$D$101=$AR70),Schweine_Werte!$O70*0.5,IF(OR($C$101&gt;$AR70,$D$101&lt;$AR70),0,Schweine_Werte!$O70))</f>
        <v>0</v>
      </c>
      <c r="CC70" s="783">
        <f>IF(OR($C$110=$AR70,$D$110=$AR70),Schweine_Werte!$O70*0.5,IF(OR($C$110&gt;$AR70,$D$110&lt;$AR70),0,Schweine_Werte!$O70))</f>
        <v>0</v>
      </c>
    </row>
    <row r="71" spans="1:81" x14ac:dyDescent="0.2">
      <c r="B71">
        <v>500</v>
      </c>
      <c r="D71" s="716"/>
      <c r="E71" t="e">
        <f>($D74-$C74)*1000/SUM($BY$4:$BY$31)</f>
        <v>#VALUE!</v>
      </c>
      <c r="F71" s="716" t="e">
        <f>SUMPRODUCT($BY$4:$BY$31,Schweine_Werte!$W$4:$W$31)/SUM($BY$4:$BY$31)</f>
        <v>#DIV/0!</v>
      </c>
      <c r="G71" s="716" t="e">
        <f>IF($B74=$A$8,SUMPRODUCT($BY$4:$BY$31,Schweine_Werte!HK$4:HK$31)/SUM($BY$4:$BY$31),IF($B74=$A$7,SUMPRODUCT($BY$4:$BY$31,Schweine_Werte!GW$4:GW$31)/SUM($BY$4:$BY$31),IF($B74=$A$6,SUMPRODUCT($BY$4:$BY$31,Schweine_Werte!GI$4:GI$31)/SUM($BY$4:$BY$31),SUMPRODUCT($BY$4:$BY$31,Schweine_Werte!FU$4:FU$31)/SUM($BY$4:$BY$31))))</f>
        <v>#DIV/0!</v>
      </c>
      <c r="H71" s="716" t="e">
        <f>IF($B74=$A$8,SUMPRODUCT($BY$4:$BY$31,Schweine_Werte!HL$4:HL$31)/SUM($BY$4:$BY$31),IF($B74=$A$7,SUMPRODUCT($BY$4:$BY$31,Schweine_Werte!GX$4:GX$31)/SUM($BY$4:$BY$31),IF($B74=$A$6,SUMPRODUCT($BY$4:$BY$31,Schweine_Werte!GJ$4:GJ$31)/SUM($BY$4:$BY$31),SUMPRODUCT($BY$4:$BY$31,Schweine_Werte!FV$4:FV$31)/SUM($BY$4:$BY$31))))</f>
        <v>#DIV/0!</v>
      </c>
      <c r="I71" s="716" t="e">
        <f>IF($B74=$A$8,SUMPRODUCT($BY$4:$BY$31,Schweine_Werte!HM$4:HM$31)/SUM($BY$4:$BY$31),IF($B74=$A$7,SUMPRODUCT($BY$4:$BY$31,Schweine_Werte!GY$4:GY$31)/SUM($BY$4:$BY$31),IF($B74=$A$6,SUMPRODUCT($BY$4:$BY$31,Schweine_Werte!GK$4:GK$31)/SUM($BY$4:$BY$31),SUMPRODUCT($BY$4:$BY$31,Schweine_Werte!FW$4:FW$31)/SUM($BY$4:$BY$31))))</f>
        <v>#DIV/0!</v>
      </c>
      <c r="J71" s="716" t="e">
        <f>SUMPRODUCT($BY$4:$BY$31,Schweine_Werte!$AE$4:$AE$31)/SUM($BY$4:$BY$31)</f>
        <v>#DIV/0!</v>
      </c>
      <c r="K71" s="716" t="e">
        <f>SUMPRODUCT($BY$4:$BY$31,Schweine_Werte!$AM$4:$AM$31)/SUM($BY$4:$BY$31)</f>
        <v>#DIV/0!</v>
      </c>
      <c r="L71" s="716" t="e">
        <f>T71*$F71*365/1000+$J71-$K71</f>
        <v>#DIV/0!</v>
      </c>
      <c r="M71" s="716" t="e">
        <f>U71*$F71*365/1000+$J71-$K71/2</f>
        <v>#DIV/0!</v>
      </c>
      <c r="N71" s="716" t="e">
        <f>V71*$F71*365/1000+$J71</f>
        <v>#DIV/0!</v>
      </c>
      <c r="O71" s="716">
        <f>IF($C74&lt;28,SUM($BY$4:$BY$23)+IF($D74&gt;28,$BY$24*0.5,$BY$24),0)</f>
        <v>0</v>
      </c>
      <c r="P71" s="716">
        <f>IF($D74&gt;28,SUM($BY$25:$BY$31)+IF($C74&lt;28,$BY$24*0.5,$BY$24),0)</f>
        <v>0</v>
      </c>
      <c r="Q71" s="716" t="e">
        <f t="shared" si="40"/>
        <v>#DIV/0!</v>
      </c>
      <c r="R71" s="716" t="e">
        <f t="shared" si="40"/>
        <v>#DIV/0!</v>
      </c>
      <c r="S71" s="716" t="e">
        <f t="shared" si="40"/>
        <v>#DIV/0!</v>
      </c>
      <c r="T71" s="716" t="e">
        <f>+($O71*Schweine_Werte!$HT$16+$P71*Schweine_Werte!$HU$16)/SUM($O71:$P71)</f>
        <v>#DIV/0!</v>
      </c>
      <c r="U71" s="716" t="e">
        <f>+($O71*Schweine_Werte!$HV$16+$P71*Schweine_Werte!$HW$16)/SUM($O71:$P71)</f>
        <v>#DIV/0!</v>
      </c>
      <c r="V71" s="716" t="e">
        <f>+($O71*Schweine_Werte!$HX$16+$P71*Schweine_Werte!$HY$16)/SUM($O71:$P71)</f>
        <v>#DIV/0!</v>
      </c>
      <c r="W71" s="716" t="e">
        <f>($J71*0.055+T71*0.365*0.86*$F71-$K71*0.018)/L71*100</f>
        <v>#DIV/0!</v>
      </c>
      <c r="X71" s="716" t="e">
        <f>($J71*0.055+U71*0.365*0.86*$F71-$K71*0.018/2)/M71*100</f>
        <v>#DIV/0!</v>
      </c>
      <c r="Y71" s="716" t="e">
        <f>($J71*0.055+V71*0.365*0.86*$F71)/N71*100</f>
        <v>#DIV/0!</v>
      </c>
      <c r="Z71" s="716"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16"/>
      <c r="AB71" s="716">
        <f>IF($B74=$A$8,SUMIF(Schweine_Werte!$AO$4:$AO$31,$C74,Schweine_Werte!$HO$4:$HO$31),IF($B74=$A$7,SUMIF(Schweine_Werte!$AO$4:$AO$31,$C74,Schweine_Werte!$HA$4:$HA$31),IF($B74=$A$6,SUMIF(Schweine_Werte!$AO$4:$AO$31,$C74,Schweine_Werte!$GM$4:$GM$31),SUMIF(Schweine_Werte!$AO$4:$AO$31,$C74,Schweine_Werte!$FY$4:$FY$31))))</f>
        <v>0</v>
      </c>
      <c r="AC71" s="716"/>
      <c r="AD71" s="716">
        <f>IF($B74=$A$8,SUMIF(Schweine_Werte!$AO$4:$AO$31,$D74,Schweine_Werte!$HO$4:$HO$31),IF($B74=$A$7,SUMIF(Schweine_Werte!$AO$4:$AO$31,$D74,Schweine_Werte!$HA$4:$HA$31),IF($B74=$A$6,SUMIF(Schweine_Werte!$AO$4:$AO$31,$D74,Schweine_Werte!$GM$4:$GM$31),SUMIF(Schweine_Werte!$AO$4:$AO$31,$D74,Schweine_Werte!$FY$4:$FY$31))))</f>
        <v>0</v>
      </c>
      <c r="AE71" s="716"/>
      <c r="AF71" s="716"/>
      <c r="AG71" s="716" t="e">
        <f>IF($B74=$A$8,SUMPRODUCT($BY$4:$BY$31,Schweine_Werte!$HN$4:$HN$31)/SUM($BY$4:$BY$31),IF($B74=$A$7,SUMPRODUCT($BY$4:$BY$31,Schweine_Werte!$GZ$4:$GZ$31)/SUM($BY$4:$BY$31),IF($B74=$A$6,SUMPRODUCT($BY$4:$BY$31,Schweine_Werte!$GL$4:$GL$31)/SUM($BY$4:$BY$31),SUMPRODUCT($BY$4:$BY$31,Schweine_Werte!$FX$4:$FX$31)/SUM($BY$4:$BY$31))))</f>
        <v>#DIV/0!</v>
      </c>
      <c r="AH71" s="716"/>
      <c r="AI71" s="716"/>
      <c r="AJ71" s="716"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16"/>
      <c r="AL71" s="716">
        <f>IF($B74=$A$8,SUMIF(Schweine_Werte!$AO$4:$AO$31,$C74,Schweine_Werte!$HP$4:$HP$31),IF($B74=$A$7,SUMIF(Schweine_Werte!$AO$4:$AO$31,$C74,Schweine_Werte!$HB$4:$HB$31),IF($B74=$A$6,SUMIF(Schweine_Werte!$AO$4:$AO$31,$C74,Schweine_Werte!$GN$4:$GN$31),SUMIF(Schweine_Werte!$AO$4:$AO$31,$C74,Schweine_Werte!$FZ$4:$FZ$31))))</f>
        <v>0</v>
      </c>
      <c r="AM71" s="716"/>
      <c r="AN71" s="716">
        <f>IF($B74=$A$8,SUMIF(Schweine_Werte!$AO$4:$AO$31,$D74,Schweine_Werte!$HP$4:$HP$31),IF($B74=$A$7,SUMIF(Schweine_Werte!$AO$4:$AO$31,$D74,Schweine_Werte!$HB$4:$HB$31),IF($B74=$A$6,SUMIF(Schweine_Werte!$AO$4:$AO$31,$D74,Schweine_Werte!$GN$4:$GN$31),SUMIF(Schweine_Werte!$AO$4:$AO$31,$D74,Schweine_Werte!$FZ$4:$FZ$31))))</f>
        <v>0</v>
      </c>
      <c r="AO71" s="716"/>
      <c r="AR71" s="792">
        <v>75</v>
      </c>
      <c r="AS71" s="781">
        <f>IF(OR($C$12=$AR71,$D$12=$AR71),Schweine_Werte!$C71*0.5,IF(OR($C$12&gt;$AR71,$D$12&lt;$AR71),0,Schweine_Werte!$C71))</f>
        <v>0</v>
      </c>
      <c r="AT71" s="716">
        <f>IF(OR($C$24=$AR71,$D$24=$AR71),Schweine_Werte!$C71*0.5,IF(OR($C$24&gt;$AR71,$D$24&lt;$AR71),0,Schweine_Werte!$C71))</f>
        <v>0</v>
      </c>
      <c r="AU71" s="781">
        <f>IF(OR($C$36=$AR71,$D$36=$AR71),Schweine_Werte!$C71*0.5,IF(OR($C$36&gt;$AR71,$D$36&lt;$AR71),0,Schweine_Werte!$C71))</f>
        <v>0</v>
      </c>
      <c r="AV71" s="781">
        <f>IF(OR($C$48=$AR71,$D$48=$AR71),Schweine_Werte!$C71*0.5,IF(OR($C$48&gt;$AR71,$D$48&lt;$AR71),0,Schweine_Werte!$C71))</f>
        <v>0</v>
      </c>
      <c r="AW71" s="781">
        <f>IF(OR($C$60=$AR71,$D$60=$AR71),Schweine_Werte!$C71*0.5,IF(OR($C$60&gt;$AR71,$D$60&lt;$AR71),0,Schweine_Werte!$C71))</f>
        <v>0</v>
      </c>
      <c r="AX71" s="781">
        <f>IF(OR($C$12=$AR71,$D$12=$AR71),Schweine_Werte!$E71*0.5,IF(OR($C$12&gt;$AR71,$D$12&lt;$AR71),0,Schweine_Werte!$E71))</f>
        <v>0</v>
      </c>
      <c r="AY71" s="716">
        <f>IF(OR($C$24=$AR71,$D$24=$AR71),Schweine_Werte!$E71*0.5,IF(OR($C$24&gt;$AR71,$D$24&lt;$AR71),0,Schweine_Werte!$E71))</f>
        <v>0</v>
      </c>
      <c r="AZ71" s="716">
        <f>IF(OR($C$36=$AR71,$D$36=$AR71),Schweine_Werte!$E71*0.5,IF(OR($C$36&gt;$AR71,$D$36&lt;$AR71),0,Schweine_Werte!$E71))</f>
        <v>0</v>
      </c>
      <c r="BA71" s="716">
        <f>IF(OR($C$48=$AR71,$D$48=$AR71),Schweine_Werte!$E71*0.5,IF(OR($C$48&gt;$AR71,$D$48&lt;$AR71),0,Schweine_Werte!$E71))</f>
        <v>0</v>
      </c>
      <c r="BB71" s="716">
        <f>IF(OR($C$60=$AR71,$D$60=$AR71),Schweine_Werte!$E71*0.5,IF(OR($C$60&gt;$AR71,$D$60&lt;$AR71),0,Schweine_Werte!$E71))</f>
        <v>0</v>
      </c>
      <c r="BC71" s="781">
        <f>IF(OR($C$12=$AR71,$D$12=$AR71),Schweine_Werte!$G71*0.5,IF(OR($C$12&gt;$AR71,$D$12&lt;$AR71),0,Schweine_Werte!$G71))</f>
        <v>0</v>
      </c>
      <c r="BD71" s="716">
        <f>IF(OR($C$24=$AR71,$D$24=$AR71),Schweine_Werte!$G71*0.5,IF(OR($C$24&gt;$AR71,$D$24&lt;$AR71),0,Schweine_Werte!$G71))</f>
        <v>0</v>
      </c>
      <c r="BE71" s="716">
        <f>IF(OR($C$36=$AR71,$D$36=$AR71),Schweine_Werte!$G71*0.5,IF(OR($C$36&gt;$AR71,$D$36&lt;$AR71),0,Schweine_Werte!$G71))</f>
        <v>0</v>
      </c>
      <c r="BF71" s="716">
        <f>IF(OR($C$48=$AR71,$D$48=$AR71),Schweine_Werte!$G71*0.5,IF(OR($C$48&gt;$AR71,$D$48&lt;$AR71),0,Schweine_Werte!$G71))</f>
        <v>0</v>
      </c>
      <c r="BG71" s="716">
        <f>IF(OR($C$60=$AR71,$D$60=$AR71),Schweine_Werte!$G71*0.5,IF(OR($C$60&gt;$AR71,$D$60&lt;$AR71),0,Schweine_Werte!$G71))</f>
        <v>0</v>
      </c>
      <c r="BH71" s="781">
        <f>IF(OR($C$12=$AR71,$D$12=$AR71),Schweine_Werte!$I71*0.5,IF(OR($C$12&gt;$AR71,$D$12&lt;$AR71),0,Schweine_Werte!$I71))</f>
        <v>0</v>
      </c>
      <c r="BI71" s="716">
        <f>IF(OR($C$24=$AR71,$D$24=$AR71),Schweine_Werte!$I71*0.5,IF(OR($C$24&gt;$AR71,$D$24&lt;$AR71),0,Schweine_Werte!$I71))</f>
        <v>0</v>
      </c>
      <c r="BJ71" s="716">
        <f>IF(OR($C$36=$AR71,$D$36=$AR71),Schweine_Werte!$I71*0.5,IF(OR($C$36&gt;$AR71,$D$36&lt;$AR71),0,Schweine_Werte!$I71))</f>
        <v>0</v>
      </c>
      <c r="BK71" s="716">
        <f>IF(OR($C$48=$AR71,$D$48=$AR71),Schweine_Werte!$I71*0.5,IF(OR($C$48&gt;$AR71,$D$48&lt;$AR71),0,Schweine_Werte!$I71))</f>
        <v>0</v>
      </c>
      <c r="BL71" s="716">
        <f>IF(OR($C$60=$AR71,$D$60=$AR71),Schweine_Werte!$I71*0.5,IF(OR($C$60&gt;$AR71,$D$60&lt;$AR71),0,Schweine_Werte!$I71))</f>
        <v>0</v>
      </c>
      <c r="BM71" s="781"/>
      <c r="BN71" s="716"/>
      <c r="BO71" s="716"/>
      <c r="BP71" s="716"/>
      <c r="BQ71" s="716"/>
      <c r="BR71" s="781">
        <f>IF(OR($C$74=$AR71,$D$74=$AR71),Schweine_Werte!$M71*0.5,IF(OR($C$74&gt;$AR71,$D$74&lt;$AR71),0,Schweine_Werte!$M71))</f>
        <v>0</v>
      </c>
      <c r="BS71" s="781">
        <f>IF(OR($C$83=$AR71,$D$83=$AR71),Schweine_Werte!$M71*0.5,IF(OR($C$83&gt;$AR71,$D$83&lt;$AR71),0,Schweine_Werte!$M71))</f>
        <v>0</v>
      </c>
      <c r="BT71" s="783">
        <f>IF(OR($C$92=$AR71,$D$92=$AR71),Schweine_Werte!$M71*0.5,IF(OR($C$92&gt;$AR71,$D$92&lt;$AR71),0,Schweine_Werte!$M71))</f>
        <v>0</v>
      </c>
      <c r="BU71" s="783">
        <f>IF(OR($C$101=$AR71,$D$101=$AR71),Schweine_Werte!$M71*0.5,IF(OR($C$101&gt;$AR71,$D$101&lt;$AR71),0,Schweine_Werte!$M71))</f>
        <v>0</v>
      </c>
      <c r="BV71" s="783">
        <f>IF(OR($C$110=$AR71,$D$110=$AR71),Schweine_Werte!$M71*0.5,IF(OR($C$110&gt;$AR71,$D$110&lt;$AR71),0,Schweine_Werte!$M71))</f>
        <v>0</v>
      </c>
      <c r="BW71" s="783">
        <f>IF(OR(8=$AR71,$E$127=$AR71),Schweine_Werte!$M71*0.5,IF(OR(8&gt;$AR71,$E$127&lt;$AR71),0,Schweine_Werte!$M71))</f>
        <v>1.1057456648864845</v>
      </c>
      <c r="BX71" s="783">
        <f>IF(OR(8=$AR71,$E$145=$AR71),Schweine_Werte!$M71*0.5,IF(OR(8&gt;$AR71,$E$145&lt;$AR71),0,Schweine_Werte!$M71))</f>
        <v>1.1057456648864845</v>
      </c>
      <c r="BY71" s="781">
        <f>IF(OR($C$74=$AR71,$D$74=$AR71),Schweine_Werte!$O71*0.5,IF(OR($C$74&gt;$AR71,$D$74&lt;$AR71),0,Schweine_Werte!$O71))</f>
        <v>0</v>
      </c>
      <c r="BZ71" s="781">
        <f>IF(OR($C$83=$AR71,$D$83=$AR71),Schweine_Werte!$O71*0.5,IF(OR($C$83&gt;$AR71,$D$83&lt;$AR71),0,Schweine_Werte!$O71))</f>
        <v>0</v>
      </c>
      <c r="CA71" s="783">
        <f>IF(OR($C$92=$AR71,$D$92=$AR71),Schweine_Werte!$O71*0.5,IF(OR($C$92&gt;$AR71,$D$92&lt;$AR71),0,Schweine_Werte!$O71))</f>
        <v>0</v>
      </c>
      <c r="CB71" s="783">
        <f>IF(OR($C$101=$AR71,$D$101=$AR71),Schweine_Werte!$O71*0.5,IF(OR($C$101&gt;$AR71,$D$101&lt;$AR71),0,Schweine_Werte!$O71))</f>
        <v>0</v>
      </c>
      <c r="CC71" s="783">
        <f>IF(OR($C$110=$AR71,$D$110=$AR71),Schweine_Werte!$O71*0.5,IF(OR($C$110&gt;$AR71,$D$110&lt;$AR71),0,Schweine_Werte!$O71))</f>
        <v>0</v>
      </c>
    </row>
    <row r="72" spans="1:81" ht="15.75" x14ac:dyDescent="0.25">
      <c r="F72" s="352"/>
      <c r="G72" s="1588" t="s">
        <v>7701</v>
      </c>
      <c r="H72" s="1589"/>
      <c r="I72" s="1590"/>
      <c r="J72" s="973" t="s">
        <v>589</v>
      </c>
      <c r="K72" s="973" t="s">
        <v>224</v>
      </c>
      <c r="L72" s="1591" t="s">
        <v>7702</v>
      </c>
      <c r="M72" s="1592"/>
      <c r="N72" s="1593"/>
      <c r="O72" s="1591" t="s">
        <v>7703</v>
      </c>
      <c r="P72" s="1593"/>
      <c r="Q72" s="1591" t="s">
        <v>7758</v>
      </c>
      <c r="R72" s="1592"/>
      <c r="S72" s="1593"/>
      <c r="T72" s="1591" t="s">
        <v>7704</v>
      </c>
      <c r="U72" s="1592"/>
      <c r="V72" s="1593"/>
      <c r="W72" s="1591" t="s">
        <v>7785</v>
      </c>
      <c r="X72" s="1592"/>
      <c r="Y72" s="1593"/>
      <c r="Z72" s="1596" t="s">
        <v>7786</v>
      </c>
      <c r="AA72" s="1597"/>
      <c r="AB72" s="1596" t="s">
        <v>7787</v>
      </c>
      <c r="AC72" s="1597"/>
      <c r="AD72" s="1596" t="s">
        <v>7788</v>
      </c>
      <c r="AE72" s="1597"/>
      <c r="AF72" s="974" t="s">
        <v>7888</v>
      </c>
      <c r="AG72" s="1598" t="s">
        <v>7791</v>
      </c>
      <c r="AH72" s="1599"/>
      <c r="AI72" s="1081" t="s">
        <v>7889</v>
      </c>
      <c r="AJ72" s="1596" t="s">
        <v>7786</v>
      </c>
      <c r="AK72" s="1597"/>
      <c r="AL72" s="1596" t="s">
        <v>7787</v>
      </c>
      <c r="AM72" s="1597"/>
      <c r="AN72" s="1596" t="s">
        <v>7788</v>
      </c>
      <c r="AO72" s="1597"/>
      <c r="AR72" s="792">
        <v>76</v>
      </c>
      <c r="AS72" s="781">
        <f>IF(OR($C$12=$AR72,$D$12=$AR72),Schweine_Werte!$C72*0.5,IF(OR($C$12&gt;$AR72,$D$12&lt;$AR72),0,Schweine_Werte!$C72))</f>
        <v>0</v>
      </c>
      <c r="AT72" s="716">
        <f>IF(OR($C$24=$AR72,$D$24=$AR72),Schweine_Werte!$C72*0.5,IF(OR($C$24&gt;$AR72,$D$24&lt;$AR72),0,Schweine_Werte!$C72))</f>
        <v>0</v>
      </c>
      <c r="AU72" s="781">
        <f>IF(OR($C$36=$AR72,$D$36=$AR72),Schweine_Werte!$C72*0.5,IF(OR($C$36&gt;$AR72,$D$36&lt;$AR72),0,Schweine_Werte!$C72))</f>
        <v>0</v>
      </c>
      <c r="AV72" s="781">
        <f>IF(OR($C$48=$AR72,$D$48=$AR72),Schweine_Werte!$C72*0.5,IF(OR($C$48&gt;$AR72,$D$48&lt;$AR72),0,Schweine_Werte!$C72))</f>
        <v>0</v>
      </c>
      <c r="AW72" s="781">
        <f>IF(OR($C$60=$AR72,$D$60=$AR72),Schweine_Werte!$C72*0.5,IF(OR($C$60&gt;$AR72,$D$60&lt;$AR72),0,Schweine_Werte!$C72))</f>
        <v>0</v>
      </c>
      <c r="AX72" s="781">
        <f>IF(OR($C$12=$AR72,$D$12=$AR72),Schweine_Werte!$E72*0.5,IF(OR($C$12&gt;$AR72,$D$12&lt;$AR72),0,Schweine_Werte!$E72))</f>
        <v>0</v>
      </c>
      <c r="AY72" s="716">
        <f>IF(OR($C$24=$AR72,$D$24=$AR72),Schweine_Werte!$E72*0.5,IF(OR($C$24&gt;$AR72,$D$24&lt;$AR72),0,Schweine_Werte!$E72))</f>
        <v>0</v>
      </c>
      <c r="AZ72" s="716">
        <f>IF(OR($C$36=$AR72,$D$36=$AR72),Schweine_Werte!$E72*0.5,IF(OR($C$36&gt;$AR72,$D$36&lt;$AR72),0,Schweine_Werte!$E72))</f>
        <v>0</v>
      </c>
      <c r="BA72" s="716">
        <f>IF(OR($C$48=$AR72,$D$48=$AR72),Schweine_Werte!$E72*0.5,IF(OR($C$48&gt;$AR72,$D$48&lt;$AR72),0,Schweine_Werte!$E72))</f>
        <v>0</v>
      </c>
      <c r="BB72" s="716">
        <f>IF(OR($C$60=$AR72,$D$60=$AR72),Schweine_Werte!$E72*0.5,IF(OR($C$60&gt;$AR72,$D$60&lt;$AR72),0,Schweine_Werte!$E72))</f>
        <v>0</v>
      </c>
      <c r="BC72" s="781">
        <f>IF(OR($C$12=$AR72,$D$12=$AR72),Schweine_Werte!$G72*0.5,IF(OR($C$12&gt;$AR72,$D$12&lt;$AR72),0,Schweine_Werte!$G72))</f>
        <v>0</v>
      </c>
      <c r="BD72" s="716">
        <f>IF(OR($C$24=$AR72,$D$24=$AR72),Schweine_Werte!$G72*0.5,IF(OR($C$24&gt;$AR72,$D$24&lt;$AR72),0,Schweine_Werte!$G72))</f>
        <v>0</v>
      </c>
      <c r="BE72" s="716">
        <f>IF(OR($C$36=$AR72,$D$36=$AR72),Schweine_Werte!$G72*0.5,IF(OR($C$36&gt;$AR72,$D$36&lt;$AR72),0,Schweine_Werte!$G72))</f>
        <v>0</v>
      </c>
      <c r="BF72" s="716">
        <f>IF(OR($C$48=$AR72,$D$48=$AR72),Schweine_Werte!$G72*0.5,IF(OR($C$48&gt;$AR72,$D$48&lt;$AR72),0,Schweine_Werte!$G72))</f>
        <v>0</v>
      </c>
      <c r="BG72" s="716">
        <f>IF(OR($C$60=$AR72,$D$60=$AR72),Schweine_Werte!$G72*0.5,IF(OR($C$60&gt;$AR72,$D$60&lt;$AR72),0,Schweine_Werte!$G72))</f>
        <v>0</v>
      </c>
      <c r="BH72" s="781">
        <f>IF(OR($C$12=$AR72,$D$12=$AR72),Schweine_Werte!$I72*0.5,IF(OR($C$12&gt;$AR72,$D$12&lt;$AR72),0,Schweine_Werte!$I72))</f>
        <v>0</v>
      </c>
      <c r="BI72" s="716">
        <f>IF(OR($C$24=$AR72,$D$24=$AR72),Schweine_Werte!$I72*0.5,IF(OR($C$24&gt;$AR72,$D$24&lt;$AR72),0,Schweine_Werte!$I72))</f>
        <v>0</v>
      </c>
      <c r="BJ72" s="716">
        <f>IF(OR($C$36=$AR72,$D$36=$AR72),Schweine_Werte!$I72*0.5,IF(OR($C$36&gt;$AR72,$D$36&lt;$AR72),0,Schweine_Werte!$I72))</f>
        <v>0</v>
      </c>
      <c r="BK72" s="716">
        <f>IF(OR($C$48=$AR72,$D$48=$AR72),Schweine_Werte!$I72*0.5,IF(OR($C$48&gt;$AR72,$D$48&lt;$AR72),0,Schweine_Werte!$I72))</f>
        <v>0</v>
      </c>
      <c r="BL72" s="716">
        <f>IF(OR($C$60=$AR72,$D$60=$AR72),Schweine_Werte!$I72*0.5,IF(OR($C$60&gt;$AR72,$D$60&lt;$AR72),0,Schweine_Werte!$I72))</f>
        <v>0</v>
      </c>
      <c r="BM72" s="781"/>
      <c r="BN72" s="716"/>
      <c r="BO72" s="716"/>
      <c r="BP72" s="716"/>
      <c r="BQ72" s="716"/>
      <c r="BR72" s="781">
        <f>IF(OR($C$74=$AR72,$D$74=$AR72),Schweine_Werte!$M72*0.5,IF(OR($C$74&gt;$AR72,$D$74&lt;$AR72),0,Schweine_Werte!$M72))</f>
        <v>0</v>
      </c>
      <c r="BS72" s="781">
        <f>IF(OR($C$83=$AR72,$D$83=$AR72),Schweine_Werte!$M72*0.5,IF(OR($C$83&gt;$AR72,$D$83&lt;$AR72),0,Schweine_Werte!$M72))</f>
        <v>0</v>
      </c>
      <c r="BT72" s="783">
        <f>IF(OR($C$92=$AR72,$D$92=$AR72),Schweine_Werte!$M72*0.5,IF(OR($C$92&gt;$AR72,$D$92&lt;$AR72),0,Schweine_Werte!$M72))</f>
        <v>0</v>
      </c>
      <c r="BU72" s="783">
        <f>IF(OR($C$101=$AR72,$D$101=$AR72),Schweine_Werte!$M72*0.5,IF(OR($C$101&gt;$AR72,$D$101&lt;$AR72),0,Schweine_Werte!$M72))</f>
        <v>0</v>
      </c>
      <c r="BV72" s="783">
        <f>IF(OR($C$110=$AR72,$D$110=$AR72),Schweine_Werte!$M72*0.5,IF(OR($C$110&gt;$AR72,$D$110&lt;$AR72),0,Schweine_Werte!$M72))</f>
        <v>0</v>
      </c>
      <c r="BW72" s="783">
        <f>IF(OR(8=$AR72,$E$127=$AR72),Schweine_Werte!$M72*0.5,IF(OR(8&gt;$AR72,$E$127&lt;$AR72),0,Schweine_Werte!$M72))</f>
        <v>1.1068451513476441</v>
      </c>
      <c r="BX72" s="783">
        <f>IF(OR(8=$AR72,$E$145=$AR72),Schweine_Werte!$M72*0.5,IF(OR(8&gt;$AR72,$E$145&lt;$AR72),0,Schweine_Werte!$M72))</f>
        <v>1.1068451513476441</v>
      </c>
      <c r="BY72" s="781">
        <f>IF(OR($C$74=$AR72,$D$74=$AR72),Schweine_Werte!$O72*0.5,IF(OR($C$74&gt;$AR72,$D$74&lt;$AR72),0,Schweine_Werte!$O72))</f>
        <v>0</v>
      </c>
      <c r="BZ72" s="781">
        <f>IF(OR($C$83=$AR72,$D$83=$AR72),Schweine_Werte!$O72*0.5,IF(OR($C$83&gt;$AR72,$D$83&lt;$AR72),0,Schweine_Werte!$O72))</f>
        <v>0</v>
      </c>
      <c r="CA72" s="783">
        <f>IF(OR($C$92=$AR72,$D$92=$AR72),Schweine_Werte!$O72*0.5,IF(OR($C$92&gt;$AR72,$D$92&lt;$AR72),0,Schweine_Werte!$O72))</f>
        <v>0</v>
      </c>
      <c r="CB72" s="783">
        <f>IF(OR($C$101=$AR72,$D$101=$AR72),Schweine_Werte!$O72*0.5,IF(OR($C$101&gt;$AR72,$D$101&lt;$AR72),0,Schweine_Werte!$O72))</f>
        <v>0</v>
      </c>
      <c r="CC72" s="783">
        <f>IF(OR($C$110=$AR72,$D$110=$AR72),Schweine_Werte!$O72*0.5,IF(OR($C$110&gt;$AR72,$D$110&lt;$AR72),0,Schweine_Werte!$O72))</f>
        <v>0</v>
      </c>
    </row>
    <row r="73" spans="1:81" ht="18.75" x14ac:dyDescent="0.2">
      <c r="B73" s="786" t="s">
        <v>7705</v>
      </c>
      <c r="C73" s="787" t="s">
        <v>7645</v>
      </c>
      <c r="D73" s="787" t="s">
        <v>7706</v>
      </c>
      <c r="E73" s="787" t="s">
        <v>7647</v>
      </c>
      <c r="F73" s="733" t="s">
        <v>196</v>
      </c>
      <c r="G73" s="662" t="s">
        <v>4</v>
      </c>
      <c r="H73" s="662" t="s">
        <v>7707</v>
      </c>
      <c r="I73" s="662" t="s">
        <v>7708</v>
      </c>
      <c r="J73" s="663" t="s">
        <v>7709</v>
      </c>
      <c r="K73" s="663" t="s">
        <v>7709</v>
      </c>
      <c r="L73" s="664" t="s">
        <v>39</v>
      </c>
      <c r="M73" s="664" t="s">
        <v>7710</v>
      </c>
      <c r="N73" s="664" t="s">
        <v>41</v>
      </c>
      <c r="O73" s="665" t="s">
        <v>0</v>
      </c>
      <c r="P73" s="665" t="s">
        <v>8</v>
      </c>
      <c r="Q73" s="664" t="s">
        <v>39</v>
      </c>
      <c r="R73" s="664" t="s">
        <v>40</v>
      </c>
      <c r="S73" s="664" t="s">
        <v>41</v>
      </c>
      <c r="T73" s="664" t="s">
        <v>39</v>
      </c>
      <c r="U73" s="664" t="s">
        <v>40</v>
      </c>
      <c r="V73" s="664" t="s">
        <v>41</v>
      </c>
      <c r="W73" s="663" t="s">
        <v>7684</v>
      </c>
      <c r="X73" s="663" t="s">
        <v>7685</v>
      </c>
      <c r="Y73" s="663" t="s">
        <v>7686</v>
      </c>
      <c r="Z73" s="788" t="s">
        <v>7789</v>
      </c>
      <c r="AA73" s="788" t="s">
        <v>7790</v>
      </c>
      <c r="AB73" s="788" t="s">
        <v>7789</v>
      </c>
      <c r="AC73" s="788" t="s">
        <v>7790</v>
      </c>
      <c r="AD73" s="788" t="s">
        <v>7789</v>
      </c>
      <c r="AE73" s="788" t="s">
        <v>7790</v>
      </c>
      <c r="AF73" s="788" t="s">
        <v>7890</v>
      </c>
      <c r="AG73" s="983" t="s">
        <v>7891</v>
      </c>
      <c r="AH73" s="788" t="s">
        <v>7892</v>
      </c>
      <c r="AI73" s="788"/>
      <c r="AJ73" s="788" t="s">
        <v>7765</v>
      </c>
      <c r="AK73" s="788" t="s">
        <v>7792</v>
      </c>
      <c r="AL73" s="788" t="s">
        <v>7793</v>
      </c>
      <c r="AM73" s="788" t="s">
        <v>7794</v>
      </c>
      <c r="AN73" s="788" t="s">
        <v>7793</v>
      </c>
      <c r="AO73" s="788" t="s">
        <v>7795</v>
      </c>
      <c r="AR73" s="792">
        <v>77</v>
      </c>
      <c r="AS73" s="781">
        <f>IF(OR($C$12=$AR73,$D$12=$AR73),Schweine_Werte!$C73*0.5,IF(OR($C$12&gt;$AR73,$D$12&lt;$AR73),0,Schweine_Werte!$C73))</f>
        <v>0</v>
      </c>
      <c r="AT73" s="716">
        <f>IF(OR($C$24=$AR73,$D$24=$AR73),Schweine_Werte!$C73*0.5,IF(OR($C$24&gt;$AR73,$D$24&lt;$AR73),0,Schweine_Werte!$C73))</f>
        <v>0</v>
      </c>
      <c r="AU73" s="781">
        <f>IF(OR($C$36=$AR73,$D$36=$AR73),Schweine_Werte!$C73*0.5,IF(OR($C$36&gt;$AR73,$D$36&lt;$AR73),0,Schweine_Werte!$C73))</f>
        <v>0</v>
      </c>
      <c r="AV73" s="781">
        <f>IF(OR($C$48=$AR73,$D$48=$AR73),Schweine_Werte!$C73*0.5,IF(OR($C$48&gt;$AR73,$D$48&lt;$AR73),0,Schweine_Werte!$C73))</f>
        <v>0</v>
      </c>
      <c r="AW73" s="781">
        <f>IF(OR($C$60=$AR73,$D$60=$AR73),Schweine_Werte!$C73*0.5,IF(OR($C$60&gt;$AR73,$D$60&lt;$AR73),0,Schweine_Werte!$C73))</f>
        <v>0</v>
      </c>
      <c r="AX73" s="781">
        <f>IF(OR($C$12=$AR73,$D$12=$AR73),Schweine_Werte!$E73*0.5,IF(OR($C$12&gt;$AR73,$D$12&lt;$AR73),0,Schweine_Werte!$E73))</f>
        <v>0</v>
      </c>
      <c r="AY73" s="716">
        <f>IF(OR($C$24=$AR73,$D$24=$AR73),Schweine_Werte!$E73*0.5,IF(OR($C$24&gt;$AR73,$D$24&lt;$AR73),0,Schweine_Werte!$E73))</f>
        <v>0</v>
      </c>
      <c r="AZ73" s="716">
        <f>IF(OR($C$36=$AR73,$D$36=$AR73),Schweine_Werte!$E73*0.5,IF(OR($C$36&gt;$AR73,$D$36&lt;$AR73),0,Schweine_Werte!$E73))</f>
        <v>0</v>
      </c>
      <c r="BA73" s="716">
        <f>IF(OR($C$48=$AR73,$D$48=$AR73),Schweine_Werte!$E73*0.5,IF(OR($C$48&gt;$AR73,$D$48&lt;$AR73),0,Schweine_Werte!$E73))</f>
        <v>0</v>
      </c>
      <c r="BB73" s="716">
        <f>IF(OR($C$60=$AR73,$D$60=$AR73),Schweine_Werte!$E73*0.5,IF(OR($C$60&gt;$AR73,$D$60&lt;$AR73),0,Schweine_Werte!$E73))</f>
        <v>0</v>
      </c>
      <c r="BC73" s="781">
        <f>IF(OR($C$12=$AR73,$D$12=$AR73),Schweine_Werte!$G73*0.5,IF(OR($C$12&gt;$AR73,$D$12&lt;$AR73),0,Schweine_Werte!$G73))</f>
        <v>0</v>
      </c>
      <c r="BD73" s="716">
        <f>IF(OR($C$24=$AR73,$D$24=$AR73),Schweine_Werte!$G73*0.5,IF(OR($C$24&gt;$AR73,$D$24&lt;$AR73),0,Schweine_Werte!$G73))</f>
        <v>0</v>
      </c>
      <c r="BE73" s="716">
        <f>IF(OR($C$36=$AR73,$D$36=$AR73),Schweine_Werte!$G73*0.5,IF(OR($C$36&gt;$AR73,$D$36&lt;$AR73),0,Schweine_Werte!$G73))</f>
        <v>0</v>
      </c>
      <c r="BF73" s="716">
        <f>IF(OR($C$48=$AR73,$D$48=$AR73),Schweine_Werte!$G73*0.5,IF(OR($C$48&gt;$AR73,$D$48&lt;$AR73),0,Schweine_Werte!$G73))</f>
        <v>0</v>
      </c>
      <c r="BG73" s="716">
        <f>IF(OR($C$60=$AR73,$D$60=$AR73),Schweine_Werte!$G73*0.5,IF(OR($C$60&gt;$AR73,$D$60&lt;$AR73),0,Schweine_Werte!$G73))</f>
        <v>0</v>
      </c>
      <c r="BH73" s="781">
        <f>IF(OR($C$12=$AR73,$D$12=$AR73),Schweine_Werte!$I73*0.5,IF(OR($C$12&gt;$AR73,$D$12&lt;$AR73),0,Schweine_Werte!$I73))</f>
        <v>0</v>
      </c>
      <c r="BI73" s="716">
        <f>IF(OR($C$24=$AR73,$D$24=$AR73),Schweine_Werte!$I73*0.5,IF(OR($C$24&gt;$AR73,$D$24&lt;$AR73),0,Schweine_Werte!$I73))</f>
        <v>0</v>
      </c>
      <c r="BJ73" s="716">
        <f>IF(OR($C$36=$AR73,$D$36=$AR73),Schweine_Werte!$I73*0.5,IF(OR($C$36&gt;$AR73,$D$36&lt;$AR73),0,Schweine_Werte!$I73))</f>
        <v>0</v>
      </c>
      <c r="BK73" s="716">
        <f>IF(OR($C$48=$AR73,$D$48=$AR73),Schweine_Werte!$I73*0.5,IF(OR($C$48&gt;$AR73,$D$48&lt;$AR73),0,Schweine_Werte!$I73))</f>
        <v>0</v>
      </c>
      <c r="BL73" s="716">
        <f>IF(OR($C$60=$AR73,$D$60=$AR73),Schweine_Werte!$I73*0.5,IF(OR($C$60&gt;$AR73,$D$60&lt;$AR73),0,Schweine_Werte!$I73))</f>
        <v>0</v>
      </c>
      <c r="BM73" s="781"/>
      <c r="BN73" s="716"/>
      <c r="BO73" s="716"/>
      <c r="BP73" s="716"/>
      <c r="BQ73" s="716"/>
      <c r="BR73" s="781">
        <f>IF(OR($C$74=$AR73,$D$74=$AR73),Schweine_Werte!$M73*0.5,IF(OR($C$74&gt;$AR73,$D$74&lt;$AR73),0,Schweine_Werte!$M73))</f>
        <v>0</v>
      </c>
      <c r="BS73" s="781">
        <f>IF(OR($C$83=$AR73,$D$83=$AR73),Schweine_Werte!$M73*0.5,IF(OR($C$83&gt;$AR73,$D$83&lt;$AR73),0,Schweine_Werte!$M73))</f>
        <v>0</v>
      </c>
      <c r="BT73" s="783">
        <f>IF(OR($C$92=$AR73,$D$92=$AR73),Schweine_Werte!$M73*0.5,IF(OR($C$92&gt;$AR73,$D$92&lt;$AR73),0,Schweine_Werte!$M73))</f>
        <v>0</v>
      </c>
      <c r="BU73" s="783">
        <f>IF(OR($C$101=$AR73,$D$101=$AR73),Schweine_Werte!$M73*0.5,IF(OR($C$101&gt;$AR73,$D$101&lt;$AR73),0,Schweine_Werte!$M73))</f>
        <v>0</v>
      </c>
      <c r="BV73" s="783">
        <f>IF(OR($C$110=$AR73,$D$110=$AR73),Schweine_Werte!$M73*0.5,IF(OR($C$110&gt;$AR73,$D$110&lt;$AR73),0,Schweine_Werte!$M73))</f>
        <v>0</v>
      </c>
      <c r="BW73" s="783">
        <f>IF(OR(8=$AR73,$E$127=$AR73),Schweine_Werte!$M73*0.5,IF(OR(8&gt;$AR73,$E$127&lt;$AR73),0,Schweine_Werte!$M73))</f>
        <v>1.1083114389889972</v>
      </c>
      <c r="BX73" s="783">
        <f>IF(OR(8=$AR73,$E$145=$AR73),Schweine_Werte!$M73*0.5,IF(OR(8&gt;$AR73,$E$145&lt;$AR73),0,Schweine_Werte!$M73))</f>
        <v>1.1083114389889972</v>
      </c>
      <c r="BY73" s="781">
        <f>IF(OR($C$74=$AR73,$D$74=$AR73),Schweine_Werte!$O73*0.5,IF(OR($C$74&gt;$AR73,$D$74&lt;$AR73),0,Schweine_Werte!$O73))</f>
        <v>0</v>
      </c>
      <c r="BZ73" s="781">
        <f>IF(OR($C$83=$AR73,$D$83=$AR73),Schweine_Werte!$O73*0.5,IF(OR($C$83&gt;$AR73,$D$83&lt;$AR73),0,Schweine_Werte!$O73))</f>
        <v>0</v>
      </c>
      <c r="CA73" s="783">
        <f>IF(OR($C$92=$AR73,$D$92=$AR73),Schweine_Werte!$O73*0.5,IF(OR($C$92&gt;$AR73,$D$92&lt;$AR73),0,Schweine_Werte!$O73))</f>
        <v>0</v>
      </c>
      <c r="CB73" s="783">
        <f>IF(OR($C$101=$AR73,$D$101=$AR73),Schweine_Werte!$O73*0.5,IF(OR($C$101&gt;$AR73,$D$101&lt;$AR73),0,Schweine_Werte!$O73))</f>
        <v>0</v>
      </c>
      <c r="CC73" s="783">
        <f>IF(OR($C$110=$AR73,$D$110=$AR73),Schweine_Werte!$O73*0.5,IF(OR($C$110&gt;$AR73,$D$110&lt;$AR73),0,Schweine_Werte!$O73))</f>
        <v>0</v>
      </c>
    </row>
    <row r="74" spans="1:81" ht="15.75" x14ac:dyDescent="0.25">
      <c r="A74" t="s">
        <v>7778</v>
      </c>
      <c r="B74" s="802" t="str">
        <f>IF('Abweichende Werte'!X5=1,'Abweichende Werte'!F5,"")</f>
        <v/>
      </c>
      <c r="C74" s="666" t="str">
        <f>IF('Abweichende Werte'!X5=1,'Abweichende Werte'!J5,"")</f>
        <v/>
      </c>
      <c r="D74" s="667" t="str">
        <f>IF('Abweichende Werte'!X5=1,'Abweichende Werte'!M5,"")</f>
        <v/>
      </c>
      <c r="E74" s="667" t="str">
        <f>IF('Abweichende Werte'!X5=1,'Abweichende Werte'!P5,"")</f>
        <v/>
      </c>
      <c r="F74" s="789" t="e">
        <f>IF($E74&lt;=$E70,F70,IF(AND($E74&gt;$E70,$E74&lt;=$E71),F70+(F71-F70)/($E71-$E70)*($E74-$E70),IF($E74&gt;$E71,F71)))</f>
        <v>#VALUE!</v>
      </c>
      <c r="G74" s="789" t="e">
        <f t="shared" ref="G74:N74" si="41">IF($E74&lt;=$E70,G70,IF(AND($E74&gt;$E70,$E74&lt;=$E71),G70+(G71-G70)/($E71-$E70)*($E74-$E70),IF($E74&gt;$E71,G71)))</f>
        <v>#VALUE!</v>
      </c>
      <c r="H74" s="789" t="e">
        <f t="shared" si="41"/>
        <v>#VALUE!</v>
      </c>
      <c r="I74" s="789" t="e">
        <f t="shared" si="41"/>
        <v>#VALUE!</v>
      </c>
      <c r="J74" s="789" t="e">
        <f t="shared" si="41"/>
        <v>#VALUE!</v>
      </c>
      <c r="K74" s="789" t="e">
        <f t="shared" si="41"/>
        <v>#VALUE!</v>
      </c>
      <c r="L74" s="789" t="e">
        <f t="shared" si="41"/>
        <v>#VALUE!</v>
      </c>
      <c r="M74" s="789" t="e">
        <f t="shared" si="41"/>
        <v>#VALUE!</v>
      </c>
      <c r="N74" s="789" t="e">
        <f t="shared" si="41"/>
        <v>#VALUE!</v>
      </c>
      <c r="O74" s="790">
        <v>5.5</v>
      </c>
      <c r="P74" s="790">
        <v>1.8</v>
      </c>
      <c r="Q74" s="789" t="e">
        <f t="shared" ref="Q74:Z74" si="42">IF($E74&lt;=$E70,Q70,IF(AND($E74&gt;$E70,$E74&lt;=$E71),Q70+(Q71-Q70)/($E71-$E70)*($E74-$E70),IF($E74&gt;$E71,Q71)))</f>
        <v>#VALUE!</v>
      </c>
      <c r="R74" s="789" t="e">
        <f t="shared" si="42"/>
        <v>#VALUE!</v>
      </c>
      <c r="S74" s="789" t="e">
        <f t="shared" si="42"/>
        <v>#VALUE!</v>
      </c>
      <c r="T74" s="789" t="e">
        <f t="shared" si="42"/>
        <v>#VALUE!</v>
      </c>
      <c r="U74" s="789" t="e">
        <f t="shared" si="42"/>
        <v>#VALUE!</v>
      </c>
      <c r="V74" s="789" t="e">
        <f t="shared" si="42"/>
        <v>#VALUE!</v>
      </c>
      <c r="W74" s="789" t="e">
        <f t="shared" si="42"/>
        <v>#VALUE!</v>
      </c>
      <c r="X74" s="789" t="e">
        <f t="shared" si="42"/>
        <v>#VALUE!</v>
      </c>
      <c r="Y74" s="789" t="e">
        <f t="shared" si="42"/>
        <v>#VALUE!</v>
      </c>
      <c r="Z74" s="789" t="e">
        <f t="shared" si="42"/>
        <v>#VALUE!</v>
      </c>
      <c r="AA74" s="791" t="e">
        <f>+Z74*6.25</f>
        <v>#VALUE!</v>
      </c>
      <c r="AB74" s="789" t="e">
        <f>IF($E74&lt;=$E70,AB70,IF(AND($E74&gt;$E70,$E74&lt;=$E71),AB70+(AB71-AB70)/($E71-$E70)*($E74-$E70),IF($E74&gt;$E71,AB71)))</f>
        <v>#VALUE!</v>
      </c>
      <c r="AC74" s="791" t="e">
        <f>+AB74*6.25</f>
        <v>#VALUE!</v>
      </c>
      <c r="AD74" s="789" t="e">
        <f>IF($E74&lt;=$E70,AD70,IF(AND($E74&gt;$E70,$E74&lt;=$E71),AD70+(AD71-AD70)/($E71-$E70)*($E74-$E70),IF($E74&gt;$E71,AD71)))</f>
        <v>#VALUE!</v>
      </c>
      <c r="AE74" s="791" t="e">
        <f>+AD74*6.25</f>
        <v>#VALUE!</v>
      </c>
      <c r="AF74" s="791" t="e">
        <f>365/((D74-C74)/E74*1000)</f>
        <v>#VALUE!</v>
      </c>
      <c r="AG74" s="789" t="e">
        <f>IF($E74&lt;=$E70,AG70,IF(AND($E74&gt;$E70,$E74&lt;=$E71),AG70+(AG71-AG70)/($E71-$E70)*($E74-$E70),IF($E74&gt;$E71,AG71)))</f>
        <v>#VALUE!</v>
      </c>
      <c r="AH74" s="791" t="e">
        <f>+AG74/AF74</f>
        <v>#VALUE!</v>
      </c>
      <c r="AI74" s="791" t="e">
        <f>+CONCATENATE(ROUND(AH74/(D74-C74),1)," : 1")</f>
        <v>#VALUE!</v>
      </c>
      <c r="AJ74" s="789" t="e">
        <f>IF($E74&lt;=$E70,AJ70,IF(AND($E74&gt;$E70,$E74&lt;=$E71),AJ70+(AJ71-AJ70)/($E71-$E70)*($E74-$E70),IF($E74&gt;$E71,AJ71)))</f>
        <v>#VALUE!</v>
      </c>
      <c r="AK74" s="791" t="e">
        <f>+AJ74/2.291</f>
        <v>#VALUE!</v>
      </c>
      <c r="AL74" s="789" t="e">
        <f>IF($E74&lt;=$E70,AL70,IF(AND($E74&gt;$E70,$E74&lt;=$E71),AL70+(AL71-AL70)/($E71-$E70)*($E74-$E70),IF($E74&gt;$E71,AL71)))</f>
        <v>#VALUE!</v>
      </c>
      <c r="AM74" s="791" t="e">
        <f>+AL74/2.291</f>
        <v>#VALUE!</v>
      </c>
      <c r="AN74" s="789" t="e">
        <f>IF($E74&lt;=$E70,AN70,IF(AND($E74&gt;$E70,$E74&lt;=$E71),AN70+(AN71-AN70)/($E71-$E70)*($E74-$E70),IF($E74&gt;$E71,AN71)))</f>
        <v>#VALUE!</v>
      </c>
      <c r="AO74" s="791" t="e">
        <f>+AN74/2.291</f>
        <v>#VALUE!</v>
      </c>
      <c r="AR74" s="792">
        <v>78</v>
      </c>
      <c r="AS74" s="781">
        <f>IF(OR($C$12=$AR74,$D$12=$AR74),Schweine_Werte!$C74*0.5,IF(OR($C$12&gt;$AR74,$D$12&lt;$AR74),0,Schweine_Werte!$C74))</f>
        <v>0</v>
      </c>
      <c r="AT74" s="716">
        <f>IF(OR($C$24=$AR74,$D$24=$AR74),Schweine_Werte!$C74*0.5,IF(OR($C$24&gt;$AR74,$D$24&lt;$AR74),0,Schweine_Werte!$C74))</f>
        <v>0</v>
      </c>
      <c r="AU74" s="781">
        <f>IF(OR($C$36=$AR74,$D$36=$AR74),Schweine_Werte!$C74*0.5,IF(OR($C$36&gt;$AR74,$D$36&lt;$AR74),0,Schweine_Werte!$C74))</f>
        <v>0</v>
      </c>
      <c r="AV74" s="781">
        <f>IF(OR($C$48=$AR74,$D$48=$AR74),Schweine_Werte!$C74*0.5,IF(OR($C$48&gt;$AR74,$D$48&lt;$AR74),0,Schweine_Werte!$C74))</f>
        <v>0</v>
      </c>
      <c r="AW74" s="781">
        <f>IF(OR($C$60=$AR74,$D$60=$AR74),Schweine_Werte!$C74*0.5,IF(OR($C$60&gt;$AR74,$D$60&lt;$AR74),0,Schweine_Werte!$C74))</f>
        <v>0</v>
      </c>
      <c r="AX74" s="781">
        <f>IF(OR($C$12=$AR74,$D$12=$AR74),Schweine_Werte!$E74*0.5,IF(OR($C$12&gt;$AR74,$D$12&lt;$AR74),0,Schweine_Werte!$E74))</f>
        <v>0</v>
      </c>
      <c r="AY74" s="716">
        <f>IF(OR($C$24=$AR74,$D$24=$AR74),Schweine_Werte!$E74*0.5,IF(OR($C$24&gt;$AR74,$D$24&lt;$AR74),0,Schweine_Werte!$E74))</f>
        <v>0</v>
      </c>
      <c r="AZ74" s="716">
        <f>IF(OR($C$36=$AR74,$D$36=$AR74),Schweine_Werte!$E74*0.5,IF(OR($C$36&gt;$AR74,$D$36&lt;$AR74),0,Schweine_Werte!$E74))</f>
        <v>0</v>
      </c>
      <c r="BA74" s="716">
        <f>IF(OR($C$48=$AR74,$D$48=$AR74),Schweine_Werte!$E74*0.5,IF(OR($C$48&gt;$AR74,$D$48&lt;$AR74),0,Schweine_Werte!$E74))</f>
        <v>0</v>
      </c>
      <c r="BB74" s="716">
        <f>IF(OR($C$60=$AR74,$D$60=$AR74),Schweine_Werte!$E74*0.5,IF(OR($C$60&gt;$AR74,$D$60&lt;$AR74),0,Schweine_Werte!$E74))</f>
        <v>0</v>
      </c>
      <c r="BC74" s="781">
        <f>IF(OR($C$12=$AR74,$D$12=$AR74),Schweine_Werte!$G74*0.5,IF(OR($C$12&gt;$AR74,$D$12&lt;$AR74),0,Schweine_Werte!$G74))</f>
        <v>0</v>
      </c>
      <c r="BD74" s="716">
        <f>IF(OR($C$24=$AR74,$D$24=$AR74),Schweine_Werte!$G74*0.5,IF(OR($C$24&gt;$AR74,$D$24&lt;$AR74),0,Schweine_Werte!$G74))</f>
        <v>0</v>
      </c>
      <c r="BE74" s="716">
        <f>IF(OR($C$36=$AR74,$D$36=$AR74),Schweine_Werte!$G74*0.5,IF(OR($C$36&gt;$AR74,$D$36&lt;$AR74),0,Schweine_Werte!$G74))</f>
        <v>0</v>
      </c>
      <c r="BF74" s="716">
        <f>IF(OR($C$48=$AR74,$D$48=$AR74),Schweine_Werte!$G74*0.5,IF(OR($C$48&gt;$AR74,$D$48&lt;$AR74),0,Schweine_Werte!$G74))</f>
        <v>0</v>
      </c>
      <c r="BG74" s="716">
        <f>IF(OR($C$60=$AR74,$D$60=$AR74),Schweine_Werte!$G74*0.5,IF(OR($C$60&gt;$AR74,$D$60&lt;$AR74),0,Schweine_Werte!$G74))</f>
        <v>0</v>
      </c>
      <c r="BH74" s="781">
        <f>IF(OR($C$12=$AR74,$D$12=$AR74),Schweine_Werte!$I74*0.5,IF(OR($C$12&gt;$AR74,$D$12&lt;$AR74),0,Schweine_Werte!$I74))</f>
        <v>0</v>
      </c>
      <c r="BI74" s="716">
        <f>IF(OR($C$24=$AR74,$D$24=$AR74),Schweine_Werte!$I74*0.5,IF(OR($C$24&gt;$AR74,$D$24&lt;$AR74),0,Schweine_Werte!$I74))</f>
        <v>0</v>
      </c>
      <c r="BJ74" s="716">
        <f>IF(OR($C$36=$AR74,$D$36=$AR74),Schweine_Werte!$I74*0.5,IF(OR($C$36&gt;$AR74,$D$36&lt;$AR74),0,Schweine_Werte!$I74))</f>
        <v>0</v>
      </c>
      <c r="BK74" s="716">
        <f>IF(OR($C$48=$AR74,$D$48=$AR74),Schweine_Werte!$I74*0.5,IF(OR($C$48&gt;$AR74,$D$48&lt;$AR74),0,Schweine_Werte!$I74))</f>
        <v>0</v>
      </c>
      <c r="BL74" s="716">
        <f>IF(OR($C$60=$AR74,$D$60=$AR74),Schweine_Werte!$I74*0.5,IF(OR($C$60&gt;$AR74,$D$60&lt;$AR74),0,Schweine_Werte!$I74))</f>
        <v>0</v>
      </c>
      <c r="BM74" s="781"/>
      <c r="BN74" s="716"/>
      <c r="BO74" s="716"/>
      <c r="BP74" s="716"/>
      <c r="BQ74" s="716"/>
      <c r="BR74" s="781">
        <f>IF(OR($C$74=$AR74,$D$74=$AR74),Schweine_Werte!$M74*0.5,IF(OR($C$74&gt;$AR74,$D$74&lt;$AR74),0,Schweine_Werte!$M74))</f>
        <v>0</v>
      </c>
      <c r="BS74" s="781">
        <f>IF(OR($C$83=$AR74,$D$83=$AR74),Schweine_Werte!$M74*0.5,IF(OR($C$83&gt;$AR74,$D$83&lt;$AR74),0,Schweine_Werte!$M74))</f>
        <v>0</v>
      </c>
      <c r="BT74" s="783">
        <f>IF(OR($C$92=$AR74,$D$92=$AR74),Schweine_Werte!$M74*0.5,IF(OR($C$92&gt;$AR74,$D$92&lt;$AR74),0,Schweine_Werte!$M74))</f>
        <v>0</v>
      </c>
      <c r="BU74" s="783">
        <f>IF(OR($C$101=$AR74,$D$101=$AR74),Schweine_Werte!$M74*0.5,IF(OR($C$101&gt;$AR74,$D$101&lt;$AR74),0,Schweine_Werte!$M74))</f>
        <v>0</v>
      </c>
      <c r="BV74" s="783">
        <f>IF(OR($C$110=$AR74,$D$110=$AR74),Schweine_Werte!$M74*0.5,IF(OR($C$110&gt;$AR74,$D$110&lt;$AR74),0,Schweine_Werte!$M74))</f>
        <v>0</v>
      </c>
      <c r="BW74" s="783">
        <f>IF(OR(8=$AR74,$E$127=$AR74),Schweine_Werte!$M74*0.5,IF(OR(8&gt;$AR74,$E$127&lt;$AR74),0,Schweine_Werte!$M74))</f>
        <v>1.1101473792091585</v>
      </c>
      <c r="BX74" s="783">
        <f>IF(OR(8=$AR74,$E$145=$AR74),Schweine_Werte!$M74*0.5,IF(OR(8&gt;$AR74,$E$145&lt;$AR74),0,Schweine_Werte!$M74))</f>
        <v>1.1101473792091585</v>
      </c>
      <c r="BY74" s="781">
        <f>IF(OR($C$74=$AR74,$D$74=$AR74),Schweine_Werte!$O74*0.5,IF(OR($C$74&gt;$AR74,$D$74&lt;$AR74),0,Schweine_Werte!$O74))</f>
        <v>0</v>
      </c>
      <c r="BZ74" s="781">
        <f>IF(OR($C$83=$AR74,$D$83=$AR74),Schweine_Werte!$O74*0.5,IF(OR($C$83&gt;$AR74,$D$83&lt;$AR74),0,Schweine_Werte!$O74))</f>
        <v>0</v>
      </c>
      <c r="CA74" s="783">
        <f>IF(OR($C$92=$AR74,$D$92=$AR74),Schweine_Werte!$O74*0.5,IF(OR($C$92&gt;$AR74,$D$92&lt;$AR74),0,Schweine_Werte!$O74))</f>
        <v>0</v>
      </c>
      <c r="CB74" s="783">
        <f>IF(OR($C$101=$AR74,$D$101=$AR74),Schweine_Werte!$O74*0.5,IF(OR($C$101&gt;$AR74,$D$101&lt;$AR74),0,Schweine_Werte!$O74))</f>
        <v>0</v>
      </c>
      <c r="CC74" s="783">
        <f>IF(OR($C$110=$AR74,$D$110=$AR74),Schweine_Werte!$O74*0.5,IF(OR($C$110&gt;$AR74,$D$110&lt;$AR74),0,Schweine_Werte!$O74))</f>
        <v>0</v>
      </c>
    </row>
    <row r="75" spans="1:81" ht="15" x14ac:dyDescent="0.2">
      <c r="B75" s="691"/>
      <c r="C75" s="1601" t="s">
        <v>7714</v>
      </c>
      <c r="D75" s="1601"/>
      <c r="E75" s="716"/>
      <c r="F75" s="716"/>
      <c r="G75" s="716"/>
      <c r="AR75" s="792">
        <v>79</v>
      </c>
      <c r="AS75" s="781">
        <f>IF(OR($C$12=$AR75,$D$12=$AR75),Schweine_Werte!$C75*0.5,IF(OR($C$12&gt;$AR75,$D$12&lt;$AR75),0,Schweine_Werte!$C75))</f>
        <v>0</v>
      </c>
      <c r="AT75" s="716">
        <f>IF(OR($C$24=$AR75,$D$24=$AR75),Schweine_Werte!$C75*0.5,IF(OR($C$24&gt;$AR75,$D$24&lt;$AR75),0,Schweine_Werte!$C75))</f>
        <v>0</v>
      </c>
      <c r="AU75" s="781">
        <f>IF(OR($C$36=$AR75,$D$36=$AR75),Schweine_Werte!$C75*0.5,IF(OR($C$36&gt;$AR75,$D$36&lt;$AR75),0,Schweine_Werte!$C75))</f>
        <v>0</v>
      </c>
      <c r="AV75" s="781">
        <f>IF(OR($C$48=$AR75,$D$48=$AR75),Schweine_Werte!$C75*0.5,IF(OR($C$48&gt;$AR75,$D$48&lt;$AR75),0,Schweine_Werte!$C75))</f>
        <v>0</v>
      </c>
      <c r="AW75" s="781">
        <f>IF(OR($C$60=$AR75,$D$60=$AR75),Schweine_Werte!$C75*0.5,IF(OR($C$60&gt;$AR75,$D$60&lt;$AR75),0,Schweine_Werte!$C75))</f>
        <v>0</v>
      </c>
      <c r="AX75" s="781">
        <f>IF(OR($C$12=$AR75,$D$12=$AR75),Schweine_Werte!$E75*0.5,IF(OR($C$12&gt;$AR75,$D$12&lt;$AR75),0,Schweine_Werte!$E75))</f>
        <v>0</v>
      </c>
      <c r="AY75" s="716">
        <f>IF(OR($C$24=$AR75,$D$24=$AR75),Schweine_Werte!$E75*0.5,IF(OR($C$24&gt;$AR75,$D$24&lt;$AR75),0,Schweine_Werte!$E75))</f>
        <v>0</v>
      </c>
      <c r="AZ75" s="716">
        <f>IF(OR($C$36=$AR75,$D$36=$AR75),Schweine_Werte!$E75*0.5,IF(OR($C$36&gt;$AR75,$D$36&lt;$AR75),0,Schweine_Werte!$E75))</f>
        <v>0</v>
      </c>
      <c r="BA75" s="716">
        <f>IF(OR($C$48=$AR75,$D$48=$AR75),Schweine_Werte!$E75*0.5,IF(OR($C$48&gt;$AR75,$D$48&lt;$AR75),0,Schweine_Werte!$E75))</f>
        <v>0</v>
      </c>
      <c r="BB75" s="716">
        <f>IF(OR($C$60=$AR75,$D$60=$AR75),Schweine_Werte!$E75*0.5,IF(OR($C$60&gt;$AR75,$D$60&lt;$AR75),0,Schweine_Werte!$E75))</f>
        <v>0</v>
      </c>
      <c r="BC75" s="781">
        <f>IF(OR($C$12=$AR75,$D$12=$AR75),Schweine_Werte!$G75*0.5,IF(OR($C$12&gt;$AR75,$D$12&lt;$AR75),0,Schweine_Werte!$G75))</f>
        <v>0</v>
      </c>
      <c r="BD75" s="716">
        <f>IF(OR($C$24=$AR75,$D$24=$AR75),Schweine_Werte!$G75*0.5,IF(OR($C$24&gt;$AR75,$D$24&lt;$AR75),0,Schweine_Werte!$G75))</f>
        <v>0</v>
      </c>
      <c r="BE75" s="716">
        <f>IF(OR($C$36=$AR75,$D$36=$AR75),Schweine_Werte!$G75*0.5,IF(OR($C$36&gt;$AR75,$D$36&lt;$AR75),0,Schweine_Werte!$G75))</f>
        <v>0</v>
      </c>
      <c r="BF75" s="716">
        <f>IF(OR($C$48=$AR75,$D$48=$AR75),Schweine_Werte!$G75*0.5,IF(OR($C$48&gt;$AR75,$D$48&lt;$AR75),0,Schweine_Werte!$G75))</f>
        <v>0</v>
      </c>
      <c r="BG75" s="716">
        <f>IF(OR($C$60=$AR75,$D$60=$AR75),Schweine_Werte!$G75*0.5,IF(OR($C$60&gt;$AR75,$D$60&lt;$AR75),0,Schweine_Werte!$G75))</f>
        <v>0</v>
      </c>
      <c r="BH75" s="781">
        <f>IF(OR($C$12=$AR75,$D$12=$AR75),Schweine_Werte!$I75*0.5,IF(OR($C$12&gt;$AR75,$D$12&lt;$AR75),0,Schweine_Werte!$I75))</f>
        <v>0</v>
      </c>
      <c r="BI75" s="716">
        <f>IF(OR($C$24=$AR75,$D$24=$AR75),Schweine_Werte!$I75*0.5,IF(OR($C$24&gt;$AR75,$D$24&lt;$AR75),0,Schweine_Werte!$I75))</f>
        <v>0</v>
      </c>
      <c r="BJ75" s="716">
        <f>IF(OR($C$36=$AR75,$D$36=$AR75),Schweine_Werte!$I75*0.5,IF(OR($C$36&gt;$AR75,$D$36&lt;$AR75),0,Schweine_Werte!$I75))</f>
        <v>0</v>
      </c>
      <c r="BK75" s="716">
        <f>IF(OR($C$48=$AR75,$D$48=$AR75),Schweine_Werte!$I75*0.5,IF(OR($C$48&gt;$AR75,$D$48&lt;$AR75),0,Schweine_Werte!$I75))</f>
        <v>0</v>
      </c>
      <c r="BL75" s="716">
        <f>IF(OR($C$60=$AR75,$D$60=$AR75),Schweine_Werte!$I75*0.5,IF(OR($C$60&gt;$AR75,$D$60&lt;$AR75),0,Schweine_Werte!$I75))</f>
        <v>0</v>
      </c>
      <c r="BM75" s="781"/>
      <c r="BN75" s="716"/>
      <c r="BO75" s="716"/>
      <c r="BP75" s="716"/>
      <c r="BQ75" s="716"/>
      <c r="BR75" s="781">
        <f>IF(OR($C$74=$AR75,$D$74=$AR75),Schweine_Werte!$M75*0.5,IF(OR($C$74&gt;$AR75,$D$74&lt;$AR75),0,Schweine_Werte!$M75))</f>
        <v>0</v>
      </c>
      <c r="BS75" s="781">
        <f>IF(OR($C$83=$AR75,$D$83=$AR75),Schweine_Werte!$M75*0.5,IF(OR($C$83&gt;$AR75,$D$83&lt;$AR75),0,Schweine_Werte!$M75))</f>
        <v>0</v>
      </c>
      <c r="BT75" s="783">
        <f>IF(OR($C$92=$AR75,$D$92=$AR75),Schweine_Werte!$M75*0.5,IF(OR($C$92&gt;$AR75,$D$92&lt;$AR75),0,Schweine_Werte!$M75))</f>
        <v>0</v>
      </c>
      <c r="BU75" s="783">
        <f>IF(OR($C$101=$AR75,$D$101=$AR75),Schweine_Werte!$M75*0.5,IF(OR($C$101&gt;$AR75,$D$101&lt;$AR75),0,Schweine_Werte!$M75))</f>
        <v>0</v>
      </c>
      <c r="BV75" s="783">
        <f>IF(OR($C$110=$AR75,$D$110=$AR75),Schweine_Werte!$M75*0.5,IF(OR($C$110&gt;$AR75,$D$110&lt;$AR75),0,Schweine_Werte!$M75))</f>
        <v>0</v>
      </c>
      <c r="BW75" s="783">
        <f>IF(OR(8=$AR75,$E$127=$AR75),Schweine_Werte!$M75*0.5,IF(OR(8&gt;$AR75,$E$127&lt;$AR75),0,Schweine_Werte!$M75))</f>
        <v>1.1123565578886376</v>
      </c>
      <c r="BX75" s="783">
        <f>IF(OR(8=$AR75,$E$145=$AR75),Schweine_Werte!$M75*0.5,IF(OR(8&gt;$AR75,$E$145&lt;$AR75),0,Schweine_Werte!$M75))</f>
        <v>1.1123565578886376</v>
      </c>
      <c r="BY75" s="781">
        <f>IF(OR($C$74=$AR75,$D$74=$AR75),Schweine_Werte!$O75*0.5,IF(OR($C$74&gt;$AR75,$D$74&lt;$AR75),0,Schweine_Werte!$O75))</f>
        <v>0</v>
      </c>
      <c r="BZ75" s="781">
        <f>IF(OR($C$83=$AR75,$D$83=$AR75),Schweine_Werte!$O75*0.5,IF(OR($C$83&gt;$AR75,$D$83&lt;$AR75),0,Schweine_Werte!$O75))</f>
        <v>0</v>
      </c>
      <c r="CA75" s="783">
        <f>IF(OR($C$92=$AR75,$D$92=$AR75),Schweine_Werte!$O75*0.5,IF(OR($C$92&gt;$AR75,$D$92&lt;$AR75),0,Schweine_Werte!$O75))</f>
        <v>0</v>
      </c>
      <c r="CB75" s="783">
        <f>IF(OR($C$101=$AR75,$D$101=$AR75),Schweine_Werte!$O75*0.5,IF(OR($C$101&gt;$AR75,$D$101&lt;$AR75),0,Schweine_Werte!$O75))</f>
        <v>0</v>
      </c>
      <c r="CC75" s="783">
        <f>IF(OR($C$110=$AR75,$D$110=$AR75),Schweine_Werte!$O75*0.5,IF(OR($C$110&gt;$AR75,$D$110&lt;$AR75),0,Schweine_Werte!$O75))</f>
        <v>0</v>
      </c>
    </row>
    <row r="76" spans="1:81" x14ac:dyDescent="0.2">
      <c r="AR76" s="792">
        <v>80</v>
      </c>
      <c r="AS76" s="781">
        <f>IF(OR($C$12=$AR76,$D$12=$AR76),Schweine_Werte!$C76*0.5,IF(OR($C$12&gt;$AR76,$D$12&lt;$AR76),0,Schweine_Werte!$C76))</f>
        <v>0</v>
      </c>
      <c r="AT76" s="716">
        <f>IF(OR($C$24=$AR76,$D$24=$AR76),Schweine_Werte!$C76*0.5,IF(OR($C$24&gt;$AR76,$D$24&lt;$AR76),0,Schweine_Werte!$C76))</f>
        <v>0</v>
      </c>
      <c r="AU76" s="781">
        <f>IF(OR($C$36=$AR76,$D$36=$AR76),Schweine_Werte!$C76*0.5,IF(OR($C$36&gt;$AR76,$D$36&lt;$AR76),0,Schweine_Werte!$C76))</f>
        <v>0</v>
      </c>
      <c r="AV76" s="781">
        <f>IF(OR($C$48=$AR76,$D$48=$AR76),Schweine_Werte!$C76*0.5,IF(OR($C$48&gt;$AR76,$D$48&lt;$AR76),0,Schweine_Werte!$C76))</f>
        <v>0</v>
      </c>
      <c r="AW76" s="781">
        <f>IF(OR($C$60=$AR76,$D$60=$AR76),Schweine_Werte!$C76*0.5,IF(OR($C$60&gt;$AR76,$D$60&lt;$AR76),0,Schweine_Werte!$C76))</f>
        <v>0</v>
      </c>
      <c r="AX76" s="781">
        <f>IF(OR($C$12=$AR76,$D$12=$AR76),Schweine_Werte!$E76*0.5,IF(OR($C$12&gt;$AR76,$D$12&lt;$AR76),0,Schweine_Werte!$E76))</f>
        <v>0</v>
      </c>
      <c r="AY76" s="716">
        <f>IF(OR($C$24=$AR76,$D$24=$AR76),Schweine_Werte!$E76*0.5,IF(OR($C$24&gt;$AR76,$D$24&lt;$AR76),0,Schweine_Werte!$E76))</f>
        <v>0</v>
      </c>
      <c r="AZ76" s="716">
        <f>IF(OR($C$36=$AR76,$D$36=$AR76),Schweine_Werte!$E76*0.5,IF(OR($C$36&gt;$AR76,$D$36&lt;$AR76),0,Schweine_Werte!$E76))</f>
        <v>0</v>
      </c>
      <c r="BA76" s="716">
        <f>IF(OR($C$48=$AR76,$D$48=$AR76),Schweine_Werte!$E76*0.5,IF(OR($C$48&gt;$AR76,$D$48&lt;$AR76),0,Schweine_Werte!$E76))</f>
        <v>0</v>
      </c>
      <c r="BB76" s="716">
        <f>IF(OR($C$60=$AR76,$D$60=$AR76),Schweine_Werte!$E76*0.5,IF(OR($C$60&gt;$AR76,$D$60&lt;$AR76),0,Schweine_Werte!$E76))</f>
        <v>0</v>
      </c>
      <c r="BC76" s="781">
        <f>IF(OR($C$12=$AR76,$D$12=$AR76),Schweine_Werte!$G76*0.5,IF(OR($C$12&gt;$AR76,$D$12&lt;$AR76),0,Schweine_Werte!$G76))</f>
        <v>0</v>
      </c>
      <c r="BD76" s="716">
        <f>IF(OR($C$24=$AR76,$D$24=$AR76),Schweine_Werte!$G76*0.5,IF(OR($C$24&gt;$AR76,$D$24&lt;$AR76),0,Schweine_Werte!$G76))</f>
        <v>0</v>
      </c>
      <c r="BE76" s="716">
        <f>IF(OR($C$36=$AR76,$D$36=$AR76),Schweine_Werte!$G76*0.5,IF(OR($C$36&gt;$AR76,$D$36&lt;$AR76),0,Schweine_Werte!$G76))</f>
        <v>0</v>
      </c>
      <c r="BF76" s="716">
        <f>IF(OR($C$48=$AR76,$D$48=$AR76),Schweine_Werte!$G76*0.5,IF(OR($C$48&gt;$AR76,$D$48&lt;$AR76),0,Schweine_Werte!$G76))</f>
        <v>0</v>
      </c>
      <c r="BG76" s="716">
        <f>IF(OR($C$60=$AR76,$D$60=$AR76),Schweine_Werte!$G76*0.5,IF(OR($C$60&gt;$AR76,$D$60&lt;$AR76),0,Schweine_Werte!$G76))</f>
        <v>0</v>
      </c>
      <c r="BH76" s="781">
        <f>IF(OR($C$12=$AR76,$D$12=$AR76),Schweine_Werte!$I76*0.5,IF(OR($C$12&gt;$AR76,$D$12&lt;$AR76),0,Schweine_Werte!$I76))</f>
        <v>0</v>
      </c>
      <c r="BI76" s="716">
        <f>IF(OR($C$24=$AR76,$D$24=$AR76),Schweine_Werte!$I76*0.5,IF(OR($C$24&gt;$AR76,$D$24&lt;$AR76),0,Schweine_Werte!$I76))</f>
        <v>0</v>
      </c>
      <c r="BJ76" s="716">
        <f>IF(OR($C$36=$AR76,$D$36=$AR76),Schweine_Werte!$I76*0.5,IF(OR($C$36&gt;$AR76,$D$36&lt;$AR76),0,Schweine_Werte!$I76))</f>
        <v>0</v>
      </c>
      <c r="BK76" s="716">
        <f>IF(OR($C$48=$AR76,$D$48=$AR76),Schweine_Werte!$I76*0.5,IF(OR($C$48&gt;$AR76,$D$48&lt;$AR76),0,Schweine_Werte!$I76))</f>
        <v>0</v>
      </c>
      <c r="BL76" s="716">
        <f>IF(OR($C$60=$AR76,$D$60=$AR76),Schweine_Werte!$I76*0.5,IF(OR($C$60&gt;$AR76,$D$60&lt;$AR76),0,Schweine_Werte!$I76))</f>
        <v>0</v>
      </c>
      <c r="BM76" s="781"/>
      <c r="BN76" s="716"/>
      <c r="BO76" s="716"/>
      <c r="BP76" s="716"/>
      <c r="BQ76" s="716"/>
      <c r="BR76" s="781">
        <f>IF(OR($C$74=$AR76,$D$74=$AR76),Schweine_Werte!$M76*0.5,IF(OR($C$74&gt;$AR76,$D$74&lt;$AR76),0,Schweine_Werte!$M76))</f>
        <v>0</v>
      </c>
      <c r="BS76" s="781">
        <f>IF(OR($C$83=$AR76,$D$83=$AR76),Schweine_Werte!$M76*0.5,IF(OR($C$83&gt;$AR76,$D$83&lt;$AR76),0,Schweine_Werte!$M76))</f>
        <v>0</v>
      </c>
      <c r="BT76" s="783">
        <f>IF(OR($C$92=$AR76,$D$92=$AR76),Schweine_Werte!$M76*0.5,IF(OR($C$92&gt;$AR76,$D$92&lt;$AR76),0,Schweine_Werte!$M76))</f>
        <v>0</v>
      </c>
      <c r="BU76" s="783">
        <f>IF(OR($C$101=$AR76,$D$101=$AR76),Schweine_Werte!$M76*0.5,IF(OR($C$101&gt;$AR76,$D$101&lt;$AR76),0,Schweine_Werte!$M76))</f>
        <v>0</v>
      </c>
      <c r="BV76" s="783">
        <f>IF(OR($C$110=$AR76,$D$110=$AR76),Schweine_Werte!$M76*0.5,IF(OR($C$110&gt;$AR76,$D$110&lt;$AR76),0,Schweine_Werte!$M76))</f>
        <v>0</v>
      </c>
      <c r="BW76" s="783">
        <f>IF(OR(8=$AR76,$E$127=$AR76),Schweine_Werte!$M76*0.5,IF(OR(8&gt;$AR76,$E$127&lt;$AR76),0,Schweine_Werte!$M76))</f>
        <v>1.1149433130069055</v>
      </c>
      <c r="BX76" s="783">
        <f>IF(OR(8=$AR76,$E$145=$AR76),Schweine_Werte!$M76*0.5,IF(OR(8&gt;$AR76,$E$145&lt;$AR76),0,Schweine_Werte!$M76))</f>
        <v>1.1149433130069055</v>
      </c>
      <c r="BY76" s="781">
        <f>IF(OR($C$74=$AR76,$D$74=$AR76),Schweine_Werte!$O76*0.5,IF(OR($C$74&gt;$AR76,$D$74&lt;$AR76),0,Schweine_Werte!$O76))</f>
        <v>0</v>
      </c>
      <c r="BZ76" s="781">
        <f>IF(OR($C$83=$AR76,$D$83=$AR76),Schweine_Werte!$O76*0.5,IF(OR($C$83&gt;$AR76,$D$83&lt;$AR76),0,Schweine_Werte!$O76))</f>
        <v>0</v>
      </c>
      <c r="CA76" s="783">
        <f>IF(OR($C$92=$AR76,$D$92=$AR76),Schweine_Werte!$O76*0.5,IF(OR($C$92&gt;$AR76,$D$92&lt;$AR76),0,Schweine_Werte!$O76))</f>
        <v>0</v>
      </c>
      <c r="CB76" s="783">
        <f>IF(OR($C$101=$AR76,$D$101=$AR76),Schweine_Werte!$O76*0.5,IF(OR($C$101&gt;$AR76,$D$101&lt;$AR76),0,Schweine_Werte!$O76))</f>
        <v>0</v>
      </c>
      <c r="CC76" s="783">
        <f>IF(OR($C$110=$AR76,$D$110=$AR76),Schweine_Werte!$O76*0.5,IF(OR($C$110&gt;$AR76,$D$110&lt;$AR76),0,Schweine_Werte!$O76))</f>
        <v>0</v>
      </c>
    </row>
    <row r="77" spans="1:81" x14ac:dyDescent="0.2">
      <c r="Q77" s="1587" t="s">
        <v>7768</v>
      </c>
      <c r="R77" s="1587"/>
      <c r="S77" s="1587"/>
      <c r="T77" s="1587" t="s">
        <v>7769</v>
      </c>
      <c r="U77" s="1587"/>
      <c r="V77" s="1587"/>
      <c r="W77" s="975" t="s">
        <v>7662</v>
      </c>
      <c r="X77" s="975"/>
      <c r="Y77" s="975"/>
      <c r="AR77" s="792">
        <v>81</v>
      </c>
      <c r="AS77" s="781">
        <f>IF(OR($C$12=$AR77,$D$12=$AR77),Schweine_Werte!$C77*0.5,IF(OR($C$12&gt;$AR77,$D$12&lt;$AR77),0,Schweine_Werte!$C77))</f>
        <v>0</v>
      </c>
      <c r="AT77" s="716">
        <f>IF(OR($C$24=$AR77,$D$24=$AR77),Schweine_Werte!$C77*0.5,IF(OR($C$24&gt;$AR77,$D$24&lt;$AR77),0,Schweine_Werte!$C77))</f>
        <v>0</v>
      </c>
      <c r="AU77" s="781">
        <f>IF(OR($C$36=$AR77,$D$36=$AR77),Schweine_Werte!$C77*0.5,IF(OR($C$36&gt;$AR77,$D$36&lt;$AR77),0,Schweine_Werte!$C77))</f>
        <v>0</v>
      </c>
      <c r="AV77" s="781">
        <f>IF(OR($C$48=$AR77,$D$48=$AR77),Schweine_Werte!$C77*0.5,IF(OR($C$48&gt;$AR77,$D$48&lt;$AR77),0,Schweine_Werte!$C77))</f>
        <v>0</v>
      </c>
      <c r="AW77" s="781">
        <f>IF(OR($C$60=$AR77,$D$60=$AR77),Schweine_Werte!$C77*0.5,IF(OR($C$60&gt;$AR77,$D$60&lt;$AR77),0,Schweine_Werte!$C77))</f>
        <v>0</v>
      </c>
      <c r="AX77" s="781">
        <f>IF(OR($C$12=$AR77,$D$12=$AR77),Schweine_Werte!$E77*0.5,IF(OR($C$12&gt;$AR77,$D$12&lt;$AR77),0,Schweine_Werte!$E77))</f>
        <v>0</v>
      </c>
      <c r="AY77" s="716">
        <f>IF(OR($C$24=$AR77,$D$24=$AR77),Schweine_Werte!$E77*0.5,IF(OR($C$24&gt;$AR77,$D$24&lt;$AR77),0,Schweine_Werte!$E77))</f>
        <v>0</v>
      </c>
      <c r="AZ77" s="716">
        <f>IF(OR($C$36=$AR77,$D$36=$AR77),Schweine_Werte!$E77*0.5,IF(OR($C$36&gt;$AR77,$D$36&lt;$AR77),0,Schweine_Werte!$E77))</f>
        <v>0</v>
      </c>
      <c r="BA77" s="716">
        <f>IF(OR($C$48=$AR77,$D$48=$AR77),Schweine_Werte!$E77*0.5,IF(OR($C$48&gt;$AR77,$D$48&lt;$AR77),0,Schweine_Werte!$E77))</f>
        <v>0</v>
      </c>
      <c r="BB77" s="716">
        <f>IF(OR($C$60=$AR77,$D$60=$AR77),Schweine_Werte!$E77*0.5,IF(OR($C$60&gt;$AR77,$D$60&lt;$AR77),0,Schweine_Werte!$E77))</f>
        <v>0</v>
      </c>
      <c r="BC77" s="781">
        <f>IF(OR($C$12=$AR77,$D$12=$AR77),Schweine_Werte!$G77*0.5,IF(OR($C$12&gt;$AR77,$D$12&lt;$AR77),0,Schweine_Werte!$G77))</f>
        <v>0</v>
      </c>
      <c r="BD77" s="716">
        <f>IF(OR($C$24=$AR77,$D$24=$AR77),Schweine_Werte!$G77*0.5,IF(OR($C$24&gt;$AR77,$D$24&lt;$AR77),0,Schweine_Werte!$G77))</f>
        <v>0</v>
      </c>
      <c r="BE77" s="716">
        <f>IF(OR($C$36=$AR77,$D$36=$AR77),Schweine_Werte!$G77*0.5,IF(OR($C$36&gt;$AR77,$D$36&lt;$AR77),0,Schweine_Werte!$G77))</f>
        <v>0</v>
      </c>
      <c r="BF77" s="716">
        <f>IF(OR($C$48=$AR77,$D$48=$AR77),Schweine_Werte!$G77*0.5,IF(OR($C$48&gt;$AR77,$D$48&lt;$AR77),0,Schweine_Werte!$G77))</f>
        <v>0</v>
      </c>
      <c r="BG77" s="716">
        <f>IF(OR($C$60=$AR77,$D$60=$AR77),Schweine_Werte!$G77*0.5,IF(OR($C$60&gt;$AR77,$D$60&lt;$AR77),0,Schweine_Werte!$G77))</f>
        <v>0</v>
      </c>
      <c r="BH77" s="781">
        <f>IF(OR($C$12=$AR77,$D$12=$AR77),Schweine_Werte!$I77*0.5,IF(OR($C$12&gt;$AR77,$D$12&lt;$AR77),0,Schweine_Werte!$I77))</f>
        <v>0</v>
      </c>
      <c r="BI77" s="716">
        <f>IF(OR($C$24=$AR77,$D$24=$AR77),Schweine_Werte!$I77*0.5,IF(OR($C$24&gt;$AR77,$D$24&lt;$AR77),0,Schweine_Werte!$I77))</f>
        <v>0</v>
      </c>
      <c r="BJ77" s="716">
        <f>IF(OR($C$36=$AR77,$D$36=$AR77),Schweine_Werte!$I77*0.5,IF(OR($C$36&gt;$AR77,$D$36&lt;$AR77),0,Schweine_Werte!$I77))</f>
        <v>0</v>
      </c>
      <c r="BK77" s="716">
        <f>IF(OR($C$48=$AR77,$D$48=$AR77),Schweine_Werte!$I77*0.5,IF(OR($C$48&gt;$AR77,$D$48&lt;$AR77),0,Schweine_Werte!$I77))</f>
        <v>0</v>
      </c>
      <c r="BL77" s="716">
        <f>IF(OR($C$60=$AR77,$D$60=$AR77),Schweine_Werte!$I77*0.5,IF(OR($C$60&gt;$AR77,$D$60&lt;$AR77),0,Schweine_Werte!$I77))</f>
        <v>0</v>
      </c>
      <c r="BM77" s="781"/>
      <c r="BN77" s="716"/>
      <c r="BO77" s="716"/>
      <c r="BP77" s="716"/>
      <c r="BQ77" s="716"/>
      <c r="BR77" s="781">
        <f>IF(OR($C$74=$AR77,$D$74=$AR77),Schweine_Werte!$M77*0.5,IF(OR($C$74&gt;$AR77,$D$74&lt;$AR77),0,Schweine_Werte!$M77))</f>
        <v>0</v>
      </c>
      <c r="BS77" s="781">
        <f>IF(OR($C$83=$AR77,$D$83=$AR77),Schweine_Werte!$M77*0.5,IF(OR($C$83&gt;$AR77,$D$83&lt;$AR77),0,Schweine_Werte!$M77))</f>
        <v>0</v>
      </c>
      <c r="BT77" s="783">
        <f>IF(OR($C$92=$AR77,$D$92=$AR77),Schweine_Werte!$M77*0.5,IF(OR($C$92&gt;$AR77,$D$92&lt;$AR77),0,Schweine_Werte!$M77))</f>
        <v>0</v>
      </c>
      <c r="BU77" s="783">
        <f>IF(OR($C$101=$AR77,$D$101=$AR77),Schweine_Werte!$M77*0.5,IF(OR($C$101&gt;$AR77,$D$101&lt;$AR77),0,Schweine_Werte!$M77))</f>
        <v>0</v>
      </c>
      <c r="BV77" s="783">
        <f>IF(OR($C$110=$AR77,$D$110=$AR77),Schweine_Werte!$M77*0.5,IF(OR($C$110&gt;$AR77,$D$110&lt;$AR77),0,Schweine_Werte!$M77))</f>
        <v>0</v>
      </c>
      <c r="BW77" s="783">
        <f>IF(OR(8=$AR77,$E$127=$AR77),Schweine_Werte!$M77*0.5,IF(OR(8&gt;$AR77,$E$127&lt;$AR77),0,Schweine_Werte!$M77))</f>
        <v>1.1179127561182562</v>
      </c>
      <c r="BX77" s="783">
        <f>IF(OR(8=$AR77,$E$145=$AR77),Schweine_Werte!$M77*0.5,IF(OR(8&gt;$AR77,$E$145&lt;$AR77),0,Schweine_Werte!$M77))</f>
        <v>1.1179127561182562</v>
      </c>
      <c r="BY77" s="781">
        <f>IF(OR($C$74=$AR77,$D$74=$AR77),Schweine_Werte!$O77*0.5,IF(OR($C$74&gt;$AR77,$D$74&lt;$AR77),0,Schweine_Werte!$O77))</f>
        <v>0</v>
      </c>
      <c r="BZ77" s="781">
        <f>IF(OR($C$83=$AR77,$D$83=$AR77),Schweine_Werte!$O77*0.5,IF(OR($C$83&gt;$AR77,$D$83&lt;$AR77),0,Schweine_Werte!$O77))</f>
        <v>0</v>
      </c>
      <c r="CA77" s="783">
        <f>IF(OR($C$92=$AR77,$D$92=$AR77),Schweine_Werte!$O77*0.5,IF(OR($C$92&gt;$AR77,$D$92&lt;$AR77),0,Schweine_Werte!$O77))</f>
        <v>0</v>
      </c>
      <c r="CB77" s="783">
        <f>IF(OR($C$101=$AR77,$D$101=$AR77),Schweine_Werte!$O77*0.5,IF(OR($C$101&gt;$AR77,$D$101&lt;$AR77),0,Schweine_Werte!$O77))</f>
        <v>0</v>
      </c>
      <c r="CC77" s="783">
        <f>IF(OR($C$110=$AR77,$D$110=$AR77),Schweine_Werte!$O77*0.5,IF(OR($C$110&gt;$AR77,$D$110&lt;$AR77),0,Schweine_Werte!$O77))</f>
        <v>0</v>
      </c>
    </row>
    <row r="78" spans="1:81" x14ac:dyDescent="0.2">
      <c r="B78" t="s">
        <v>7712</v>
      </c>
      <c r="E78" t="s">
        <v>7688</v>
      </c>
      <c r="F78" t="s">
        <v>196</v>
      </c>
      <c r="G78" t="s">
        <v>7689</v>
      </c>
      <c r="H78" t="s">
        <v>7690</v>
      </c>
      <c r="I78" t="s">
        <v>7691</v>
      </c>
      <c r="J78" t="s">
        <v>589</v>
      </c>
      <c r="K78" t="s">
        <v>7692</v>
      </c>
      <c r="L78" t="s">
        <v>7693</v>
      </c>
      <c r="M78" t="s">
        <v>7694</v>
      </c>
      <c r="N78" t="s">
        <v>7695</v>
      </c>
      <c r="O78" t="s">
        <v>7696</v>
      </c>
      <c r="P78" t="s">
        <v>7697</v>
      </c>
      <c r="Q78" t="s">
        <v>39</v>
      </c>
      <c r="R78" t="s">
        <v>40</v>
      </c>
      <c r="S78" t="s">
        <v>41</v>
      </c>
      <c r="T78" t="s">
        <v>39</v>
      </c>
      <c r="U78" t="s">
        <v>40</v>
      </c>
      <c r="V78" t="s">
        <v>41</v>
      </c>
      <c r="W78" t="s">
        <v>7675</v>
      </c>
      <c r="X78" t="s">
        <v>7676</v>
      </c>
      <c r="Y78" t="s">
        <v>7677</v>
      </c>
      <c r="AR78" s="792">
        <v>82</v>
      </c>
      <c r="AS78" s="781">
        <f>IF(OR($C$12=$AR78,$D$12=$AR78),Schweine_Werte!$C78*0.5,IF(OR($C$12&gt;$AR78,$D$12&lt;$AR78),0,Schweine_Werte!$C78))</f>
        <v>0</v>
      </c>
      <c r="AT78" s="716">
        <f>IF(OR($C$24=$AR78,$D$24=$AR78),Schweine_Werte!$C78*0.5,IF(OR($C$24&gt;$AR78,$D$24&lt;$AR78),0,Schweine_Werte!$C78))</f>
        <v>0</v>
      </c>
      <c r="AU78" s="781">
        <f>IF(OR($C$36=$AR78,$D$36=$AR78),Schweine_Werte!$C78*0.5,IF(OR($C$36&gt;$AR78,$D$36&lt;$AR78),0,Schweine_Werte!$C78))</f>
        <v>0</v>
      </c>
      <c r="AV78" s="781">
        <f>IF(OR($C$48=$AR78,$D$48=$AR78),Schweine_Werte!$C78*0.5,IF(OR($C$48&gt;$AR78,$D$48&lt;$AR78),0,Schweine_Werte!$C78))</f>
        <v>0</v>
      </c>
      <c r="AW78" s="781">
        <f>IF(OR($C$60=$AR78,$D$60=$AR78),Schweine_Werte!$C78*0.5,IF(OR($C$60&gt;$AR78,$D$60&lt;$AR78),0,Schweine_Werte!$C78))</f>
        <v>0</v>
      </c>
      <c r="AX78" s="781">
        <f>IF(OR($C$12=$AR78,$D$12=$AR78),Schweine_Werte!$E78*0.5,IF(OR($C$12&gt;$AR78,$D$12&lt;$AR78),0,Schweine_Werte!$E78))</f>
        <v>0</v>
      </c>
      <c r="AY78" s="716">
        <f>IF(OR($C$24=$AR78,$D$24=$AR78),Schweine_Werte!$E78*0.5,IF(OR($C$24&gt;$AR78,$D$24&lt;$AR78),0,Schweine_Werte!$E78))</f>
        <v>0</v>
      </c>
      <c r="AZ78" s="716">
        <f>IF(OR($C$36=$AR78,$D$36=$AR78),Schweine_Werte!$E78*0.5,IF(OR($C$36&gt;$AR78,$D$36&lt;$AR78),0,Schweine_Werte!$E78))</f>
        <v>0</v>
      </c>
      <c r="BA78" s="716">
        <f>IF(OR($C$48=$AR78,$D$48=$AR78),Schweine_Werte!$E78*0.5,IF(OR($C$48&gt;$AR78,$D$48&lt;$AR78),0,Schweine_Werte!$E78))</f>
        <v>0</v>
      </c>
      <c r="BB78" s="716">
        <f>IF(OR($C$60=$AR78,$D$60=$AR78),Schweine_Werte!$E78*0.5,IF(OR($C$60&gt;$AR78,$D$60&lt;$AR78),0,Schweine_Werte!$E78))</f>
        <v>0</v>
      </c>
      <c r="BC78" s="781">
        <f>IF(OR($C$12=$AR78,$D$12=$AR78),Schweine_Werte!$G78*0.5,IF(OR($C$12&gt;$AR78,$D$12&lt;$AR78),0,Schweine_Werte!$G78))</f>
        <v>0</v>
      </c>
      <c r="BD78" s="716">
        <f>IF(OR($C$24=$AR78,$D$24=$AR78),Schweine_Werte!$G78*0.5,IF(OR($C$24&gt;$AR78,$D$24&lt;$AR78),0,Schweine_Werte!$G78))</f>
        <v>0</v>
      </c>
      <c r="BE78" s="716">
        <f>IF(OR($C$36=$AR78,$D$36=$AR78),Schweine_Werte!$G78*0.5,IF(OR($C$36&gt;$AR78,$D$36&lt;$AR78),0,Schweine_Werte!$G78))</f>
        <v>0</v>
      </c>
      <c r="BF78" s="716">
        <f>IF(OR($C$48=$AR78,$D$48=$AR78),Schweine_Werte!$G78*0.5,IF(OR($C$48&gt;$AR78,$D$48&lt;$AR78),0,Schweine_Werte!$G78))</f>
        <v>0</v>
      </c>
      <c r="BG78" s="716">
        <f>IF(OR($C$60=$AR78,$D$60=$AR78),Schweine_Werte!$G78*0.5,IF(OR($C$60&gt;$AR78,$D$60&lt;$AR78),0,Schweine_Werte!$G78))</f>
        <v>0</v>
      </c>
      <c r="BH78" s="781">
        <f>IF(OR($C$12=$AR78,$D$12=$AR78),Schweine_Werte!$I78*0.5,IF(OR($C$12&gt;$AR78,$D$12&lt;$AR78),0,Schweine_Werte!$I78))</f>
        <v>0</v>
      </c>
      <c r="BI78" s="716">
        <f>IF(OR($C$24=$AR78,$D$24=$AR78),Schweine_Werte!$I78*0.5,IF(OR($C$24&gt;$AR78,$D$24&lt;$AR78),0,Schweine_Werte!$I78))</f>
        <v>0</v>
      </c>
      <c r="BJ78" s="716">
        <f>IF(OR($C$36=$AR78,$D$36=$AR78),Schweine_Werte!$I78*0.5,IF(OR($C$36&gt;$AR78,$D$36&lt;$AR78),0,Schweine_Werte!$I78))</f>
        <v>0</v>
      </c>
      <c r="BK78" s="716">
        <f>IF(OR($C$48=$AR78,$D$48=$AR78),Schweine_Werte!$I78*0.5,IF(OR($C$48&gt;$AR78,$D$48&lt;$AR78),0,Schweine_Werte!$I78))</f>
        <v>0</v>
      </c>
      <c r="BL78" s="716">
        <f>IF(OR($C$60=$AR78,$D$60=$AR78),Schweine_Werte!$I78*0.5,IF(OR($C$60&gt;$AR78,$D$60&lt;$AR78),0,Schweine_Werte!$I78))</f>
        <v>0</v>
      </c>
      <c r="BM78" s="781"/>
      <c r="BN78" s="716"/>
      <c r="BO78" s="716"/>
      <c r="BP78" s="716"/>
      <c r="BQ78" s="716"/>
      <c r="BR78" s="781">
        <f>IF(OR($C$74=$AR78,$D$74=$AR78),Schweine_Werte!$M78*0.5,IF(OR($C$74&gt;$AR78,$D$74&lt;$AR78),0,Schweine_Werte!$M78))</f>
        <v>0</v>
      </c>
      <c r="BS78" s="781">
        <f>IF(OR($C$83=$AR78,$D$83=$AR78),Schweine_Werte!$M78*0.5,IF(OR($C$83&gt;$AR78,$D$83&lt;$AR78),0,Schweine_Werte!$M78))</f>
        <v>0</v>
      </c>
      <c r="BT78" s="783">
        <f>IF(OR($C$92=$AR78,$D$92=$AR78),Schweine_Werte!$M78*0.5,IF(OR($C$92&gt;$AR78,$D$92&lt;$AR78),0,Schweine_Werte!$M78))</f>
        <v>0</v>
      </c>
      <c r="BU78" s="783">
        <f>IF(OR($C$101=$AR78,$D$101=$AR78),Schweine_Werte!$M78*0.5,IF(OR($C$101&gt;$AR78,$D$101&lt;$AR78),0,Schweine_Werte!$M78))</f>
        <v>0</v>
      </c>
      <c r="BV78" s="783">
        <f>IF(OR($C$110=$AR78,$D$110=$AR78),Schweine_Werte!$M78*0.5,IF(OR($C$110&gt;$AR78,$D$110&lt;$AR78),0,Schweine_Werte!$M78))</f>
        <v>0</v>
      </c>
      <c r="BW78" s="783">
        <f>IF(OR(8=$AR78,$E$127=$AR78),Schweine_Werte!$M78*0.5,IF(OR(8&gt;$AR78,$E$127&lt;$AR78),0,Schweine_Werte!$M78))</f>
        <v>1.1212707978866512</v>
      </c>
      <c r="BX78" s="783">
        <f>IF(OR(8=$AR78,$E$145=$AR78),Schweine_Werte!$M78*0.5,IF(OR(8&gt;$AR78,$E$145&lt;$AR78),0,Schweine_Werte!$M78))</f>
        <v>1.1212707978866512</v>
      </c>
      <c r="BY78" s="781">
        <f>IF(OR($C$74=$AR78,$D$74=$AR78),Schweine_Werte!$O78*0.5,IF(OR($C$74&gt;$AR78,$D$74&lt;$AR78),0,Schweine_Werte!$O78))</f>
        <v>0</v>
      </c>
      <c r="BZ78" s="781">
        <f>IF(OR($C$83=$AR78,$D$83=$AR78),Schweine_Werte!$O78*0.5,IF(OR($C$83&gt;$AR78,$D$83&lt;$AR78),0,Schweine_Werte!$O78))</f>
        <v>0</v>
      </c>
      <c r="CA78" s="783">
        <f>IF(OR($C$92=$AR78,$D$92=$AR78),Schweine_Werte!$O78*0.5,IF(OR($C$92&gt;$AR78,$D$92&lt;$AR78),0,Schweine_Werte!$O78))</f>
        <v>0</v>
      </c>
      <c r="CB78" s="783">
        <f>IF(OR($C$101=$AR78,$D$101=$AR78),Schweine_Werte!$O78*0.5,IF(OR($C$101&gt;$AR78,$D$101&lt;$AR78),0,Schweine_Werte!$O78))</f>
        <v>0</v>
      </c>
      <c r="CC78" s="783">
        <f>IF(OR($C$110=$AR78,$D$110=$AR78),Schweine_Werte!$O78*0.5,IF(OR($C$110&gt;$AR78,$D$110&lt;$AR78),0,Schweine_Werte!$O78))</f>
        <v>0</v>
      </c>
    </row>
    <row r="79" spans="1:81" x14ac:dyDescent="0.2">
      <c r="B79">
        <v>450</v>
      </c>
      <c r="D79" s="716"/>
      <c r="E79" t="e">
        <f>($D83-$C83)*1000/SUM($BS$4:$BS$31)</f>
        <v>#VALUE!</v>
      </c>
      <c r="F79" s="716" t="e">
        <f>SUMPRODUCT($BS$4:$BS$31,Schweine_Werte!$V$4:$V$31)/SUM($BS$4:$BS$31)</f>
        <v>#DIV/0!</v>
      </c>
      <c r="G79" s="716" t="e">
        <f>IF($B83=$A$8,SUMPRODUCT($BS$4:$BS$31,Schweine_Werte!HE$4:HE$31)/SUM($BS$4:$BS$31),IF($B83=$A$7,SUMPRODUCT($BS$4:$BS$31,Schweine_Werte!GQ$4:GQ$31)/SUM($BS$4:$BS$31),IF($B83=$A$6,SUMPRODUCT($BS$4:$BS$31,Schweine_Werte!GC$4:GC$31)/SUM($BS$4:$BS$31),SUMPRODUCT($BS$4:$BS$31,Schweine_Werte!FO$4:FO$31)/SUM($BS$4:$BS$31))))</f>
        <v>#DIV/0!</v>
      </c>
      <c r="H79" s="716" t="e">
        <f>IF($B83=$A$8,SUMPRODUCT($BS$4:$BS$31,Schweine_Werte!HF$4:HF$31)/SUM($BS$4:$BS$31),IF($B83=$A$7,SUMPRODUCT($BS$4:$BS$31,Schweine_Werte!GR$4:GR$31)/SUM($BS$4:$BS$31),IF($B83=$A$6,SUMPRODUCT($BS$4:$BS$31,Schweine_Werte!GD$4:GD$31)/SUM($BS$4:$BS$31),SUMPRODUCT($BS$4:$BS$31,Schweine_Werte!FP$4:FP$31)/SUM($BS$4:$BS$31))))</f>
        <v>#DIV/0!</v>
      </c>
      <c r="I79" s="716" t="e">
        <f>IF($B83=$A$8,SUMPRODUCT($BS$4:$BS$31,Schweine_Werte!HG$4:HG$31)/SUM($BS$4:$BS$31),IF($B83=$A$7,SUMPRODUCT($BS$4:$BS$31,Schweine_Werte!GS$4:GS$31)/SUM($BS$4:$BS$31),IF($B83=$A$6,SUMPRODUCT($BS$4:$BS$31,Schweine_Werte!GE$4:GE$31)/SUM($BS$4:$BS$31),SUMPRODUCT($BS$4:$BS$31,Schweine_Werte!FQ$4:FQ$31)/SUM($BS$4:$BS$31))))</f>
        <v>#DIV/0!</v>
      </c>
      <c r="J79" s="716" t="e">
        <f>SUMPRODUCT($BS$4:$BS$31,Schweine_Werte!$AD$4:$AD$31)/SUM($BS$4:$BS$31)</f>
        <v>#DIV/0!</v>
      </c>
      <c r="K79" s="716" t="e">
        <f>SUMPRODUCT($BS$4:$BS$31,Schweine_Werte!$AL$4:$AL$31)/SUM($BS$4:$BS$31)</f>
        <v>#DIV/0!</v>
      </c>
      <c r="L79" s="716" t="e">
        <f>T79*$F79*365/1000+$J79-$K79</f>
        <v>#DIV/0!</v>
      </c>
      <c r="M79" s="716" t="e">
        <f>U79*$F79*365/1000+$J79-$K79/2</f>
        <v>#DIV/0!</v>
      </c>
      <c r="N79" s="716" t="e">
        <f>V79*$F79*365/1000+$J79</f>
        <v>#DIV/0!</v>
      </c>
      <c r="O79" s="716">
        <f>IF($C83&lt;28,SUM($BS$4:$BS$23)+IF($D83&gt;28,$BS$24*0.5,$BS$24),0)</f>
        <v>0</v>
      </c>
      <c r="P79" s="716">
        <f>IF($D83&gt;28,SUM($BS$25:$BS$31)+IF($C83&lt;28,$BS$24*0.5,$BS$24),0)</f>
        <v>0</v>
      </c>
      <c r="Q79" s="716" t="e">
        <f t="shared" ref="Q79:S80" si="43">+T79*$F79</f>
        <v>#DIV/0!</v>
      </c>
      <c r="R79" s="716" t="e">
        <f t="shared" si="43"/>
        <v>#DIV/0!</v>
      </c>
      <c r="S79" s="716" t="e">
        <f t="shared" si="43"/>
        <v>#DIV/0!</v>
      </c>
      <c r="T79" s="716" t="e">
        <f>+($O79*Schweine_Werte!$HT$15+$P79*Schweine_Werte!$HU$15)/SUM($O79:$P79)</f>
        <v>#DIV/0!</v>
      </c>
      <c r="U79" s="716" t="e">
        <f>+($O79*Schweine_Werte!$HV$15+$P79*Schweine_Werte!$HW$15)/SUM($O79:$P79)</f>
        <v>#DIV/0!</v>
      </c>
      <c r="V79" s="716" t="e">
        <f>+($O79*Schweine_Werte!$HX$15+$P79*Schweine_Werte!$HY$15)/SUM($O79:$P79)</f>
        <v>#DIV/0!</v>
      </c>
      <c r="W79" s="771" t="e">
        <f>($J79*0.055+T79*0.365*0.86*$F79-$K79*0.018)/L79*100</f>
        <v>#DIV/0!</v>
      </c>
      <c r="X79" s="771" t="e">
        <f>($J79*0.055+U79*0.365*0.86*$F79-$K79*0.018/2)/M79*100</f>
        <v>#DIV/0!</v>
      </c>
      <c r="Y79" s="716" t="e">
        <f>($J79*0.055+V79*0.365*0.86*$F79)/N79*100</f>
        <v>#DIV/0!</v>
      </c>
      <c r="Z79" s="716"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16"/>
      <c r="AB79" s="716">
        <f>IF($B83=$A$8,SUMIF(Schweine_Werte!$AO$4:$AO$31,$C83,Schweine_Werte!$HI$4:$HI$31),IF($B83=$A$7,SUMIF(Schweine_Werte!$AO$4:$AO$31,$C83,Schweine_Werte!$GU$4:$GU$31),IF($B83=$A$6,SUMIF(Schweine_Werte!$AO$4:$AO$31,$C83,Schweine_Werte!$GG$4:$GG$31),SUMIF(Schweine_Werte!$AO$4:$AO$31,$C83,Schweine_Werte!$FS$4:$FS$31))))</f>
        <v>0</v>
      </c>
      <c r="AC79" s="716"/>
      <c r="AD79" s="716">
        <f>IF($B83=$A$8,SUMIF(Schweine_Werte!$AO$4:$AO$31,$D83,Schweine_Werte!$HI$4:$HI$31),IF($B83=$A$7,SUMIF(Schweine_Werte!$AO$4:$AO$31,$D83,Schweine_Werte!$GU$4:$GU$31),IF($B83=$A$6,SUMIF(Schweine_Werte!$AO$4:$AO$31,$D83,Schweine_Werte!$GG$4:$GG$31),SUMIF(Schweine_Werte!$AO$4:$AO$31,$D83,Schweine_Werte!$FS$4:$FS$31))))</f>
        <v>0</v>
      </c>
      <c r="AE79" s="716"/>
      <c r="AF79" s="716"/>
      <c r="AG79" s="716" t="e">
        <f>IF($B83=$A$8,SUMPRODUCT($BS$4:$BS$31,Schweine_Werte!$HH$4:$HH$31)/SUM($BS$4:$BS$31),IF($B83=$A$7,SUMPRODUCT($BS$4:$BS$31,Schweine_Werte!$GT$4:$GT$31)/SUM($BS$4:$BS$31),IF($B83=$A$6,SUMPRODUCT($BS$4:$BS$31,Schweine_Werte!$GF$4:$GF$31)/SUM($BS$4:$BS$31),SUMPRODUCT($BS$4:$BS$31,Schweine_Werte!$FR$4:$FR$31)/SUM($BS$4:$BS$31))))</f>
        <v>#DIV/0!</v>
      </c>
      <c r="AH79" s="716"/>
      <c r="AI79" s="716"/>
      <c r="AJ79" s="716"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16"/>
      <c r="AL79" s="716">
        <f>IF($B83=$A$8,SUMIF(Schweine_Werte!$AO$4:$AO$31,$C83,Schweine_Werte!$HJ$4:$HJ$31),IF($B83=$A$7,SUMIF(Schweine_Werte!$AO$4:$AO$31,$C83,Schweine_Werte!$GV$4:$GV$31),IF($B83=$A$6,SUMIF(Schweine_Werte!$AO$4:$AO$31,$C83,Schweine_Werte!$GH$4:$GH$31),SUMIF(Schweine_Werte!$AO$4:$AO$31,$C83,Schweine_Werte!$FT$4:$FT$31))))</f>
        <v>0</v>
      </c>
      <c r="AM79" s="716"/>
      <c r="AN79" s="716">
        <f>IF($B83=$A$8,SUMIF(Schweine_Werte!$AO$4:$AO$31,$D83,Schweine_Werte!$HJ$4:$HJ$31),IF($B83=$A$7,SUMIF(Schweine_Werte!$AO$4:$AO$31,$D83,Schweine_Werte!$GV$4:$GV$31),IF($B83=$A$6,SUMIF(Schweine_Werte!$AO$4:$AO$31,$D83,Schweine_Werte!$GH$4:$GH$31),SUMIF(Schweine_Werte!$AO$4:$AO$31,$D83,Schweine_Werte!$FT$4:$FT$31))))</f>
        <v>0</v>
      </c>
      <c r="AO79" s="716"/>
      <c r="AR79" s="792">
        <v>83</v>
      </c>
      <c r="AS79" s="781">
        <f>IF(OR($C$12=$AR79,$D$12=$AR79),Schweine_Werte!$C79*0.5,IF(OR($C$12&gt;$AR79,$D$12&lt;$AR79),0,Schweine_Werte!$C79))</f>
        <v>0</v>
      </c>
      <c r="AT79" s="716">
        <f>IF(OR($C$24=$AR79,$D$24=$AR79),Schweine_Werte!$C79*0.5,IF(OR($C$24&gt;$AR79,$D$24&lt;$AR79),0,Schweine_Werte!$C79))</f>
        <v>0</v>
      </c>
      <c r="AU79" s="781">
        <f>IF(OR($C$36=$AR79,$D$36=$AR79),Schweine_Werte!$C79*0.5,IF(OR($C$36&gt;$AR79,$D$36&lt;$AR79),0,Schweine_Werte!$C79))</f>
        <v>0</v>
      </c>
      <c r="AV79" s="781">
        <f>IF(OR($C$48=$AR79,$D$48=$AR79),Schweine_Werte!$C79*0.5,IF(OR($C$48&gt;$AR79,$D$48&lt;$AR79),0,Schweine_Werte!$C79))</f>
        <v>0</v>
      </c>
      <c r="AW79" s="781">
        <f>IF(OR($C$60=$AR79,$D$60=$AR79),Schweine_Werte!$C79*0.5,IF(OR($C$60&gt;$AR79,$D$60&lt;$AR79),0,Schweine_Werte!$C79))</f>
        <v>0</v>
      </c>
      <c r="AX79" s="781">
        <f>IF(OR($C$12=$AR79,$D$12=$AR79),Schweine_Werte!$E79*0.5,IF(OR($C$12&gt;$AR79,$D$12&lt;$AR79),0,Schweine_Werte!$E79))</f>
        <v>0</v>
      </c>
      <c r="AY79" s="716">
        <f>IF(OR($C$24=$AR79,$D$24=$AR79),Schweine_Werte!$E79*0.5,IF(OR($C$24&gt;$AR79,$D$24&lt;$AR79),0,Schweine_Werte!$E79))</f>
        <v>0</v>
      </c>
      <c r="AZ79" s="716">
        <f>IF(OR($C$36=$AR79,$D$36=$AR79),Schweine_Werte!$E79*0.5,IF(OR($C$36&gt;$AR79,$D$36&lt;$AR79),0,Schweine_Werte!$E79))</f>
        <v>0</v>
      </c>
      <c r="BA79" s="716">
        <f>IF(OR($C$48=$AR79,$D$48=$AR79),Schweine_Werte!$E79*0.5,IF(OR($C$48&gt;$AR79,$D$48&lt;$AR79),0,Schweine_Werte!$E79))</f>
        <v>0</v>
      </c>
      <c r="BB79" s="716">
        <f>IF(OR($C$60=$AR79,$D$60=$AR79),Schweine_Werte!$E79*0.5,IF(OR($C$60&gt;$AR79,$D$60&lt;$AR79),0,Schweine_Werte!$E79))</f>
        <v>0</v>
      </c>
      <c r="BC79" s="781">
        <f>IF(OR($C$12=$AR79,$D$12=$AR79),Schweine_Werte!$G79*0.5,IF(OR($C$12&gt;$AR79,$D$12&lt;$AR79),0,Schweine_Werte!$G79))</f>
        <v>0</v>
      </c>
      <c r="BD79" s="716">
        <f>IF(OR($C$24=$AR79,$D$24=$AR79),Schweine_Werte!$G79*0.5,IF(OR($C$24&gt;$AR79,$D$24&lt;$AR79),0,Schweine_Werte!$G79))</f>
        <v>0</v>
      </c>
      <c r="BE79" s="716">
        <f>IF(OR($C$36=$AR79,$D$36=$AR79),Schweine_Werte!$G79*0.5,IF(OR($C$36&gt;$AR79,$D$36&lt;$AR79),0,Schweine_Werte!$G79))</f>
        <v>0</v>
      </c>
      <c r="BF79" s="716">
        <f>IF(OR($C$48=$AR79,$D$48=$AR79),Schweine_Werte!$G79*0.5,IF(OR($C$48&gt;$AR79,$D$48&lt;$AR79),0,Schweine_Werte!$G79))</f>
        <v>0</v>
      </c>
      <c r="BG79" s="716">
        <f>IF(OR($C$60=$AR79,$D$60=$AR79),Schweine_Werte!$G79*0.5,IF(OR($C$60&gt;$AR79,$D$60&lt;$AR79),0,Schweine_Werte!$G79))</f>
        <v>0</v>
      </c>
      <c r="BH79" s="781">
        <f>IF(OR($C$12=$AR79,$D$12=$AR79),Schweine_Werte!$I79*0.5,IF(OR($C$12&gt;$AR79,$D$12&lt;$AR79),0,Schweine_Werte!$I79))</f>
        <v>0</v>
      </c>
      <c r="BI79" s="716">
        <f>IF(OR($C$24=$AR79,$D$24=$AR79),Schweine_Werte!$I79*0.5,IF(OR($C$24&gt;$AR79,$D$24&lt;$AR79),0,Schweine_Werte!$I79))</f>
        <v>0</v>
      </c>
      <c r="BJ79" s="716">
        <f>IF(OR($C$36=$AR79,$D$36=$AR79),Schweine_Werte!$I79*0.5,IF(OR($C$36&gt;$AR79,$D$36&lt;$AR79),0,Schweine_Werte!$I79))</f>
        <v>0</v>
      </c>
      <c r="BK79" s="716">
        <f>IF(OR($C$48=$AR79,$D$48=$AR79),Schweine_Werte!$I79*0.5,IF(OR($C$48&gt;$AR79,$D$48&lt;$AR79),0,Schweine_Werte!$I79))</f>
        <v>0</v>
      </c>
      <c r="BL79" s="716">
        <f>IF(OR($C$60=$AR79,$D$60=$AR79),Schweine_Werte!$I79*0.5,IF(OR($C$60&gt;$AR79,$D$60&lt;$AR79),0,Schweine_Werte!$I79))</f>
        <v>0</v>
      </c>
      <c r="BM79" s="781"/>
      <c r="BN79" s="716"/>
      <c r="BO79" s="716"/>
      <c r="BP79" s="716"/>
      <c r="BQ79" s="716"/>
      <c r="BR79" s="781">
        <f>IF(OR($C$74=$AR79,$D$74=$AR79),Schweine_Werte!$M79*0.5,IF(OR($C$74&gt;$AR79,$D$74&lt;$AR79),0,Schweine_Werte!$M79))</f>
        <v>0</v>
      </c>
      <c r="BS79" s="781">
        <f>IF(OR($C$83=$AR79,$D$83=$AR79),Schweine_Werte!$M79*0.5,IF(OR($C$83&gt;$AR79,$D$83&lt;$AR79),0,Schweine_Werte!$M79))</f>
        <v>0</v>
      </c>
      <c r="BT79" s="783">
        <f>IF(OR($C$92=$AR79,$D$92=$AR79),Schweine_Werte!$M79*0.5,IF(OR($C$92&gt;$AR79,$D$92&lt;$AR79),0,Schweine_Werte!$M79))</f>
        <v>0</v>
      </c>
      <c r="BU79" s="783">
        <f>IF(OR($C$101=$AR79,$D$101=$AR79),Schweine_Werte!$M79*0.5,IF(OR($C$101&gt;$AR79,$D$101&lt;$AR79),0,Schweine_Werte!$M79))</f>
        <v>0</v>
      </c>
      <c r="BV79" s="783">
        <f>IF(OR($C$110=$AR79,$D$110=$AR79),Schweine_Werte!$M79*0.5,IF(OR($C$110&gt;$AR79,$D$110&lt;$AR79),0,Schweine_Werte!$M79))</f>
        <v>0</v>
      </c>
      <c r="BW79" s="783">
        <f>IF(OR(8=$AR79,$E$127=$AR79),Schweine_Werte!$M79*0.5,IF(OR(8&gt;$AR79,$E$127&lt;$AR79),0,Schweine_Werte!$M79))</f>
        <v>1.1250241779203325</v>
      </c>
      <c r="BX79" s="783">
        <f>IF(OR(8=$AR79,$E$145=$AR79),Schweine_Werte!$M79*0.5,IF(OR(8&gt;$AR79,$E$145&lt;$AR79),0,Schweine_Werte!$M79))</f>
        <v>1.1250241779203325</v>
      </c>
      <c r="BY79" s="781">
        <f>IF(OR($C$74=$AR79,$D$74=$AR79),Schweine_Werte!$O79*0.5,IF(OR($C$74&gt;$AR79,$D$74&lt;$AR79),0,Schweine_Werte!$O79))</f>
        <v>0</v>
      </c>
      <c r="BZ79" s="781">
        <f>IF(OR($C$83=$AR79,$D$83=$AR79),Schweine_Werte!$O79*0.5,IF(OR($C$83&gt;$AR79,$D$83&lt;$AR79),0,Schweine_Werte!$O79))</f>
        <v>0</v>
      </c>
      <c r="CA79" s="783">
        <f>IF(OR($C$92=$AR79,$D$92=$AR79),Schweine_Werte!$O79*0.5,IF(OR($C$92&gt;$AR79,$D$92&lt;$AR79),0,Schweine_Werte!$O79))</f>
        <v>0</v>
      </c>
      <c r="CB79" s="783">
        <f>IF(OR($C$101=$AR79,$D$101=$AR79),Schweine_Werte!$O79*0.5,IF(OR($C$101&gt;$AR79,$D$101&lt;$AR79),0,Schweine_Werte!$O79))</f>
        <v>0</v>
      </c>
      <c r="CC79" s="783">
        <f>IF(OR($C$110=$AR79,$D$110=$AR79),Schweine_Werte!$O79*0.5,IF(OR($C$110&gt;$AR79,$D$110&lt;$AR79),0,Schweine_Werte!$O79))</f>
        <v>0</v>
      </c>
    </row>
    <row r="80" spans="1:81" x14ac:dyDescent="0.2">
      <c r="B80">
        <v>500</v>
      </c>
      <c r="D80" s="716"/>
      <c r="E80" t="e">
        <f>($D83-$C83)*1000/SUM($BZ$4:$BZ$31)</f>
        <v>#VALUE!</v>
      </c>
      <c r="F80" s="716" t="e">
        <f>SUMPRODUCT($BZ$4:$BZ$31,Schweine_Werte!$W$4:$W$31)/SUM($BZ$4:$BZ$31)</f>
        <v>#DIV/0!</v>
      </c>
      <c r="G80" s="716" t="e">
        <f>IF($B83=$A$8,SUMPRODUCT($BZ$4:$BZ$31,Schweine_Werte!HK$4:HK$31)/SUM($BZ$4:$BZ$31),IF($B83=$A$7,SUMPRODUCT($BZ$4:$BZ$31,Schweine_Werte!GW$4:GW$31)/SUM($BZ$4:$BZ$31),IF($B83=$A$6,SUMPRODUCT($BZ$4:$BZ$31,Schweine_Werte!GI$4:GI$31)/SUM($BZ$4:$BZ$31),SUMPRODUCT($BZ$4:$BZ$31,Schweine_Werte!FU$4:FU$31)/SUM($BZ$4:$BZ$31))))</f>
        <v>#DIV/0!</v>
      </c>
      <c r="H80" s="716" t="e">
        <f>IF($B83=$A$8,SUMPRODUCT($BZ$4:$BZ$31,Schweine_Werte!HL$4:HL$31)/SUM($BZ$4:$BZ$31),IF($B83=$A$7,SUMPRODUCT($BZ$4:$BZ$31,Schweine_Werte!GX$4:GX$31)/SUM($BZ$4:$BZ$31),IF($B83=$A$6,SUMPRODUCT($BZ$4:$BZ$31,Schweine_Werte!GJ$4:GJ$31)/SUM($BZ$4:$BZ$31),SUMPRODUCT($BZ$4:$BZ$31,Schweine_Werte!FV$4:FV$31)/SUM($BZ$4:$BZ$31))))</f>
        <v>#DIV/0!</v>
      </c>
      <c r="I80" s="716" t="e">
        <f>IF($B83=$A$8,SUMPRODUCT($BZ$4:$BZ$31,Schweine_Werte!HM$4:HM$31)/SUM($BZ$4:$BZ$31),IF($B83=$A$7,SUMPRODUCT($BZ$4:$BZ$31,Schweine_Werte!GY$4:GY$31)/SUM($BZ$4:$BZ$31),IF($B83=$A$6,SUMPRODUCT($BZ$4:$BZ$31,Schweine_Werte!GK$4:GK$31)/SUM($BZ$4:$BZ$31),SUMPRODUCT($BZ$4:$BZ$31,Schweine_Werte!FW$4:FW$31)/SUM($BZ$4:$BZ$31))))</f>
        <v>#DIV/0!</v>
      </c>
      <c r="J80" s="716" t="e">
        <f>SUMPRODUCT($BZ$4:$BZ$31,Schweine_Werte!$AE$4:$AE$31)/SUM($BZ$4:$BZ$31)</f>
        <v>#DIV/0!</v>
      </c>
      <c r="K80" s="716" t="e">
        <f>SUMPRODUCT($BZ$4:$BZ$31,Schweine_Werte!$AM$4:$AM$31)/SUM($BZ$4:$BZ$31)</f>
        <v>#DIV/0!</v>
      </c>
      <c r="L80" s="716" t="e">
        <f>T80*$F80*365/1000+$J80-$K80</f>
        <v>#DIV/0!</v>
      </c>
      <c r="M80" s="716" t="e">
        <f>U80*$F80*365/1000+$J80-$K80/2</f>
        <v>#DIV/0!</v>
      </c>
      <c r="N80" s="716" t="e">
        <f>V80*$F80*365/1000+$J80</f>
        <v>#DIV/0!</v>
      </c>
      <c r="O80" s="716">
        <f>IF($C83&lt;28,SUM($BZ$4:$BZ$23)+IF($D83&gt;28,$BZ$24*0.5,$BZ$24),0)</f>
        <v>0</v>
      </c>
      <c r="P80" s="716">
        <f>IF($D83&gt;28,SUM($BZ$25:$BZ$31)+IF($C83&lt;28,$BZ$24*0.5,$BZ$24),0)</f>
        <v>0</v>
      </c>
      <c r="Q80" s="716" t="e">
        <f t="shared" si="43"/>
        <v>#DIV/0!</v>
      </c>
      <c r="R80" s="716" t="e">
        <f t="shared" si="43"/>
        <v>#DIV/0!</v>
      </c>
      <c r="S80" s="716" t="e">
        <f t="shared" si="43"/>
        <v>#DIV/0!</v>
      </c>
      <c r="T80" s="716" t="e">
        <f>+($O80*Schweine_Werte!$HT$16+$P80*Schweine_Werte!$HU$16)/SUM($O80:$P80)</f>
        <v>#DIV/0!</v>
      </c>
      <c r="U80" s="716" t="e">
        <f>+($O80*Schweine_Werte!$HV$16+$P80*Schweine_Werte!$HW$16)/SUM($O80:$P80)</f>
        <v>#DIV/0!</v>
      </c>
      <c r="V80" s="716" t="e">
        <f>+($O80*Schweine_Werte!$HX$16+$P80*Schweine_Werte!$HY$16)/SUM($O80:$P80)</f>
        <v>#DIV/0!</v>
      </c>
      <c r="W80" s="716" t="e">
        <f>($J80*0.055+T80*0.365*0.86*$F80-$K80*0.018)/L80*100</f>
        <v>#DIV/0!</v>
      </c>
      <c r="X80" s="716" t="e">
        <f>($J80*0.055+U80*0.365*0.86*$F80-$K80*0.018/2)/M80*100</f>
        <v>#DIV/0!</v>
      </c>
      <c r="Y80" s="716" t="e">
        <f>($J80*0.055+V80*0.365*0.86*$F80)/N80*100</f>
        <v>#DIV/0!</v>
      </c>
      <c r="Z80" s="716"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16"/>
      <c r="AB80" s="716">
        <f>IF($B83=$A$8,SUMIF(Schweine_Werte!$AO$4:$AO$31,$C83,Schweine_Werte!$HO$4:$HO$31),IF($B83=$A$7,SUMIF(Schweine_Werte!$AO$4:$AO$31,$C83,Schweine_Werte!$HA$4:$HA$31),IF($B83=$A$6,SUMIF(Schweine_Werte!$AO$4:$AO$31,$C83,Schweine_Werte!$GM$4:$GM$31),SUMIF(Schweine_Werte!$AO$4:$AO$31,$C83,Schweine_Werte!$FY$4:$FY$31))))</f>
        <v>0</v>
      </c>
      <c r="AC80" s="716"/>
      <c r="AD80" s="716">
        <f>IF($B83=$A$8,SUMIF(Schweine_Werte!$AO$4:$AO$31,$D83,Schweine_Werte!$HO$4:$HO$31),IF($B83=$A$7,SUMIF(Schweine_Werte!$AO$4:$AO$31,$D83,Schweine_Werte!$HA$4:$HA$31),IF($B83=$A$6,SUMIF(Schweine_Werte!$AO$4:$AO$31,$D83,Schweine_Werte!$GM$4:$GM$31),SUMIF(Schweine_Werte!$AO$4:$AO$31,$D83,Schweine_Werte!$FY$4:$FY$31))))</f>
        <v>0</v>
      </c>
      <c r="AE80" s="716"/>
      <c r="AF80" s="716"/>
      <c r="AG80" s="716" t="e">
        <f>IF($B83=$A$8,SUMPRODUCT($BZ$4:$BZ$31,Schweine_Werte!$HN$4:$HN$31)/SUM($BZ$4:$BZ$31),IF($B83=$A$7,SUMPRODUCT($BZ$4:$BZ$31,Schweine_Werte!$GZ$4:$GZ$31)/SUM($BZ$4:$BZ$31),IF($B83=$A$6,SUMPRODUCT($BZ$4:$BZ$31,Schweine_Werte!$GL$4:$GL$31)/SUM($BZ$4:$BZ$31),SUMPRODUCT($BZ$4:$BZ$31,Schweine_Werte!$FX$4:$FX$31)/SUM($BZ$4:$BZ$31))))</f>
        <v>#DIV/0!</v>
      </c>
      <c r="AH80" s="716"/>
      <c r="AI80" s="716"/>
      <c r="AJ80" s="716"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16"/>
      <c r="AL80" s="716">
        <f>IF($B83=$A$8,SUMIF(Schweine_Werte!$AO$4:$AO$31,$C83,Schweine_Werte!$HP$4:$HP$31),IF($B83=$A$7,SUMIF(Schweine_Werte!$AO$4:$AO$31,$C83,Schweine_Werte!$HB$4:$HB$31),IF($B83=$A$6,SUMIF(Schweine_Werte!$AO$4:$AO$31,$C83,Schweine_Werte!$GN$4:$GN$31),SUMIF(Schweine_Werte!$AO$4:$AO$31,$C83,Schweine_Werte!$FZ$4:$FZ$31))))</f>
        <v>0</v>
      </c>
      <c r="AM80" s="716"/>
      <c r="AN80" s="716">
        <f>IF($B83=$A$8,SUMIF(Schweine_Werte!$AO$4:$AO$31,$D83,Schweine_Werte!$HP$4:$HP$31),IF($B83=$A$7,SUMIF(Schweine_Werte!$AO$4:$AO$31,$D83,Schweine_Werte!$HB$4:$HB$31),IF($B83=$A$6,SUMIF(Schweine_Werte!$AO$4:$AO$31,$D83,Schweine_Werte!$GN$4:$GN$31),SUMIF(Schweine_Werte!$AO$4:$AO$31,$D83,Schweine_Werte!$FZ$4:$FZ$31))))</f>
        <v>0</v>
      </c>
      <c r="AO80" s="716"/>
      <c r="AR80" s="792">
        <v>84</v>
      </c>
      <c r="AS80" s="781">
        <f>IF(OR($C$12=$AR80,$D$12=$AR80),Schweine_Werte!$C80*0.5,IF(OR($C$12&gt;$AR80,$D$12&lt;$AR80),0,Schweine_Werte!$C80))</f>
        <v>0</v>
      </c>
      <c r="AT80" s="716">
        <f>IF(OR($C$24=$AR80,$D$24=$AR80),Schweine_Werte!$C80*0.5,IF(OR($C$24&gt;$AR80,$D$24&lt;$AR80),0,Schweine_Werte!$C80))</f>
        <v>0</v>
      </c>
      <c r="AU80" s="781">
        <f>IF(OR($C$36=$AR80,$D$36=$AR80),Schweine_Werte!$C80*0.5,IF(OR($C$36&gt;$AR80,$D$36&lt;$AR80),0,Schweine_Werte!$C80))</f>
        <v>0</v>
      </c>
      <c r="AV80" s="781">
        <f>IF(OR($C$48=$AR80,$D$48=$AR80),Schweine_Werte!$C80*0.5,IF(OR($C$48&gt;$AR80,$D$48&lt;$AR80),0,Schweine_Werte!$C80))</f>
        <v>0</v>
      </c>
      <c r="AW80" s="781">
        <f>IF(OR($C$60=$AR80,$D$60=$AR80),Schweine_Werte!$C80*0.5,IF(OR($C$60&gt;$AR80,$D$60&lt;$AR80),0,Schweine_Werte!$C80))</f>
        <v>0</v>
      </c>
      <c r="AX80" s="781">
        <f>IF(OR($C$12=$AR80,$D$12=$AR80),Schweine_Werte!$E80*0.5,IF(OR($C$12&gt;$AR80,$D$12&lt;$AR80),0,Schweine_Werte!$E80))</f>
        <v>0</v>
      </c>
      <c r="AY80" s="716">
        <f>IF(OR($C$24=$AR80,$D$24=$AR80),Schweine_Werte!$E80*0.5,IF(OR($C$24&gt;$AR80,$D$24&lt;$AR80),0,Schweine_Werte!$E80))</f>
        <v>0</v>
      </c>
      <c r="AZ80" s="716">
        <f>IF(OR($C$36=$AR80,$D$36=$AR80),Schweine_Werte!$E80*0.5,IF(OR($C$36&gt;$AR80,$D$36&lt;$AR80),0,Schweine_Werte!$E80))</f>
        <v>0</v>
      </c>
      <c r="BA80" s="716">
        <f>IF(OR($C$48=$AR80,$D$48=$AR80),Schweine_Werte!$E80*0.5,IF(OR($C$48&gt;$AR80,$D$48&lt;$AR80),0,Schweine_Werte!$E80))</f>
        <v>0</v>
      </c>
      <c r="BB80" s="716">
        <f>IF(OR($C$60=$AR80,$D$60=$AR80),Schweine_Werte!$E80*0.5,IF(OR($C$60&gt;$AR80,$D$60&lt;$AR80),0,Schweine_Werte!$E80))</f>
        <v>0</v>
      </c>
      <c r="BC80" s="781">
        <f>IF(OR($C$12=$AR80,$D$12=$AR80),Schweine_Werte!$G80*0.5,IF(OR($C$12&gt;$AR80,$D$12&lt;$AR80),0,Schweine_Werte!$G80))</f>
        <v>0</v>
      </c>
      <c r="BD80" s="716">
        <f>IF(OR($C$24=$AR80,$D$24=$AR80),Schweine_Werte!$G80*0.5,IF(OR($C$24&gt;$AR80,$D$24&lt;$AR80),0,Schweine_Werte!$G80))</f>
        <v>0</v>
      </c>
      <c r="BE80" s="716">
        <f>IF(OR($C$36=$AR80,$D$36=$AR80),Schweine_Werte!$G80*0.5,IF(OR($C$36&gt;$AR80,$D$36&lt;$AR80),0,Schweine_Werte!$G80))</f>
        <v>0</v>
      </c>
      <c r="BF80" s="716">
        <f>IF(OR($C$48=$AR80,$D$48=$AR80),Schweine_Werte!$G80*0.5,IF(OR($C$48&gt;$AR80,$D$48&lt;$AR80),0,Schweine_Werte!$G80))</f>
        <v>0</v>
      </c>
      <c r="BG80" s="716">
        <f>IF(OR($C$60=$AR80,$D$60=$AR80),Schweine_Werte!$G80*0.5,IF(OR($C$60&gt;$AR80,$D$60&lt;$AR80),0,Schweine_Werte!$G80))</f>
        <v>0</v>
      </c>
      <c r="BH80" s="781">
        <f>IF(OR($C$12=$AR80,$D$12=$AR80),Schweine_Werte!$I80*0.5,IF(OR($C$12&gt;$AR80,$D$12&lt;$AR80),0,Schweine_Werte!$I80))</f>
        <v>0</v>
      </c>
      <c r="BI80" s="716">
        <f>IF(OR($C$24=$AR80,$D$24=$AR80),Schweine_Werte!$I80*0.5,IF(OR($C$24&gt;$AR80,$D$24&lt;$AR80),0,Schweine_Werte!$I80))</f>
        <v>0</v>
      </c>
      <c r="BJ80" s="716">
        <f>IF(OR($C$36=$AR80,$D$36=$AR80),Schweine_Werte!$I80*0.5,IF(OR($C$36&gt;$AR80,$D$36&lt;$AR80),0,Schweine_Werte!$I80))</f>
        <v>0</v>
      </c>
      <c r="BK80" s="716">
        <f>IF(OR($C$48=$AR80,$D$48=$AR80),Schweine_Werte!$I80*0.5,IF(OR($C$48&gt;$AR80,$D$48&lt;$AR80),0,Schweine_Werte!$I80))</f>
        <v>0</v>
      </c>
      <c r="BL80" s="716">
        <f>IF(OR($C$60=$AR80,$D$60=$AR80),Schweine_Werte!$I80*0.5,IF(OR($C$60&gt;$AR80,$D$60&lt;$AR80),0,Schweine_Werte!$I80))</f>
        <v>0</v>
      </c>
      <c r="BM80" s="781"/>
      <c r="BN80" s="716"/>
      <c r="BO80" s="716"/>
      <c r="BP80" s="716"/>
      <c r="BQ80" s="716"/>
      <c r="BR80" s="781">
        <f>IF(OR($C$74=$AR80,$D$74=$AR80),Schweine_Werte!$M80*0.5,IF(OR($C$74&gt;$AR80,$D$74&lt;$AR80),0,Schweine_Werte!$M80))</f>
        <v>0</v>
      </c>
      <c r="BS80" s="781">
        <f>IF(OR($C$83=$AR80,$D$83=$AR80),Schweine_Werte!$M80*0.5,IF(OR($C$83&gt;$AR80,$D$83&lt;$AR80),0,Schweine_Werte!$M80))</f>
        <v>0</v>
      </c>
      <c r="BT80" s="783">
        <f>IF(OR($C$92=$AR80,$D$92=$AR80),Schweine_Werte!$M80*0.5,IF(OR($C$92&gt;$AR80,$D$92&lt;$AR80),0,Schweine_Werte!$M80))</f>
        <v>0</v>
      </c>
      <c r="BU80" s="783">
        <f>IF(OR($C$101=$AR80,$D$101=$AR80),Schweine_Werte!$M80*0.5,IF(OR($C$101&gt;$AR80,$D$101&lt;$AR80),0,Schweine_Werte!$M80))</f>
        <v>0</v>
      </c>
      <c r="BV80" s="783">
        <f>IF(OR($C$110=$AR80,$D$110=$AR80),Schweine_Werte!$M80*0.5,IF(OR($C$110&gt;$AR80,$D$110&lt;$AR80),0,Schweine_Werte!$M80))</f>
        <v>0</v>
      </c>
      <c r="BW80" s="783">
        <f>IF(OR(8=$AR80,$E$127=$AR80),Schweine_Werte!$M80*0.5,IF(OR(8&gt;$AR80,$E$127&lt;$AR80),0,Schweine_Werte!$M80))</f>
        <v>1.1291804991913001</v>
      </c>
      <c r="BX80" s="783">
        <f>IF(OR(8=$AR80,$E$145=$AR80),Schweine_Werte!$M80*0.5,IF(OR(8&gt;$AR80,$E$145&lt;$AR80),0,Schweine_Werte!$M80))</f>
        <v>1.1291804991913001</v>
      </c>
      <c r="BY80" s="781">
        <f>IF(OR($C$74=$AR80,$D$74=$AR80),Schweine_Werte!$O80*0.5,IF(OR($C$74&gt;$AR80,$D$74&lt;$AR80),0,Schweine_Werte!$O80))</f>
        <v>0</v>
      </c>
      <c r="BZ80" s="781">
        <f>IF(OR($C$83=$AR80,$D$83=$AR80),Schweine_Werte!$O80*0.5,IF(OR($C$83&gt;$AR80,$D$83&lt;$AR80),0,Schweine_Werte!$O80))</f>
        <v>0</v>
      </c>
      <c r="CA80" s="783">
        <f>IF(OR($C$92=$AR80,$D$92=$AR80),Schweine_Werte!$O80*0.5,IF(OR($C$92&gt;$AR80,$D$92&lt;$AR80),0,Schweine_Werte!$O80))</f>
        <v>0</v>
      </c>
      <c r="CB80" s="783">
        <f>IF(OR($C$101=$AR80,$D$101=$AR80),Schweine_Werte!$O80*0.5,IF(OR($C$101&gt;$AR80,$D$101&lt;$AR80),0,Schweine_Werte!$O80))</f>
        <v>0</v>
      </c>
      <c r="CC80" s="783">
        <f>IF(OR($C$110=$AR80,$D$110=$AR80),Schweine_Werte!$O80*0.5,IF(OR($C$110&gt;$AR80,$D$110&lt;$AR80),0,Schweine_Werte!$O80))</f>
        <v>0</v>
      </c>
    </row>
    <row r="81" spans="1:81" ht="15.75" x14ac:dyDescent="0.25">
      <c r="F81" s="352"/>
      <c r="G81" s="1588" t="s">
        <v>7701</v>
      </c>
      <c r="H81" s="1589"/>
      <c r="I81" s="1590"/>
      <c r="J81" s="973" t="s">
        <v>589</v>
      </c>
      <c r="K81" s="973" t="s">
        <v>224</v>
      </c>
      <c r="L81" s="1591" t="s">
        <v>7702</v>
      </c>
      <c r="M81" s="1592"/>
      <c r="N81" s="1593"/>
      <c r="O81" s="1591" t="s">
        <v>7703</v>
      </c>
      <c r="P81" s="1593"/>
      <c r="Q81" s="1591" t="s">
        <v>7758</v>
      </c>
      <c r="R81" s="1592"/>
      <c r="S81" s="1593"/>
      <c r="T81" s="1591" t="s">
        <v>7704</v>
      </c>
      <c r="U81" s="1592"/>
      <c r="V81" s="1593"/>
      <c r="W81" s="1591" t="s">
        <v>7785</v>
      </c>
      <c r="X81" s="1592"/>
      <c r="Y81" s="1593"/>
      <c r="Z81" s="1596" t="s">
        <v>7786</v>
      </c>
      <c r="AA81" s="1597"/>
      <c r="AB81" s="1596" t="s">
        <v>7787</v>
      </c>
      <c r="AC81" s="1597"/>
      <c r="AD81" s="1596" t="s">
        <v>7788</v>
      </c>
      <c r="AE81" s="1597"/>
      <c r="AF81" s="974" t="s">
        <v>7888</v>
      </c>
      <c r="AG81" s="1598" t="s">
        <v>7791</v>
      </c>
      <c r="AH81" s="1599"/>
      <c r="AI81" s="1081" t="s">
        <v>7889</v>
      </c>
      <c r="AJ81" s="1596" t="s">
        <v>7786</v>
      </c>
      <c r="AK81" s="1597"/>
      <c r="AL81" s="1596" t="s">
        <v>7787</v>
      </c>
      <c r="AM81" s="1597"/>
      <c r="AN81" s="1596" t="s">
        <v>7788</v>
      </c>
      <c r="AO81" s="1597"/>
      <c r="AR81" s="792">
        <v>85</v>
      </c>
      <c r="AS81" s="781">
        <f>IF(OR($C$12=$AR81,$D$12=$AR81),Schweine_Werte!$C81*0.5,IF(OR($C$12&gt;$AR81,$D$12&lt;$AR81),0,Schweine_Werte!$C81))</f>
        <v>0</v>
      </c>
      <c r="AT81" s="716">
        <f>IF(OR($C$24=$AR81,$D$24=$AR81),Schweine_Werte!$C81*0.5,IF(OR($C$24&gt;$AR81,$D$24&lt;$AR81),0,Schweine_Werte!$C81))</f>
        <v>0</v>
      </c>
      <c r="AU81" s="781">
        <f>IF(OR($C$36=$AR81,$D$36=$AR81),Schweine_Werte!$C81*0.5,IF(OR($C$36&gt;$AR81,$D$36&lt;$AR81),0,Schweine_Werte!$C81))</f>
        <v>0</v>
      </c>
      <c r="AV81" s="781">
        <f>IF(OR($C$48=$AR81,$D$48=$AR81),Schweine_Werte!$C81*0.5,IF(OR($C$48&gt;$AR81,$D$48&lt;$AR81),0,Schweine_Werte!$C81))</f>
        <v>0</v>
      </c>
      <c r="AW81" s="781">
        <f>IF(OR($C$60=$AR81,$D$60=$AR81),Schweine_Werte!$C81*0.5,IF(OR($C$60&gt;$AR81,$D$60&lt;$AR81),0,Schweine_Werte!$C81))</f>
        <v>0</v>
      </c>
      <c r="AX81" s="781">
        <f>IF(OR($C$12=$AR81,$D$12=$AR81),Schweine_Werte!$E81*0.5,IF(OR($C$12&gt;$AR81,$D$12&lt;$AR81),0,Schweine_Werte!$E81))</f>
        <v>0</v>
      </c>
      <c r="AY81" s="716">
        <f>IF(OR($C$24=$AR81,$D$24=$AR81),Schweine_Werte!$E81*0.5,IF(OR($C$24&gt;$AR81,$D$24&lt;$AR81),0,Schweine_Werte!$E81))</f>
        <v>0</v>
      </c>
      <c r="AZ81" s="716">
        <f>IF(OR($C$36=$AR81,$D$36=$AR81),Schweine_Werte!$E81*0.5,IF(OR($C$36&gt;$AR81,$D$36&lt;$AR81),0,Schweine_Werte!$E81))</f>
        <v>0</v>
      </c>
      <c r="BA81" s="716">
        <f>IF(OR($C$48=$AR81,$D$48=$AR81),Schweine_Werte!$E81*0.5,IF(OR($C$48&gt;$AR81,$D$48&lt;$AR81),0,Schweine_Werte!$E81))</f>
        <v>0</v>
      </c>
      <c r="BB81" s="716">
        <f>IF(OR($C$60=$AR81,$D$60=$AR81),Schweine_Werte!$E81*0.5,IF(OR($C$60&gt;$AR81,$D$60&lt;$AR81),0,Schweine_Werte!$E81))</f>
        <v>0</v>
      </c>
      <c r="BC81" s="781">
        <f>IF(OR($C$12=$AR81,$D$12=$AR81),Schweine_Werte!$G81*0.5,IF(OR($C$12&gt;$AR81,$D$12&lt;$AR81),0,Schweine_Werte!$G81))</f>
        <v>0</v>
      </c>
      <c r="BD81" s="716">
        <f>IF(OR($C$24=$AR81,$D$24=$AR81),Schweine_Werte!$G81*0.5,IF(OR($C$24&gt;$AR81,$D$24&lt;$AR81),0,Schweine_Werte!$G81))</f>
        <v>0</v>
      </c>
      <c r="BE81" s="716">
        <f>IF(OR($C$36=$AR81,$D$36=$AR81),Schweine_Werte!$G81*0.5,IF(OR($C$36&gt;$AR81,$D$36&lt;$AR81),0,Schweine_Werte!$G81))</f>
        <v>0</v>
      </c>
      <c r="BF81" s="716">
        <f>IF(OR($C$48=$AR81,$D$48=$AR81),Schweine_Werte!$G81*0.5,IF(OR($C$48&gt;$AR81,$D$48&lt;$AR81),0,Schweine_Werte!$G81))</f>
        <v>0</v>
      </c>
      <c r="BG81" s="716">
        <f>IF(OR($C$60=$AR81,$D$60=$AR81),Schweine_Werte!$G81*0.5,IF(OR($C$60&gt;$AR81,$D$60&lt;$AR81),0,Schweine_Werte!$G81))</f>
        <v>0</v>
      </c>
      <c r="BH81" s="781">
        <f>IF(OR($C$12=$AR81,$D$12=$AR81),Schweine_Werte!$I81*0.5,IF(OR($C$12&gt;$AR81,$D$12&lt;$AR81),0,Schweine_Werte!$I81))</f>
        <v>0</v>
      </c>
      <c r="BI81" s="716">
        <f>IF(OR($C$24=$AR81,$D$24=$AR81),Schweine_Werte!$I81*0.5,IF(OR($C$24&gt;$AR81,$D$24&lt;$AR81),0,Schweine_Werte!$I81))</f>
        <v>0</v>
      </c>
      <c r="BJ81" s="716">
        <f>IF(OR($C$36=$AR81,$D$36=$AR81),Schweine_Werte!$I81*0.5,IF(OR($C$36&gt;$AR81,$D$36&lt;$AR81),0,Schweine_Werte!$I81))</f>
        <v>0</v>
      </c>
      <c r="BK81" s="716">
        <f>IF(OR($C$48=$AR81,$D$48=$AR81),Schweine_Werte!$I81*0.5,IF(OR($C$48&gt;$AR81,$D$48&lt;$AR81),0,Schweine_Werte!$I81))</f>
        <v>0</v>
      </c>
      <c r="BL81" s="716">
        <f>IF(OR($C$60=$AR81,$D$60=$AR81),Schweine_Werte!$I81*0.5,IF(OR($C$60&gt;$AR81,$D$60&lt;$AR81),0,Schweine_Werte!$I81))</f>
        <v>0</v>
      </c>
      <c r="BM81" s="781"/>
      <c r="BN81" s="716"/>
      <c r="BO81" s="716"/>
      <c r="BP81" s="716"/>
      <c r="BQ81" s="716"/>
      <c r="BR81" s="781">
        <f>IF(OR($C$74=$AR81,$D$74=$AR81),Schweine_Werte!$M81*0.5,IF(OR($C$74&gt;$AR81,$D$74&lt;$AR81),0,Schweine_Werte!$M81))</f>
        <v>0</v>
      </c>
      <c r="BS81" s="781">
        <f>IF(OR($C$83=$AR81,$D$83=$AR81),Schweine_Werte!$M81*0.5,IF(OR($C$83&gt;$AR81,$D$83&lt;$AR81),0,Schweine_Werte!$M81))</f>
        <v>0</v>
      </c>
      <c r="BT81" s="783">
        <f>IF(OR($C$92=$AR81,$D$92=$AR81),Schweine_Werte!$M81*0.5,IF(OR($C$92&gt;$AR81,$D$92&lt;$AR81),0,Schweine_Werte!$M81))</f>
        <v>0</v>
      </c>
      <c r="BU81" s="783">
        <f>IF(OR($C$101=$AR81,$D$101=$AR81),Schweine_Werte!$M81*0.5,IF(OR($C$101&gt;$AR81,$D$101&lt;$AR81),0,Schweine_Werte!$M81))</f>
        <v>0</v>
      </c>
      <c r="BV81" s="783">
        <f>IF(OR($C$110=$AR81,$D$110=$AR81),Schweine_Werte!$M81*0.5,IF(OR($C$110&gt;$AR81,$D$110&lt;$AR81),0,Schweine_Werte!$M81))</f>
        <v>0</v>
      </c>
      <c r="BW81" s="783">
        <f>IF(OR(8=$AR81,$E$127=$AR81),Schweine_Werte!$M81*0.5,IF(OR(8&gt;$AR81,$E$127&lt;$AR81),0,Schweine_Werte!$M81))</f>
        <v>1.1337482673734904</v>
      </c>
      <c r="BX81" s="783">
        <f>IF(OR(8=$AR81,$E$145=$AR81),Schweine_Werte!$M81*0.5,IF(OR(8&gt;$AR81,$E$145&lt;$AR81),0,Schweine_Werte!$M81))</f>
        <v>1.1337482673734904</v>
      </c>
      <c r="BY81" s="781">
        <f>IF(OR($C$74=$AR81,$D$74=$AR81),Schweine_Werte!$O81*0.5,IF(OR($C$74&gt;$AR81,$D$74&lt;$AR81),0,Schweine_Werte!$O81))</f>
        <v>0</v>
      </c>
      <c r="BZ81" s="781">
        <f>IF(OR($C$83=$AR81,$D$83=$AR81),Schweine_Werte!$O81*0.5,IF(OR($C$83&gt;$AR81,$D$83&lt;$AR81),0,Schweine_Werte!$O81))</f>
        <v>0</v>
      </c>
      <c r="CA81" s="783">
        <f>IF(OR($C$92=$AR81,$D$92=$AR81),Schweine_Werte!$O81*0.5,IF(OR($C$92&gt;$AR81,$D$92&lt;$AR81),0,Schweine_Werte!$O81))</f>
        <v>0</v>
      </c>
      <c r="CB81" s="783">
        <f>IF(OR($C$101=$AR81,$D$101=$AR81),Schweine_Werte!$O81*0.5,IF(OR($C$101&gt;$AR81,$D$101&lt;$AR81),0,Schweine_Werte!$O81))</f>
        <v>0</v>
      </c>
      <c r="CC81" s="783">
        <f>IF(OR($C$110=$AR81,$D$110=$AR81),Schweine_Werte!$O81*0.5,IF(OR($C$110&gt;$AR81,$D$110&lt;$AR81),0,Schweine_Werte!$O81))</f>
        <v>0</v>
      </c>
    </row>
    <row r="82" spans="1:81" ht="18.75" x14ac:dyDescent="0.2">
      <c r="B82" s="786" t="s">
        <v>7705</v>
      </c>
      <c r="C82" s="787" t="s">
        <v>7645</v>
      </c>
      <c r="D82" s="787" t="s">
        <v>7706</v>
      </c>
      <c r="E82" s="787" t="s">
        <v>7647</v>
      </c>
      <c r="F82" s="733" t="s">
        <v>196</v>
      </c>
      <c r="G82" s="662" t="s">
        <v>4</v>
      </c>
      <c r="H82" s="662" t="s">
        <v>7707</v>
      </c>
      <c r="I82" s="662" t="s">
        <v>7708</v>
      </c>
      <c r="J82" s="663" t="s">
        <v>7709</v>
      </c>
      <c r="K82" s="663" t="s">
        <v>7709</v>
      </c>
      <c r="L82" s="664" t="s">
        <v>39</v>
      </c>
      <c r="M82" s="664" t="s">
        <v>7710</v>
      </c>
      <c r="N82" s="664" t="s">
        <v>41</v>
      </c>
      <c r="O82" s="665" t="s">
        <v>0</v>
      </c>
      <c r="P82" s="665" t="s">
        <v>8</v>
      </c>
      <c r="Q82" s="664" t="s">
        <v>39</v>
      </c>
      <c r="R82" s="664" t="s">
        <v>40</v>
      </c>
      <c r="S82" s="664" t="s">
        <v>41</v>
      </c>
      <c r="T82" s="664" t="s">
        <v>39</v>
      </c>
      <c r="U82" s="664" t="s">
        <v>40</v>
      </c>
      <c r="V82" s="664" t="s">
        <v>41</v>
      </c>
      <c r="W82" s="663" t="s">
        <v>7684</v>
      </c>
      <c r="X82" s="663" t="s">
        <v>7685</v>
      </c>
      <c r="Y82" s="663" t="s">
        <v>7686</v>
      </c>
      <c r="Z82" s="788" t="s">
        <v>7789</v>
      </c>
      <c r="AA82" s="788" t="s">
        <v>7790</v>
      </c>
      <c r="AB82" s="788" t="s">
        <v>7789</v>
      </c>
      <c r="AC82" s="788" t="s">
        <v>7790</v>
      </c>
      <c r="AD82" s="788" t="s">
        <v>7789</v>
      </c>
      <c r="AE82" s="788" t="s">
        <v>7790</v>
      </c>
      <c r="AF82" s="788" t="s">
        <v>7890</v>
      </c>
      <c r="AG82" s="983" t="s">
        <v>7891</v>
      </c>
      <c r="AH82" s="788" t="s">
        <v>7892</v>
      </c>
      <c r="AI82" s="788"/>
      <c r="AJ82" s="788" t="s">
        <v>7765</v>
      </c>
      <c r="AK82" s="788" t="s">
        <v>7792</v>
      </c>
      <c r="AL82" s="788" t="s">
        <v>7793</v>
      </c>
      <c r="AM82" s="788" t="s">
        <v>7794</v>
      </c>
      <c r="AN82" s="788" t="s">
        <v>7793</v>
      </c>
      <c r="AO82" s="788" t="s">
        <v>7795</v>
      </c>
      <c r="AR82" s="792">
        <v>86</v>
      </c>
      <c r="AS82" s="781">
        <f>IF(OR($C$12=$AR82,$D$12=$AR82),Schweine_Werte!$C82*0.5,IF(OR($C$12&gt;$AR82,$D$12&lt;$AR82),0,Schweine_Werte!$C82))</f>
        <v>0</v>
      </c>
      <c r="AT82" s="716">
        <f>IF(OR($C$24=$AR82,$D$24=$AR82),Schweine_Werte!$C82*0.5,IF(OR($C$24&gt;$AR82,$D$24&lt;$AR82),0,Schweine_Werte!$C82))</f>
        <v>0</v>
      </c>
      <c r="AU82" s="781">
        <f>IF(OR($C$36=$AR82,$D$36=$AR82),Schweine_Werte!$C82*0.5,IF(OR($C$36&gt;$AR82,$D$36&lt;$AR82),0,Schweine_Werte!$C82))</f>
        <v>0</v>
      </c>
      <c r="AV82" s="781">
        <f>IF(OR($C$48=$AR82,$D$48=$AR82),Schweine_Werte!$C82*0.5,IF(OR($C$48&gt;$AR82,$D$48&lt;$AR82),0,Schweine_Werte!$C82))</f>
        <v>0</v>
      </c>
      <c r="AW82" s="781">
        <f>IF(OR($C$60=$AR82,$D$60=$AR82),Schweine_Werte!$C82*0.5,IF(OR($C$60&gt;$AR82,$D$60&lt;$AR82),0,Schweine_Werte!$C82))</f>
        <v>0</v>
      </c>
      <c r="AX82" s="781">
        <f>IF(OR($C$12=$AR82,$D$12=$AR82),Schweine_Werte!$E82*0.5,IF(OR($C$12&gt;$AR82,$D$12&lt;$AR82),0,Schweine_Werte!$E82))</f>
        <v>0</v>
      </c>
      <c r="AY82" s="716">
        <f>IF(OR($C$24=$AR82,$D$24=$AR82),Schweine_Werte!$E82*0.5,IF(OR($C$24&gt;$AR82,$D$24&lt;$AR82),0,Schweine_Werte!$E82))</f>
        <v>0</v>
      </c>
      <c r="AZ82" s="716">
        <f>IF(OR($C$36=$AR82,$D$36=$AR82),Schweine_Werte!$E82*0.5,IF(OR($C$36&gt;$AR82,$D$36&lt;$AR82),0,Schweine_Werte!$E82))</f>
        <v>0</v>
      </c>
      <c r="BA82" s="716">
        <f>IF(OR($C$48=$AR82,$D$48=$AR82),Schweine_Werte!$E82*0.5,IF(OR($C$48&gt;$AR82,$D$48&lt;$AR82),0,Schweine_Werte!$E82))</f>
        <v>0</v>
      </c>
      <c r="BB82" s="716">
        <f>IF(OR($C$60=$AR82,$D$60=$AR82),Schweine_Werte!$E82*0.5,IF(OR($C$60&gt;$AR82,$D$60&lt;$AR82),0,Schweine_Werte!$E82))</f>
        <v>0</v>
      </c>
      <c r="BC82" s="781">
        <f>IF(OR($C$12=$AR82,$D$12=$AR82),Schweine_Werte!$G82*0.5,IF(OR($C$12&gt;$AR82,$D$12&lt;$AR82),0,Schweine_Werte!$G82))</f>
        <v>0</v>
      </c>
      <c r="BD82" s="716">
        <f>IF(OR($C$24=$AR82,$D$24=$AR82),Schweine_Werte!$G82*0.5,IF(OR($C$24&gt;$AR82,$D$24&lt;$AR82),0,Schweine_Werte!$G82))</f>
        <v>0</v>
      </c>
      <c r="BE82" s="716">
        <f>IF(OR($C$36=$AR82,$D$36=$AR82),Schweine_Werte!$G82*0.5,IF(OR($C$36&gt;$AR82,$D$36&lt;$AR82),0,Schweine_Werte!$G82))</f>
        <v>0</v>
      </c>
      <c r="BF82" s="716">
        <f>IF(OR($C$48=$AR82,$D$48=$AR82),Schweine_Werte!$G82*0.5,IF(OR($C$48&gt;$AR82,$D$48&lt;$AR82),0,Schweine_Werte!$G82))</f>
        <v>0</v>
      </c>
      <c r="BG82" s="716">
        <f>IF(OR($C$60=$AR82,$D$60=$AR82),Schweine_Werte!$G82*0.5,IF(OR($C$60&gt;$AR82,$D$60&lt;$AR82),0,Schweine_Werte!$G82))</f>
        <v>0</v>
      </c>
      <c r="BH82" s="781">
        <f>IF(OR($C$12=$AR82,$D$12=$AR82),Schweine_Werte!$I82*0.5,IF(OR($C$12&gt;$AR82,$D$12&lt;$AR82),0,Schweine_Werte!$I82))</f>
        <v>0</v>
      </c>
      <c r="BI82" s="716">
        <f>IF(OR($C$24=$AR82,$D$24=$AR82),Schweine_Werte!$I82*0.5,IF(OR($C$24&gt;$AR82,$D$24&lt;$AR82),0,Schweine_Werte!$I82))</f>
        <v>0</v>
      </c>
      <c r="BJ82" s="716">
        <f>IF(OR($C$36=$AR82,$D$36=$AR82),Schweine_Werte!$I82*0.5,IF(OR($C$36&gt;$AR82,$D$36&lt;$AR82),0,Schweine_Werte!$I82))</f>
        <v>0</v>
      </c>
      <c r="BK82" s="716">
        <f>IF(OR($C$48=$AR82,$D$48=$AR82),Schweine_Werte!$I82*0.5,IF(OR($C$48&gt;$AR82,$D$48&lt;$AR82),0,Schweine_Werte!$I82))</f>
        <v>0</v>
      </c>
      <c r="BL82" s="716">
        <f>IF(OR($C$60=$AR82,$D$60=$AR82),Schweine_Werte!$I82*0.5,IF(OR($C$60&gt;$AR82,$D$60&lt;$AR82),0,Schweine_Werte!$I82))</f>
        <v>0</v>
      </c>
      <c r="BM82" s="781"/>
      <c r="BN82" s="716"/>
      <c r="BO82" s="716"/>
      <c r="BP82" s="716"/>
      <c r="BQ82" s="716"/>
      <c r="BR82" s="781">
        <f>IF(OR($C$74=$AR82,$D$74=$AR82),Schweine_Werte!$M82*0.5,IF(OR($C$74&gt;$AR82,$D$74&lt;$AR82),0,Schweine_Werte!$M82))</f>
        <v>0</v>
      </c>
      <c r="BS82" s="781">
        <f>IF(OR($C$83=$AR82,$D$83=$AR82),Schweine_Werte!$M82*0.5,IF(OR($C$83&gt;$AR82,$D$83&lt;$AR82),0,Schweine_Werte!$M82))</f>
        <v>0</v>
      </c>
      <c r="BT82" s="783">
        <f>IF(OR($C$92=$AR82,$D$92=$AR82),Schweine_Werte!$M82*0.5,IF(OR($C$92&gt;$AR82,$D$92&lt;$AR82),0,Schweine_Werte!$M82))</f>
        <v>0</v>
      </c>
      <c r="BU82" s="783">
        <f>IF(OR($C$101=$AR82,$D$101=$AR82),Schweine_Werte!$M82*0.5,IF(OR($C$101&gt;$AR82,$D$101&lt;$AR82),0,Schweine_Werte!$M82))</f>
        <v>0</v>
      </c>
      <c r="BV82" s="783">
        <f>IF(OR($C$110=$AR82,$D$110=$AR82),Schweine_Werte!$M82*0.5,IF(OR($C$110&gt;$AR82,$D$110&lt;$AR82),0,Schweine_Werte!$M82))</f>
        <v>0</v>
      </c>
      <c r="BW82" s="783">
        <f>IF(OR(8=$AR82,$E$127=$AR82),Schweine_Werte!$M82*0.5,IF(OR(8&gt;$AR82,$E$127&lt;$AR82),0,Schweine_Werte!$M82))</f>
        <v>1.1387369354875152</v>
      </c>
      <c r="BX82" s="783">
        <f>IF(OR(8=$AR82,$E$145=$AR82),Schweine_Werte!$M82*0.5,IF(OR(8&gt;$AR82,$E$145&lt;$AR82),0,Schweine_Werte!$M82))</f>
        <v>1.1387369354875152</v>
      </c>
      <c r="BY82" s="781">
        <f>IF(OR($C$74=$AR82,$D$74=$AR82),Schweine_Werte!$O82*0.5,IF(OR($C$74&gt;$AR82,$D$74&lt;$AR82),0,Schweine_Werte!$O82))</f>
        <v>0</v>
      </c>
      <c r="BZ82" s="781">
        <f>IF(OR($C$83=$AR82,$D$83=$AR82),Schweine_Werte!$O82*0.5,IF(OR($C$83&gt;$AR82,$D$83&lt;$AR82),0,Schweine_Werte!$O82))</f>
        <v>0</v>
      </c>
      <c r="CA82" s="783">
        <f>IF(OR($C$92=$AR82,$D$92=$AR82),Schweine_Werte!$O82*0.5,IF(OR($C$92&gt;$AR82,$D$92&lt;$AR82),0,Schweine_Werte!$O82))</f>
        <v>0</v>
      </c>
      <c r="CB82" s="783">
        <f>IF(OR($C$101=$AR82,$D$101=$AR82),Schweine_Werte!$O82*0.5,IF(OR($C$101&gt;$AR82,$D$101&lt;$AR82),0,Schweine_Werte!$O82))</f>
        <v>0</v>
      </c>
      <c r="CC82" s="783">
        <f>IF(OR($C$110=$AR82,$D$110=$AR82),Schweine_Werte!$O82*0.5,IF(OR($C$110&gt;$AR82,$D$110&lt;$AR82),0,Schweine_Werte!$O82))</f>
        <v>0</v>
      </c>
    </row>
    <row r="83" spans="1:81" ht="15.75" x14ac:dyDescent="0.25">
      <c r="A83" t="s">
        <v>7779</v>
      </c>
      <c r="B83" s="802" t="str">
        <f>IF('Abweichende Werte'!X6=1,'Abweichende Werte'!F6,"")</f>
        <v/>
      </c>
      <c r="C83" s="666" t="str">
        <f>IF('Abweichende Werte'!X6=1,'Abweichende Werte'!J6,"")</f>
        <v/>
      </c>
      <c r="D83" s="667" t="str">
        <f>IF('Abweichende Werte'!X6=1,'Abweichende Werte'!M6,"")</f>
        <v/>
      </c>
      <c r="E83" s="667" t="str">
        <f>IF('Abweichende Werte'!X6=1,'Abweichende Werte'!P6,"")</f>
        <v/>
      </c>
      <c r="F83" s="789" t="e">
        <f>IF($E83&lt;=$E79,F79,IF(AND($E83&gt;$E79,$E83&lt;=$E80),F79+(F80-F79)/($E80-$E79)*($E83-$E79),IF($E83&gt;$E80,F80)))</f>
        <v>#VALUE!</v>
      </c>
      <c r="G83" s="789" t="e">
        <f t="shared" ref="G83:N83" si="44">IF($E83&lt;=$E79,G79,IF(AND($E83&gt;$E79,$E83&lt;=$E80),G79+(G80-G79)/($E80-$E79)*($E83-$E79),IF($E83&gt;$E80,G80)))</f>
        <v>#VALUE!</v>
      </c>
      <c r="H83" s="789" t="e">
        <f t="shared" si="44"/>
        <v>#VALUE!</v>
      </c>
      <c r="I83" s="789" t="e">
        <f t="shared" si="44"/>
        <v>#VALUE!</v>
      </c>
      <c r="J83" s="789" t="e">
        <f t="shared" si="44"/>
        <v>#VALUE!</v>
      </c>
      <c r="K83" s="789" t="e">
        <f t="shared" si="44"/>
        <v>#VALUE!</v>
      </c>
      <c r="L83" s="789" t="e">
        <f t="shared" si="44"/>
        <v>#VALUE!</v>
      </c>
      <c r="M83" s="789" t="e">
        <f t="shared" si="44"/>
        <v>#VALUE!</v>
      </c>
      <c r="N83" s="789" t="e">
        <f t="shared" si="44"/>
        <v>#VALUE!</v>
      </c>
      <c r="O83" s="790">
        <v>5.5</v>
      </c>
      <c r="P83" s="790">
        <v>1.8</v>
      </c>
      <c r="Q83" s="789" t="e">
        <f t="shared" ref="Q83:Z83" si="45">IF($E83&lt;=$E79,Q79,IF(AND($E83&gt;$E79,$E83&lt;=$E80),Q79+(Q80-Q79)/($E80-$E79)*($E83-$E79),IF($E83&gt;$E80,Q80)))</f>
        <v>#VALUE!</v>
      </c>
      <c r="R83" s="789" t="e">
        <f t="shared" si="45"/>
        <v>#VALUE!</v>
      </c>
      <c r="S83" s="789" t="e">
        <f t="shared" si="45"/>
        <v>#VALUE!</v>
      </c>
      <c r="T83" s="789" t="e">
        <f t="shared" si="45"/>
        <v>#VALUE!</v>
      </c>
      <c r="U83" s="789" t="e">
        <f t="shared" si="45"/>
        <v>#VALUE!</v>
      </c>
      <c r="V83" s="789" t="e">
        <f t="shared" si="45"/>
        <v>#VALUE!</v>
      </c>
      <c r="W83" s="789" t="e">
        <f t="shared" si="45"/>
        <v>#VALUE!</v>
      </c>
      <c r="X83" s="789" t="e">
        <f t="shared" si="45"/>
        <v>#VALUE!</v>
      </c>
      <c r="Y83" s="789" t="e">
        <f t="shared" si="45"/>
        <v>#VALUE!</v>
      </c>
      <c r="Z83" s="789" t="e">
        <f t="shared" si="45"/>
        <v>#VALUE!</v>
      </c>
      <c r="AA83" s="791" t="e">
        <f>+Z83*6.25</f>
        <v>#VALUE!</v>
      </c>
      <c r="AB83" s="789" t="e">
        <f>IF($E83&lt;=$E79,AB79,IF(AND($E83&gt;$E79,$E83&lt;=$E80),AB79+(AB80-AB79)/($E80-$E79)*($E83-$E79),IF($E83&gt;$E80,AB80)))</f>
        <v>#VALUE!</v>
      </c>
      <c r="AC83" s="791" t="e">
        <f>+AB83*6.25</f>
        <v>#VALUE!</v>
      </c>
      <c r="AD83" s="789" t="e">
        <f>IF($E83&lt;=$E79,AD79,IF(AND($E83&gt;$E79,$E83&lt;=$E80),AD79+(AD80-AD79)/($E80-$E79)*($E83-$E79),IF($E83&gt;$E80,AD80)))</f>
        <v>#VALUE!</v>
      </c>
      <c r="AE83" s="791" t="e">
        <f>+AD83*6.25</f>
        <v>#VALUE!</v>
      </c>
      <c r="AF83" s="791" t="e">
        <f>365/((D83-C83)/E83*1000)</f>
        <v>#VALUE!</v>
      </c>
      <c r="AG83" s="789" t="e">
        <f>IF($E83&lt;=$E79,AG79,IF(AND($E83&gt;$E79,$E83&lt;=$E80),AG79+(AG80-AG79)/($E80-$E79)*($E83-$E79),IF($E83&gt;$E80,AG80)))</f>
        <v>#VALUE!</v>
      </c>
      <c r="AH83" s="791" t="e">
        <f>+AG83/AF83</f>
        <v>#VALUE!</v>
      </c>
      <c r="AI83" s="791" t="e">
        <f>+CONCATENATE(ROUND(AH83/(D83-C83),1)," : 1")</f>
        <v>#VALUE!</v>
      </c>
      <c r="AJ83" s="789" t="e">
        <f>IF($E83&lt;=$E79,AJ79,IF(AND($E83&gt;$E79,$E83&lt;=$E80),AJ79+(AJ80-AJ79)/($E80-$E79)*($E83-$E79),IF($E83&gt;$E80,AJ80)))</f>
        <v>#VALUE!</v>
      </c>
      <c r="AK83" s="791" t="e">
        <f>+AJ83/2.291</f>
        <v>#VALUE!</v>
      </c>
      <c r="AL83" s="789" t="e">
        <f>IF($E83&lt;=$E79,AL79,IF(AND($E83&gt;$E79,$E83&lt;=$E80),AL79+(AL80-AL79)/($E80-$E79)*($E83-$E79),IF($E83&gt;$E80,AL80)))</f>
        <v>#VALUE!</v>
      </c>
      <c r="AM83" s="791" t="e">
        <f>+AL83/2.291</f>
        <v>#VALUE!</v>
      </c>
      <c r="AN83" s="789" t="e">
        <f>IF($E83&lt;=$E79,AN79,IF(AND($E83&gt;$E79,$E83&lt;=$E80),AN79+(AN80-AN79)/($E80-$E79)*($E83-$E79),IF($E83&gt;$E80,AN80)))</f>
        <v>#VALUE!</v>
      </c>
      <c r="AO83" s="791" t="e">
        <f>+AN83/2.291</f>
        <v>#VALUE!</v>
      </c>
      <c r="AR83" s="792">
        <v>87</v>
      </c>
      <c r="AS83" s="781">
        <f>IF(OR($C$12=$AR83,$D$12=$AR83),Schweine_Werte!$C83*0.5,IF(OR($C$12&gt;$AR83,$D$12&lt;$AR83),0,Schweine_Werte!$C83))</f>
        <v>0</v>
      </c>
      <c r="AT83" s="716">
        <f>IF(OR($C$24=$AR83,$D$24=$AR83),Schweine_Werte!$C83*0.5,IF(OR($C$24&gt;$AR83,$D$24&lt;$AR83),0,Schweine_Werte!$C83))</f>
        <v>0</v>
      </c>
      <c r="AU83" s="781">
        <f>IF(OR($C$36=$AR83,$D$36=$AR83),Schweine_Werte!$C83*0.5,IF(OR($C$36&gt;$AR83,$D$36&lt;$AR83),0,Schweine_Werte!$C83))</f>
        <v>0</v>
      </c>
      <c r="AV83" s="781">
        <f>IF(OR($C$48=$AR83,$D$48=$AR83),Schweine_Werte!$C83*0.5,IF(OR($C$48&gt;$AR83,$D$48&lt;$AR83),0,Schweine_Werte!$C83))</f>
        <v>0</v>
      </c>
      <c r="AW83" s="781">
        <f>IF(OR($C$60=$AR83,$D$60=$AR83),Schweine_Werte!$C83*0.5,IF(OR($C$60&gt;$AR83,$D$60&lt;$AR83),0,Schweine_Werte!$C83))</f>
        <v>0</v>
      </c>
      <c r="AX83" s="781">
        <f>IF(OR($C$12=$AR83,$D$12=$AR83),Schweine_Werte!$E83*0.5,IF(OR($C$12&gt;$AR83,$D$12&lt;$AR83),0,Schweine_Werte!$E83))</f>
        <v>0</v>
      </c>
      <c r="AY83" s="716">
        <f>IF(OR($C$24=$AR83,$D$24=$AR83),Schweine_Werte!$E83*0.5,IF(OR($C$24&gt;$AR83,$D$24&lt;$AR83),0,Schweine_Werte!$E83))</f>
        <v>0</v>
      </c>
      <c r="AZ83" s="716">
        <f>IF(OR($C$36=$AR83,$D$36=$AR83),Schweine_Werte!$E83*0.5,IF(OR($C$36&gt;$AR83,$D$36&lt;$AR83),0,Schweine_Werte!$E83))</f>
        <v>0</v>
      </c>
      <c r="BA83" s="716">
        <f>IF(OR($C$48=$AR83,$D$48=$AR83),Schweine_Werte!$E83*0.5,IF(OR($C$48&gt;$AR83,$D$48&lt;$AR83),0,Schweine_Werte!$E83))</f>
        <v>0</v>
      </c>
      <c r="BB83" s="716">
        <f>IF(OR($C$60=$AR83,$D$60=$AR83),Schweine_Werte!$E83*0.5,IF(OR($C$60&gt;$AR83,$D$60&lt;$AR83),0,Schweine_Werte!$E83))</f>
        <v>0</v>
      </c>
      <c r="BC83" s="781">
        <f>IF(OR($C$12=$AR83,$D$12=$AR83),Schweine_Werte!$G83*0.5,IF(OR($C$12&gt;$AR83,$D$12&lt;$AR83),0,Schweine_Werte!$G83))</f>
        <v>0</v>
      </c>
      <c r="BD83" s="716">
        <f>IF(OR($C$24=$AR83,$D$24=$AR83),Schweine_Werte!$G83*0.5,IF(OR($C$24&gt;$AR83,$D$24&lt;$AR83),0,Schweine_Werte!$G83))</f>
        <v>0</v>
      </c>
      <c r="BE83" s="716">
        <f>IF(OR($C$36=$AR83,$D$36=$AR83),Schweine_Werte!$G83*0.5,IF(OR($C$36&gt;$AR83,$D$36&lt;$AR83),0,Schweine_Werte!$G83))</f>
        <v>0</v>
      </c>
      <c r="BF83" s="716">
        <f>IF(OR($C$48=$AR83,$D$48=$AR83),Schweine_Werte!$G83*0.5,IF(OR($C$48&gt;$AR83,$D$48&lt;$AR83),0,Schweine_Werte!$G83))</f>
        <v>0</v>
      </c>
      <c r="BG83" s="716">
        <f>IF(OR($C$60=$AR83,$D$60=$AR83),Schweine_Werte!$G83*0.5,IF(OR($C$60&gt;$AR83,$D$60&lt;$AR83),0,Schweine_Werte!$G83))</f>
        <v>0</v>
      </c>
      <c r="BH83" s="781">
        <f>IF(OR($C$12=$AR83,$D$12=$AR83),Schweine_Werte!$I83*0.5,IF(OR($C$12&gt;$AR83,$D$12&lt;$AR83),0,Schweine_Werte!$I83))</f>
        <v>0</v>
      </c>
      <c r="BI83" s="716">
        <f>IF(OR($C$24=$AR83,$D$24=$AR83),Schweine_Werte!$I83*0.5,IF(OR($C$24&gt;$AR83,$D$24&lt;$AR83),0,Schweine_Werte!$I83))</f>
        <v>0</v>
      </c>
      <c r="BJ83" s="716">
        <f>IF(OR($C$36=$AR83,$D$36=$AR83),Schweine_Werte!$I83*0.5,IF(OR($C$36&gt;$AR83,$D$36&lt;$AR83),0,Schweine_Werte!$I83))</f>
        <v>0</v>
      </c>
      <c r="BK83" s="716">
        <f>IF(OR($C$48=$AR83,$D$48=$AR83),Schweine_Werte!$I83*0.5,IF(OR($C$48&gt;$AR83,$D$48&lt;$AR83),0,Schweine_Werte!$I83))</f>
        <v>0</v>
      </c>
      <c r="BL83" s="716">
        <f>IF(OR($C$60=$AR83,$D$60=$AR83),Schweine_Werte!$I83*0.5,IF(OR($C$60&gt;$AR83,$D$60&lt;$AR83),0,Schweine_Werte!$I83))</f>
        <v>0</v>
      </c>
      <c r="BM83" s="781"/>
      <c r="BN83" s="716"/>
      <c r="BO83" s="716"/>
      <c r="BP83" s="716"/>
      <c r="BQ83" s="716"/>
      <c r="BR83" s="781">
        <f>IF(OR($C$74=$AR83,$D$74=$AR83),Schweine_Werte!$M83*0.5,IF(OR($C$74&gt;$AR83,$D$74&lt;$AR83),0,Schweine_Werte!$M83))</f>
        <v>0</v>
      </c>
      <c r="BS83" s="781">
        <f>IF(OR($C$83=$AR83,$D$83=$AR83),Schweine_Werte!$M83*0.5,IF(OR($C$83&gt;$AR83,$D$83&lt;$AR83),0,Schweine_Werte!$M83))</f>
        <v>0</v>
      </c>
      <c r="BT83" s="783">
        <f>IF(OR($C$92=$AR83,$D$92=$AR83),Schweine_Werte!$M83*0.5,IF(OR($C$92&gt;$AR83,$D$92&lt;$AR83),0,Schweine_Werte!$M83))</f>
        <v>0</v>
      </c>
      <c r="BU83" s="783">
        <f>IF(OR($C$101=$AR83,$D$101=$AR83),Schweine_Werte!$M83*0.5,IF(OR($C$101&gt;$AR83,$D$101&lt;$AR83),0,Schweine_Werte!$M83))</f>
        <v>0</v>
      </c>
      <c r="BV83" s="783">
        <f>IF(OR($C$110=$AR83,$D$110=$AR83),Schweine_Werte!$M83*0.5,IF(OR($C$110&gt;$AR83,$D$110&lt;$AR83),0,Schweine_Werte!$M83))</f>
        <v>0</v>
      </c>
      <c r="BW83" s="783">
        <f>IF(OR(8=$AR83,$E$127=$AR83),Schweine_Werte!$M83*0.5,IF(OR(8&gt;$AR83,$E$127&lt;$AR83),0,Schweine_Werte!$M83))</f>
        <v>1.1441569543001229</v>
      </c>
      <c r="BX83" s="783">
        <f>IF(OR(8=$AR83,$E$145=$AR83),Schweine_Werte!$M83*0.5,IF(OR(8&gt;$AR83,$E$145&lt;$AR83),0,Schweine_Werte!$M83))</f>
        <v>1.1441569543001229</v>
      </c>
      <c r="BY83" s="781">
        <f>IF(OR($C$74=$AR83,$D$74=$AR83),Schweine_Werte!$O83*0.5,IF(OR($C$74&gt;$AR83,$D$74&lt;$AR83),0,Schweine_Werte!$O83))</f>
        <v>0</v>
      </c>
      <c r="BZ83" s="781">
        <f>IF(OR($C$83=$AR83,$D$83=$AR83),Schweine_Werte!$O83*0.5,IF(OR($C$83&gt;$AR83,$D$83&lt;$AR83),0,Schweine_Werte!$O83))</f>
        <v>0</v>
      </c>
      <c r="CA83" s="783">
        <f>IF(OR($C$92=$AR83,$D$92=$AR83),Schweine_Werte!$O83*0.5,IF(OR($C$92&gt;$AR83,$D$92&lt;$AR83),0,Schweine_Werte!$O83))</f>
        <v>0</v>
      </c>
      <c r="CB83" s="783">
        <f>IF(OR($C$101=$AR83,$D$101=$AR83),Schweine_Werte!$O83*0.5,IF(OR($C$101&gt;$AR83,$D$101&lt;$AR83),0,Schweine_Werte!$O83))</f>
        <v>0</v>
      </c>
      <c r="CC83" s="783">
        <f>IF(OR($C$110=$AR83,$D$110=$AR83),Schweine_Werte!$O83*0.5,IF(OR($C$110&gt;$AR83,$D$110&lt;$AR83),0,Schweine_Werte!$O83))</f>
        <v>0</v>
      </c>
    </row>
    <row r="84" spans="1:81" x14ac:dyDescent="0.2">
      <c r="AR84" s="792">
        <v>88</v>
      </c>
      <c r="AS84" s="781">
        <f>IF(OR($C$12=$AR84,$D$12=$AR84),Schweine_Werte!$C84*0.5,IF(OR($C$12&gt;$AR84,$D$12&lt;$AR84),0,Schweine_Werte!$C84))</f>
        <v>0</v>
      </c>
      <c r="AT84" s="716">
        <f>IF(OR($C$24=$AR84,$D$24=$AR84),Schweine_Werte!$C84*0.5,IF(OR($C$24&gt;$AR84,$D$24&lt;$AR84),0,Schweine_Werte!$C84))</f>
        <v>0</v>
      </c>
      <c r="AU84" s="781">
        <f>IF(OR($C$36=$AR84,$D$36=$AR84),Schweine_Werte!$C84*0.5,IF(OR($C$36&gt;$AR84,$D$36&lt;$AR84),0,Schweine_Werte!$C84))</f>
        <v>0</v>
      </c>
      <c r="AV84" s="781">
        <f>IF(OR($C$48=$AR84,$D$48=$AR84),Schweine_Werte!$C84*0.5,IF(OR($C$48&gt;$AR84,$D$48&lt;$AR84),0,Schweine_Werte!$C84))</f>
        <v>0</v>
      </c>
      <c r="AW84" s="781">
        <f>IF(OR($C$60=$AR84,$D$60=$AR84),Schweine_Werte!$C84*0.5,IF(OR($C$60&gt;$AR84,$D$60&lt;$AR84),0,Schweine_Werte!$C84))</f>
        <v>0</v>
      </c>
      <c r="AX84" s="781">
        <f>IF(OR($C$12=$AR84,$D$12=$AR84),Schweine_Werte!$E84*0.5,IF(OR($C$12&gt;$AR84,$D$12&lt;$AR84),0,Schweine_Werte!$E84))</f>
        <v>0</v>
      </c>
      <c r="AY84" s="716">
        <f>IF(OR($C$24=$AR84,$D$24=$AR84),Schweine_Werte!$E84*0.5,IF(OR($C$24&gt;$AR84,$D$24&lt;$AR84),0,Schweine_Werte!$E84))</f>
        <v>0</v>
      </c>
      <c r="AZ84" s="716">
        <f>IF(OR($C$36=$AR84,$D$36=$AR84),Schweine_Werte!$E84*0.5,IF(OR($C$36&gt;$AR84,$D$36&lt;$AR84),0,Schweine_Werte!$E84))</f>
        <v>0</v>
      </c>
      <c r="BA84" s="716">
        <f>IF(OR($C$48=$AR84,$D$48=$AR84),Schweine_Werte!$E84*0.5,IF(OR($C$48&gt;$AR84,$D$48&lt;$AR84),0,Schweine_Werte!$E84))</f>
        <v>0</v>
      </c>
      <c r="BB84" s="716">
        <f>IF(OR($C$60=$AR84,$D$60=$AR84),Schweine_Werte!$E84*0.5,IF(OR($C$60&gt;$AR84,$D$60&lt;$AR84),0,Schweine_Werte!$E84))</f>
        <v>0</v>
      </c>
      <c r="BC84" s="781">
        <f>IF(OR($C$12=$AR84,$D$12=$AR84),Schweine_Werte!$G84*0.5,IF(OR($C$12&gt;$AR84,$D$12&lt;$AR84),0,Schweine_Werte!$G84))</f>
        <v>0</v>
      </c>
      <c r="BD84" s="716">
        <f>IF(OR($C$24=$AR84,$D$24=$AR84),Schweine_Werte!$G84*0.5,IF(OR($C$24&gt;$AR84,$D$24&lt;$AR84),0,Schweine_Werte!$G84))</f>
        <v>0</v>
      </c>
      <c r="BE84" s="716">
        <f>IF(OR($C$36=$AR84,$D$36=$AR84),Schweine_Werte!$G84*0.5,IF(OR($C$36&gt;$AR84,$D$36&lt;$AR84),0,Schweine_Werte!$G84))</f>
        <v>0</v>
      </c>
      <c r="BF84" s="716">
        <f>IF(OR($C$48=$AR84,$D$48=$AR84),Schweine_Werte!$G84*0.5,IF(OR($C$48&gt;$AR84,$D$48&lt;$AR84),0,Schweine_Werte!$G84))</f>
        <v>0</v>
      </c>
      <c r="BG84" s="716">
        <f>IF(OR($C$60=$AR84,$D$60=$AR84),Schweine_Werte!$G84*0.5,IF(OR($C$60&gt;$AR84,$D$60&lt;$AR84),0,Schweine_Werte!$G84))</f>
        <v>0</v>
      </c>
      <c r="BH84" s="781">
        <f>IF(OR($C$12=$AR84,$D$12=$AR84),Schweine_Werte!$I84*0.5,IF(OR($C$12&gt;$AR84,$D$12&lt;$AR84),0,Schweine_Werte!$I84))</f>
        <v>0</v>
      </c>
      <c r="BI84" s="716">
        <f>IF(OR($C$24=$AR84,$D$24=$AR84),Schweine_Werte!$I84*0.5,IF(OR($C$24&gt;$AR84,$D$24&lt;$AR84),0,Schweine_Werte!$I84))</f>
        <v>0</v>
      </c>
      <c r="BJ84" s="716">
        <f>IF(OR($C$36=$AR84,$D$36=$AR84),Schweine_Werte!$I84*0.5,IF(OR($C$36&gt;$AR84,$D$36&lt;$AR84),0,Schweine_Werte!$I84))</f>
        <v>0</v>
      </c>
      <c r="BK84" s="716">
        <f>IF(OR($C$48=$AR84,$D$48=$AR84),Schweine_Werte!$I84*0.5,IF(OR($C$48&gt;$AR84,$D$48&lt;$AR84),0,Schweine_Werte!$I84))</f>
        <v>0</v>
      </c>
      <c r="BL84" s="716">
        <f>IF(OR($C$60=$AR84,$D$60=$AR84),Schweine_Werte!$I84*0.5,IF(OR($C$60&gt;$AR84,$D$60&lt;$AR84),0,Schweine_Werte!$I84))</f>
        <v>0</v>
      </c>
      <c r="BM84" s="781"/>
      <c r="BN84" s="716"/>
      <c r="BO84" s="716"/>
      <c r="BP84" s="716"/>
      <c r="BQ84" s="716"/>
      <c r="BR84" s="781">
        <f>IF(OR($C$74=$AR84,$D$74=$AR84),Schweine_Werte!$M84*0.5,IF(OR($C$74&gt;$AR84,$D$74&lt;$AR84),0,Schweine_Werte!$M84))</f>
        <v>0</v>
      </c>
      <c r="BS84" s="781">
        <f>IF(OR($C$83=$AR84,$D$83=$AR84),Schweine_Werte!$M84*0.5,IF(OR($C$83&gt;$AR84,$D$83&lt;$AR84),0,Schweine_Werte!$M84))</f>
        <v>0</v>
      </c>
      <c r="BT84" s="783">
        <f>IF(OR($C$92=$AR84,$D$92=$AR84),Schweine_Werte!$M84*0.5,IF(OR($C$92&gt;$AR84,$D$92&lt;$AR84),0,Schweine_Werte!$M84))</f>
        <v>0</v>
      </c>
      <c r="BU84" s="783">
        <f>IF(OR($C$101=$AR84,$D$101=$AR84),Schweine_Werte!$M84*0.5,IF(OR($C$101&gt;$AR84,$D$101&lt;$AR84),0,Schweine_Werte!$M84))</f>
        <v>0</v>
      </c>
      <c r="BV84" s="783">
        <f>IF(OR($C$110=$AR84,$D$110=$AR84),Schweine_Werte!$M84*0.5,IF(OR($C$110&gt;$AR84,$D$110&lt;$AR84),0,Schweine_Werte!$M84))</f>
        <v>0</v>
      </c>
      <c r="BW84" s="783">
        <f>IF(OR(8=$AR84,$E$127=$AR84),Schweine_Werte!$M84*0.5,IF(OR(8&gt;$AR84,$E$127&lt;$AR84),0,Schweine_Werte!$M84))</f>
        <v>1.1500198289942443</v>
      </c>
      <c r="BX84" s="783">
        <f>IF(OR(8=$AR84,$E$145=$AR84),Schweine_Werte!$M84*0.5,IF(OR(8&gt;$AR84,$E$145&lt;$AR84),0,Schweine_Werte!$M84))</f>
        <v>1.1500198289942443</v>
      </c>
      <c r="BY84" s="781">
        <f>IF(OR($C$74=$AR84,$D$74=$AR84),Schweine_Werte!$O84*0.5,IF(OR($C$74&gt;$AR84,$D$74&lt;$AR84),0,Schweine_Werte!$O84))</f>
        <v>0</v>
      </c>
      <c r="BZ84" s="781">
        <f>IF(OR($C$83=$AR84,$D$83=$AR84),Schweine_Werte!$O84*0.5,IF(OR($C$83&gt;$AR84,$D$83&lt;$AR84),0,Schweine_Werte!$O84))</f>
        <v>0</v>
      </c>
      <c r="CA84" s="783">
        <f>IF(OR($C$92=$AR84,$D$92=$AR84),Schweine_Werte!$O84*0.5,IF(OR($C$92&gt;$AR84,$D$92&lt;$AR84),0,Schweine_Werte!$O84))</f>
        <v>0</v>
      </c>
      <c r="CB84" s="783">
        <f>IF(OR($C$101=$AR84,$D$101=$AR84),Schweine_Werte!$O84*0.5,IF(OR($C$101&gt;$AR84,$D$101&lt;$AR84),0,Schweine_Werte!$O84))</f>
        <v>0</v>
      </c>
      <c r="CC84" s="783">
        <f>IF(OR($C$110=$AR84,$D$110=$AR84),Schweine_Werte!$O84*0.5,IF(OR($C$110&gt;$AR84,$D$110&lt;$AR84),0,Schweine_Werte!$O84))</f>
        <v>0</v>
      </c>
    </row>
    <row r="85" spans="1:81" x14ac:dyDescent="0.2">
      <c r="AR85" s="792">
        <v>89</v>
      </c>
      <c r="AS85" s="781">
        <f>IF(OR($C$12=$AR85,$D$12=$AR85),Schweine_Werte!$C85*0.5,IF(OR($C$12&gt;$AR85,$D$12&lt;$AR85),0,Schweine_Werte!$C85))</f>
        <v>0</v>
      </c>
      <c r="AT85" s="716">
        <f>IF(OR($C$24=$AR85,$D$24=$AR85),Schweine_Werte!$C85*0.5,IF(OR($C$24&gt;$AR85,$D$24&lt;$AR85),0,Schweine_Werte!$C85))</f>
        <v>0</v>
      </c>
      <c r="AU85" s="781">
        <f>IF(OR($C$36=$AR85,$D$36=$AR85),Schweine_Werte!$C85*0.5,IF(OR($C$36&gt;$AR85,$D$36&lt;$AR85),0,Schweine_Werte!$C85))</f>
        <v>0</v>
      </c>
      <c r="AV85" s="781">
        <f>IF(OR($C$48=$AR85,$D$48=$AR85),Schweine_Werte!$C85*0.5,IF(OR($C$48&gt;$AR85,$D$48&lt;$AR85),0,Schweine_Werte!$C85))</f>
        <v>0</v>
      </c>
      <c r="AW85" s="781">
        <f>IF(OR($C$60=$AR85,$D$60=$AR85),Schweine_Werte!$C85*0.5,IF(OR($C$60&gt;$AR85,$D$60&lt;$AR85),0,Schweine_Werte!$C85))</f>
        <v>0</v>
      </c>
      <c r="AX85" s="781">
        <f>IF(OR($C$12=$AR85,$D$12=$AR85),Schweine_Werte!$E85*0.5,IF(OR($C$12&gt;$AR85,$D$12&lt;$AR85),0,Schweine_Werte!$E85))</f>
        <v>0</v>
      </c>
      <c r="AY85" s="716">
        <f>IF(OR($C$24=$AR85,$D$24=$AR85),Schweine_Werte!$E85*0.5,IF(OR($C$24&gt;$AR85,$D$24&lt;$AR85),0,Schweine_Werte!$E85))</f>
        <v>0</v>
      </c>
      <c r="AZ85" s="716">
        <f>IF(OR($C$36=$AR85,$D$36=$AR85),Schweine_Werte!$E85*0.5,IF(OR($C$36&gt;$AR85,$D$36&lt;$AR85),0,Schweine_Werte!$E85))</f>
        <v>0</v>
      </c>
      <c r="BA85" s="716">
        <f>IF(OR($C$48=$AR85,$D$48=$AR85),Schweine_Werte!$E85*0.5,IF(OR($C$48&gt;$AR85,$D$48&lt;$AR85),0,Schweine_Werte!$E85))</f>
        <v>0</v>
      </c>
      <c r="BB85" s="716">
        <f>IF(OR($C$60=$AR85,$D$60=$AR85),Schweine_Werte!$E85*0.5,IF(OR($C$60&gt;$AR85,$D$60&lt;$AR85),0,Schweine_Werte!$E85))</f>
        <v>0</v>
      </c>
      <c r="BC85" s="781">
        <f>IF(OR($C$12=$AR85,$D$12=$AR85),Schweine_Werte!$G85*0.5,IF(OR($C$12&gt;$AR85,$D$12&lt;$AR85),0,Schweine_Werte!$G85))</f>
        <v>0</v>
      </c>
      <c r="BD85" s="716">
        <f>IF(OR($C$24=$AR85,$D$24=$AR85),Schweine_Werte!$G85*0.5,IF(OR($C$24&gt;$AR85,$D$24&lt;$AR85),0,Schweine_Werte!$G85))</f>
        <v>0</v>
      </c>
      <c r="BE85" s="716">
        <f>IF(OR($C$36=$AR85,$D$36=$AR85),Schweine_Werte!$G85*0.5,IF(OR($C$36&gt;$AR85,$D$36&lt;$AR85),0,Schweine_Werte!$G85))</f>
        <v>0</v>
      </c>
      <c r="BF85" s="716">
        <f>IF(OR($C$48=$AR85,$D$48=$AR85),Schweine_Werte!$G85*0.5,IF(OR($C$48&gt;$AR85,$D$48&lt;$AR85),0,Schweine_Werte!$G85))</f>
        <v>0</v>
      </c>
      <c r="BG85" s="716">
        <f>IF(OR($C$60=$AR85,$D$60=$AR85),Schweine_Werte!$G85*0.5,IF(OR($C$60&gt;$AR85,$D$60&lt;$AR85),0,Schweine_Werte!$G85))</f>
        <v>0</v>
      </c>
      <c r="BH85" s="781">
        <f>IF(OR($C$12=$AR85,$D$12=$AR85),Schweine_Werte!$I85*0.5,IF(OR($C$12&gt;$AR85,$D$12&lt;$AR85),0,Schweine_Werte!$I85))</f>
        <v>0</v>
      </c>
      <c r="BI85" s="716">
        <f>IF(OR($C$24=$AR85,$D$24=$AR85),Schweine_Werte!$I85*0.5,IF(OR($C$24&gt;$AR85,$D$24&lt;$AR85),0,Schweine_Werte!$I85))</f>
        <v>0</v>
      </c>
      <c r="BJ85" s="716">
        <f>IF(OR($C$36=$AR85,$D$36=$AR85),Schweine_Werte!$I85*0.5,IF(OR($C$36&gt;$AR85,$D$36&lt;$AR85),0,Schweine_Werte!$I85))</f>
        <v>0</v>
      </c>
      <c r="BK85" s="716">
        <f>IF(OR($C$48=$AR85,$D$48=$AR85),Schweine_Werte!$I85*0.5,IF(OR($C$48&gt;$AR85,$D$48&lt;$AR85),0,Schweine_Werte!$I85))</f>
        <v>0</v>
      </c>
      <c r="BL85" s="716">
        <f>IF(OR($C$60=$AR85,$D$60=$AR85),Schweine_Werte!$I85*0.5,IF(OR($C$60&gt;$AR85,$D$60&lt;$AR85),0,Schweine_Werte!$I85))</f>
        <v>0</v>
      </c>
      <c r="BM85" s="781"/>
      <c r="BN85" s="716"/>
      <c r="BO85" s="716"/>
      <c r="BP85" s="716"/>
      <c r="BQ85" s="716"/>
      <c r="BR85" s="781">
        <f>IF(OR($C$74=$AR85,$D$74=$AR85),Schweine_Werte!$M85*0.5,IF(OR($C$74&gt;$AR85,$D$74&lt;$AR85),0,Schweine_Werte!$M85))</f>
        <v>0</v>
      </c>
      <c r="BS85" s="781">
        <f>IF(OR($C$83=$AR85,$D$83=$AR85),Schweine_Werte!$M85*0.5,IF(OR($C$83&gt;$AR85,$D$83&lt;$AR85),0,Schweine_Werte!$M85))</f>
        <v>0</v>
      </c>
      <c r="BT85" s="783">
        <f>IF(OR($C$92=$AR85,$D$92=$AR85),Schweine_Werte!$M85*0.5,IF(OR($C$92&gt;$AR85,$D$92&lt;$AR85),0,Schweine_Werte!$M85))</f>
        <v>0</v>
      </c>
      <c r="BU85" s="783">
        <f>IF(OR($C$101=$AR85,$D$101=$AR85),Schweine_Werte!$M85*0.5,IF(OR($C$101&gt;$AR85,$D$101&lt;$AR85),0,Schweine_Werte!$M85))</f>
        <v>0</v>
      </c>
      <c r="BV85" s="783">
        <f>IF(OR($C$110=$AR85,$D$110=$AR85),Schweine_Werte!$M85*0.5,IF(OR($C$110&gt;$AR85,$D$110&lt;$AR85),0,Schweine_Werte!$M85))</f>
        <v>0</v>
      </c>
      <c r="BW85" s="783">
        <f>IF(OR(8=$AR85,$E$127=$AR85),Schweine_Werte!$M85*0.5,IF(OR(8&gt;$AR85,$E$127&lt;$AR85),0,Schweine_Werte!$M85))</f>
        <v>1.1563381827018655</v>
      </c>
      <c r="BX85" s="783">
        <f>IF(OR(8=$AR85,$E$145=$AR85),Schweine_Werte!$M85*0.5,IF(OR(8&gt;$AR85,$E$145&lt;$AR85),0,Schweine_Werte!$M85))</f>
        <v>1.1563381827018655</v>
      </c>
      <c r="BY85" s="781">
        <f>IF(OR($C$74=$AR85,$D$74=$AR85),Schweine_Werte!$O85*0.5,IF(OR($C$74&gt;$AR85,$D$74&lt;$AR85),0,Schweine_Werte!$O85))</f>
        <v>0</v>
      </c>
      <c r="BZ85" s="781">
        <f>IF(OR($C$83=$AR85,$D$83=$AR85),Schweine_Werte!$O85*0.5,IF(OR($C$83&gt;$AR85,$D$83&lt;$AR85),0,Schweine_Werte!$O85))</f>
        <v>0</v>
      </c>
      <c r="CA85" s="783">
        <f>IF(OR($C$92=$AR85,$D$92=$AR85),Schweine_Werte!$O85*0.5,IF(OR($C$92&gt;$AR85,$D$92&lt;$AR85),0,Schweine_Werte!$O85))</f>
        <v>0</v>
      </c>
      <c r="CB85" s="783">
        <f>IF(OR($C$101=$AR85,$D$101=$AR85),Schweine_Werte!$O85*0.5,IF(OR($C$101&gt;$AR85,$D$101&lt;$AR85),0,Schweine_Werte!$O85))</f>
        <v>0</v>
      </c>
      <c r="CC85" s="783">
        <f>IF(OR($C$110=$AR85,$D$110=$AR85),Schweine_Werte!$O85*0.5,IF(OR($C$110&gt;$AR85,$D$110&lt;$AR85),0,Schweine_Werte!$O85))</f>
        <v>0</v>
      </c>
    </row>
    <row r="86" spans="1:81" x14ac:dyDescent="0.2">
      <c r="Q86" s="1587" t="s">
        <v>7768</v>
      </c>
      <c r="R86" s="1587"/>
      <c r="S86" s="1587"/>
      <c r="T86" s="1587" t="s">
        <v>7769</v>
      </c>
      <c r="U86" s="1587"/>
      <c r="V86" s="1587"/>
      <c r="W86" s="975" t="s">
        <v>7662</v>
      </c>
      <c r="X86" s="975"/>
      <c r="Y86" s="975"/>
      <c r="AR86" s="792">
        <v>90</v>
      </c>
      <c r="AS86" s="781">
        <f>IF(OR($C$12=$AR86,$D$12=$AR86),Schweine_Werte!$C86*0.5,IF(OR($C$12&gt;$AR86,$D$12&lt;$AR86),0,Schweine_Werte!$C86))</f>
        <v>0</v>
      </c>
      <c r="AT86" s="716">
        <f>IF(OR($C$24=$AR86,$D$24=$AR86),Schweine_Werte!$C86*0.5,IF(OR($C$24&gt;$AR86,$D$24&lt;$AR86),0,Schweine_Werte!$C86))</f>
        <v>0</v>
      </c>
      <c r="AU86" s="781">
        <f>IF(OR($C$36=$AR86,$D$36=$AR86),Schweine_Werte!$C86*0.5,IF(OR($C$36&gt;$AR86,$D$36&lt;$AR86),0,Schweine_Werte!$C86))</f>
        <v>0</v>
      </c>
      <c r="AV86" s="781">
        <f>IF(OR($C$48=$AR86,$D$48=$AR86),Schweine_Werte!$C86*0.5,IF(OR($C$48&gt;$AR86,$D$48&lt;$AR86),0,Schweine_Werte!$C86))</f>
        <v>0</v>
      </c>
      <c r="AW86" s="781">
        <f>IF(OR($C$60=$AR86,$D$60=$AR86),Schweine_Werte!$C86*0.5,IF(OR($C$60&gt;$AR86,$D$60&lt;$AR86),0,Schweine_Werte!$C86))</f>
        <v>0</v>
      </c>
      <c r="AX86" s="781">
        <f>IF(OR($C$12=$AR86,$D$12=$AR86),Schweine_Werte!$E86*0.5,IF(OR($C$12&gt;$AR86,$D$12&lt;$AR86),0,Schweine_Werte!$E86))</f>
        <v>0</v>
      </c>
      <c r="AY86" s="716">
        <f>IF(OR($C$24=$AR86,$D$24=$AR86),Schweine_Werte!$E86*0.5,IF(OR($C$24&gt;$AR86,$D$24&lt;$AR86),0,Schweine_Werte!$E86))</f>
        <v>0</v>
      </c>
      <c r="AZ86" s="716">
        <f>IF(OR($C$36=$AR86,$D$36=$AR86),Schweine_Werte!$E86*0.5,IF(OR($C$36&gt;$AR86,$D$36&lt;$AR86),0,Schweine_Werte!$E86))</f>
        <v>0</v>
      </c>
      <c r="BA86" s="716">
        <f>IF(OR($C$48=$AR86,$D$48=$AR86),Schweine_Werte!$E86*0.5,IF(OR($C$48&gt;$AR86,$D$48&lt;$AR86),0,Schweine_Werte!$E86))</f>
        <v>0</v>
      </c>
      <c r="BB86" s="716">
        <f>IF(OR($C$60=$AR86,$D$60=$AR86),Schweine_Werte!$E86*0.5,IF(OR($C$60&gt;$AR86,$D$60&lt;$AR86),0,Schweine_Werte!$E86))</f>
        <v>0</v>
      </c>
      <c r="BC86" s="781">
        <f>IF(OR($C$12=$AR86,$D$12=$AR86),Schweine_Werte!$G86*0.5,IF(OR($C$12&gt;$AR86,$D$12&lt;$AR86),0,Schweine_Werte!$G86))</f>
        <v>0</v>
      </c>
      <c r="BD86" s="716">
        <f>IF(OR($C$24=$AR86,$D$24=$AR86),Schweine_Werte!$G86*0.5,IF(OR($C$24&gt;$AR86,$D$24&lt;$AR86),0,Schweine_Werte!$G86))</f>
        <v>0</v>
      </c>
      <c r="BE86" s="716">
        <f>IF(OR($C$36=$AR86,$D$36=$AR86),Schweine_Werte!$G86*0.5,IF(OR($C$36&gt;$AR86,$D$36&lt;$AR86),0,Schweine_Werte!$G86))</f>
        <v>0</v>
      </c>
      <c r="BF86" s="716">
        <f>IF(OR($C$48=$AR86,$D$48=$AR86),Schweine_Werte!$G86*0.5,IF(OR($C$48&gt;$AR86,$D$48&lt;$AR86),0,Schweine_Werte!$G86))</f>
        <v>0</v>
      </c>
      <c r="BG86" s="716">
        <f>IF(OR($C$60=$AR86,$D$60=$AR86),Schweine_Werte!$G86*0.5,IF(OR($C$60&gt;$AR86,$D$60&lt;$AR86),0,Schweine_Werte!$G86))</f>
        <v>0</v>
      </c>
      <c r="BH86" s="781">
        <f>IF(OR($C$12=$AR86,$D$12=$AR86),Schweine_Werte!$I86*0.5,IF(OR($C$12&gt;$AR86,$D$12&lt;$AR86),0,Schweine_Werte!$I86))</f>
        <v>0</v>
      </c>
      <c r="BI86" s="716">
        <f>IF(OR($C$24=$AR86,$D$24=$AR86),Schweine_Werte!$I86*0.5,IF(OR($C$24&gt;$AR86,$D$24&lt;$AR86),0,Schweine_Werte!$I86))</f>
        <v>0</v>
      </c>
      <c r="BJ86" s="716">
        <f>IF(OR($C$36=$AR86,$D$36=$AR86),Schweine_Werte!$I86*0.5,IF(OR($C$36&gt;$AR86,$D$36&lt;$AR86),0,Schweine_Werte!$I86))</f>
        <v>0</v>
      </c>
      <c r="BK86" s="716">
        <f>IF(OR($C$48=$AR86,$D$48=$AR86),Schweine_Werte!$I86*0.5,IF(OR($C$48&gt;$AR86,$D$48&lt;$AR86),0,Schweine_Werte!$I86))</f>
        <v>0</v>
      </c>
      <c r="BL86" s="716">
        <f>IF(OR($C$60=$AR86,$D$60=$AR86),Schweine_Werte!$I86*0.5,IF(OR($C$60&gt;$AR86,$D$60&lt;$AR86),0,Schweine_Werte!$I86))</f>
        <v>0</v>
      </c>
      <c r="BM86" s="781"/>
      <c r="BN86" s="716"/>
      <c r="BO86" s="716"/>
      <c r="BP86" s="716"/>
      <c r="BQ86" s="716"/>
      <c r="BR86" s="781">
        <f>IF(OR($C$74=$AR86,$D$74=$AR86),Schweine_Werte!$M86*0.5,IF(OR($C$74&gt;$AR86,$D$74&lt;$AR86),0,Schweine_Werte!$M86))</f>
        <v>0</v>
      </c>
      <c r="BS86" s="781">
        <f>IF(OR($C$83=$AR86,$D$83=$AR86),Schweine_Werte!$M86*0.5,IF(OR($C$83&gt;$AR86,$D$83&lt;$AR86),0,Schweine_Werte!$M86))</f>
        <v>0</v>
      </c>
      <c r="BT86" s="783">
        <f>IF(OR($C$92=$AR86,$D$92=$AR86),Schweine_Werte!$M86*0.5,IF(OR($C$92&gt;$AR86,$D$92&lt;$AR86),0,Schweine_Werte!$M86))</f>
        <v>0</v>
      </c>
      <c r="BU86" s="783">
        <f>IF(OR($C$101=$AR86,$D$101=$AR86),Schweine_Werte!$M86*0.5,IF(OR($C$101&gt;$AR86,$D$101&lt;$AR86),0,Schweine_Werte!$M86))</f>
        <v>0</v>
      </c>
      <c r="BV86" s="783">
        <f>IF(OR($C$110=$AR86,$D$110=$AR86),Schweine_Werte!$M86*0.5,IF(OR($C$110&gt;$AR86,$D$110&lt;$AR86),0,Schweine_Werte!$M86))</f>
        <v>0</v>
      </c>
      <c r="BW86" s="783">
        <f>IF(OR(8=$AR86,$E$127=$AR86),Schweine_Werte!$M86*0.5,IF(OR(8&gt;$AR86,$E$127&lt;$AR86),0,Schweine_Werte!$M86))</f>
        <v>1.1631258275786267</v>
      </c>
      <c r="BX86" s="783">
        <f>IF(OR(8=$AR86,$E$145=$AR86),Schweine_Werte!$M86*0.5,IF(OR(8&gt;$AR86,$E$145&lt;$AR86),0,Schweine_Werte!$M86))</f>
        <v>1.1631258275786267</v>
      </c>
      <c r="BY86" s="781">
        <f>IF(OR($C$74=$AR86,$D$74=$AR86),Schweine_Werte!$O86*0.5,IF(OR($C$74&gt;$AR86,$D$74&lt;$AR86),0,Schweine_Werte!$O86))</f>
        <v>0</v>
      </c>
      <c r="BZ86" s="781">
        <f>IF(OR($C$83=$AR86,$D$83=$AR86),Schweine_Werte!$O86*0.5,IF(OR($C$83&gt;$AR86,$D$83&lt;$AR86),0,Schweine_Werte!$O86))</f>
        <v>0</v>
      </c>
      <c r="CA86" s="783">
        <f>IF(OR($C$92=$AR86,$D$92=$AR86),Schweine_Werte!$O86*0.5,IF(OR($C$92&gt;$AR86,$D$92&lt;$AR86),0,Schweine_Werte!$O86))</f>
        <v>0</v>
      </c>
      <c r="CB86" s="783">
        <f>IF(OR($C$101=$AR86,$D$101=$AR86),Schweine_Werte!$O86*0.5,IF(OR($C$101&gt;$AR86,$D$101&lt;$AR86),0,Schweine_Werte!$O86))</f>
        <v>0</v>
      </c>
      <c r="CC86" s="783">
        <f>IF(OR($C$110=$AR86,$D$110=$AR86),Schweine_Werte!$O86*0.5,IF(OR($C$110&gt;$AR86,$D$110&lt;$AR86),0,Schweine_Werte!$O86))</f>
        <v>0</v>
      </c>
    </row>
    <row r="87" spans="1:81" x14ac:dyDescent="0.2">
      <c r="B87" t="s">
        <v>7712</v>
      </c>
      <c r="E87" t="s">
        <v>7688</v>
      </c>
      <c r="F87" t="s">
        <v>196</v>
      </c>
      <c r="G87" t="s">
        <v>7689</v>
      </c>
      <c r="H87" t="s">
        <v>7690</v>
      </c>
      <c r="I87" t="s">
        <v>7691</v>
      </c>
      <c r="J87" t="s">
        <v>589</v>
      </c>
      <c r="K87" t="s">
        <v>7692</v>
      </c>
      <c r="L87" t="s">
        <v>7693</v>
      </c>
      <c r="M87" t="s">
        <v>7694</v>
      </c>
      <c r="N87" t="s">
        <v>7695</v>
      </c>
      <c r="O87" t="s">
        <v>7696</v>
      </c>
      <c r="P87" t="s">
        <v>7697</v>
      </c>
      <c r="Q87" t="s">
        <v>39</v>
      </c>
      <c r="R87" t="s">
        <v>40</v>
      </c>
      <c r="S87" t="s">
        <v>41</v>
      </c>
      <c r="T87" t="s">
        <v>39</v>
      </c>
      <c r="U87" t="s">
        <v>40</v>
      </c>
      <c r="V87" t="s">
        <v>41</v>
      </c>
      <c r="W87" t="s">
        <v>7675</v>
      </c>
      <c r="X87" t="s">
        <v>7676</v>
      </c>
      <c r="Y87" t="s">
        <v>7677</v>
      </c>
      <c r="AR87" s="792">
        <v>91</v>
      </c>
      <c r="AS87" s="781">
        <f>IF(OR($C$12=$AR87,$D$12=$AR87),Schweine_Werte!$C87*0.5,IF(OR($C$12&gt;$AR87,$D$12&lt;$AR87),0,Schweine_Werte!$C87))</f>
        <v>0</v>
      </c>
      <c r="AT87" s="716">
        <f>IF(OR($C$24=$AR87,$D$24=$AR87),Schweine_Werte!$C87*0.5,IF(OR($C$24&gt;$AR87,$D$24&lt;$AR87),0,Schweine_Werte!$C87))</f>
        <v>0</v>
      </c>
      <c r="AU87" s="781">
        <f>IF(OR($C$36=$AR87,$D$36=$AR87),Schweine_Werte!$C87*0.5,IF(OR($C$36&gt;$AR87,$D$36&lt;$AR87),0,Schweine_Werte!$C87))</f>
        <v>0</v>
      </c>
      <c r="AV87" s="781">
        <f>IF(OR($C$48=$AR87,$D$48=$AR87),Schweine_Werte!$C87*0.5,IF(OR($C$48&gt;$AR87,$D$48&lt;$AR87),0,Schweine_Werte!$C87))</f>
        <v>0</v>
      </c>
      <c r="AW87" s="781">
        <f>IF(OR($C$60=$AR87,$D$60=$AR87),Schweine_Werte!$C87*0.5,IF(OR($C$60&gt;$AR87,$D$60&lt;$AR87),0,Schweine_Werte!$C87))</f>
        <v>0</v>
      </c>
      <c r="AX87" s="781">
        <f>IF(OR($C$12=$AR87,$D$12=$AR87),Schweine_Werte!$E87*0.5,IF(OR($C$12&gt;$AR87,$D$12&lt;$AR87),0,Schweine_Werte!$E87))</f>
        <v>0</v>
      </c>
      <c r="AY87" s="716">
        <f>IF(OR($C$24=$AR87,$D$24=$AR87),Schweine_Werte!$E87*0.5,IF(OR($C$24&gt;$AR87,$D$24&lt;$AR87),0,Schweine_Werte!$E87))</f>
        <v>0</v>
      </c>
      <c r="AZ87" s="716">
        <f>IF(OR($C$36=$AR87,$D$36=$AR87),Schweine_Werte!$E87*0.5,IF(OR($C$36&gt;$AR87,$D$36&lt;$AR87),0,Schweine_Werte!$E87))</f>
        <v>0</v>
      </c>
      <c r="BA87" s="716">
        <f>IF(OR($C$48=$AR87,$D$48=$AR87),Schweine_Werte!$E87*0.5,IF(OR($C$48&gt;$AR87,$D$48&lt;$AR87),0,Schweine_Werte!$E87))</f>
        <v>0</v>
      </c>
      <c r="BB87" s="716">
        <f>IF(OR($C$60=$AR87,$D$60=$AR87),Schweine_Werte!$E87*0.5,IF(OR($C$60&gt;$AR87,$D$60&lt;$AR87),0,Schweine_Werte!$E87))</f>
        <v>0</v>
      </c>
      <c r="BC87" s="781">
        <f>IF(OR($C$12=$AR87,$D$12=$AR87),Schweine_Werte!$G87*0.5,IF(OR($C$12&gt;$AR87,$D$12&lt;$AR87),0,Schweine_Werte!$G87))</f>
        <v>0</v>
      </c>
      <c r="BD87" s="716">
        <f>IF(OR($C$24=$AR87,$D$24=$AR87),Schweine_Werte!$G87*0.5,IF(OR($C$24&gt;$AR87,$D$24&lt;$AR87),0,Schweine_Werte!$G87))</f>
        <v>0</v>
      </c>
      <c r="BE87" s="716">
        <f>IF(OR($C$36=$AR87,$D$36=$AR87),Schweine_Werte!$G87*0.5,IF(OR($C$36&gt;$AR87,$D$36&lt;$AR87),0,Schweine_Werte!$G87))</f>
        <v>0</v>
      </c>
      <c r="BF87" s="716">
        <f>IF(OR($C$48=$AR87,$D$48=$AR87),Schweine_Werte!$G87*0.5,IF(OR($C$48&gt;$AR87,$D$48&lt;$AR87),0,Schweine_Werte!$G87))</f>
        <v>0</v>
      </c>
      <c r="BG87" s="716">
        <f>IF(OR($C$60=$AR87,$D$60=$AR87),Schweine_Werte!$G87*0.5,IF(OR($C$60&gt;$AR87,$D$60&lt;$AR87),0,Schweine_Werte!$G87))</f>
        <v>0</v>
      </c>
      <c r="BH87" s="781">
        <f>IF(OR($C$12=$AR87,$D$12=$AR87),Schweine_Werte!$I87*0.5,IF(OR($C$12&gt;$AR87,$D$12&lt;$AR87),0,Schweine_Werte!$I87))</f>
        <v>0</v>
      </c>
      <c r="BI87" s="716">
        <f>IF(OR($C$24=$AR87,$D$24=$AR87),Schweine_Werte!$I87*0.5,IF(OR($C$24&gt;$AR87,$D$24&lt;$AR87),0,Schweine_Werte!$I87))</f>
        <v>0</v>
      </c>
      <c r="BJ87" s="716">
        <f>IF(OR($C$36=$AR87,$D$36=$AR87),Schweine_Werte!$I87*0.5,IF(OR($C$36&gt;$AR87,$D$36&lt;$AR87),0,Schweine_Werte!$I87))</f>
        <v>0</v>
      </c>
      <c r="BK87" s="716">
        <f>IF(OR($C$48=$AR87,$D$48=$AR87),Schweine_Werte!$I87*0.5,IF(OR($C$48&gt;$AR87,$D$48&lt;$AR87),0,Schweine_Werte!$I87))</f>
        <v>0</v>
      </c>
      <c r="BL87" s="716">
        <f>IF(OR($C$60=$AR87,$D$60=$AR87),Schweine_Werte!$I87*0.5,IF(OR($C$60&gt;$AR87,$D$60&lt;$AR87),0,Schweine_Werte!$I87))</f>
        <v>0</v>
      </c>
      <c r="BM87" s="781"/>
      <c r="BN87" s="716"/>
      <c r="BO87" s="716"/>
      <c r="BP87" s="716"/>
      <c r="BQ87" s="716"/>
      <c r="BR87" s="781">
        <f>IF(OR($C$74=$AR87,$D$74=$AR87),Schweine_Werte!$M87*0.5,IF(OR($C$74&gt;$AR87,$D$74&lt;$AR87),0,Schweine_Werte!$M87))</f>
        <v>0</v>
      </c>
      <c r="BS87" s="781">
        <f>IF(OR($C$83=$AR87,$D$83=$AR87),Schweine_Werte!$M87*0.5,IF(OR($C$83&gt;$AR87,$D$83&lt;$AR87),0,Schweine_Werte!$M87))</f>
        <v>0</v>
      </c>
      <c r="BT87" s="783">
        <f>IF(OR($C$92=$AR87,$D$92=$AR87),Schweine_Werte!$M87*0.5,IF(OR($C$92&gt;$AR87,$D$92&lt;$AR87),0,Schweine_Werte!$M87))</f>
        <v>0</v>
      </c>
      <c r="BU87" s="783">
        <f>IF(OR($C$101=$AR87,$D$101=$AR87),Schweine_Werte!$M87*0.5,IF(OR($C$101&gt;$AR87,$D$101&lt;$AR87),0,Schweine_Werte!$M87))</f>
        <v>0</v>
      </c>
      <c r="BV87" s="783">
        <f>IF(OR($C$110=$AR87,$D$110=$AR87),Schweine_Werte!$M87*0.5,IF(OR($C$110&gt;$AR87,$D$110&lt;$AR87),0,Schweine_Werte!$M87))</f>
        <v>0</v>
      </c>
      <c r="BW87" s="783">
        <f>IF(OR(8=$AR87,$E$127=$AR87),Schweine_Werte!$M87*0.5,IF(OR(8&gt;$AR87,$E$127&lt;$AR87),0,Schweine_Werte!$M87))</f>
        <v>1.1703978441976977</v>
      </c>
      <c r="BX87" s="783">
        <f>IF(OR(8=$AR87,$E$145=$AR87),Schweine_Werte!$M87*0.5,IF(OR(8&gt;$AR87,$E$145&lt;$AR87),0,Schweine_Werte!$M87))</f>
        <v>1.1703978441976977</v>
      </c>
      <c r="BY87" s="781">
        <f>IF(OR($C$74=$AR87,$D$74=$AR87),Schweine_Werte!$O87*0.5,IF(OR($C$74&gt;$AR87,$D$74&lt;$AR87),0,Schweine_Werte!$O87))</f>
        <v>0</v>
      </c>
      <c r="BZ87" s="781">
        <f>IF(OR($C$83=$AR87,$D$83=$AR87),Schweine_Werte!$O87*0.5,IF(OR($C$83&gt;$AR87,$D$83&lt;$AR87),0,Schweine_Werte!$O87))</f>
        <v>0</v>
      </c>
      <c r="CA87" s="783">
        <f>IF(OR($C$92=$AR87,$D$92=$AR87),Schweine_Werte!$O87*0.5,IF(OR($C$92&gt;$AR87,$D$92&lt;$AR87),0,Schweine_Werte!$O87))</f>
        <v>0</v>
      </c>
      <c r="CB87" s="783">
        <f>IF(OR($C$101=$AR87,$D$101=$AR87),Schweine_Werte!$O87*0.5,IF(OR($C$101&gt;$AR87,$D$101&lt;$AR87),0,Schweine_Werte!$O87))</f>
        <v>0</v>
      </c>
      <c r="CC87" s="783">
        <f>IF(OR($C$110=$AR87,$D$110=$AR87),Schweine_Werte!$O87*0.5,IF(OR($C$110&gt;$AR87,$D$110&lt;$AR87),0,Schweine_Werte!$O87))</f>
        <v>0</v>
      </c>
    </row>
    <row r="88" spans="1:81" x14ac:dyDescent="0.2">
      <c r="B88">
        <v>450</v>
      </c>
      <c r="D88" s="716"/>
      <c r="E88" t="e">
        <f>($D92-$C92)*1000/SUM($BT$4:$BT$31)</f>
        <v>#VALUE!</v>
      </c>
      <c r="F88" s="716" t="e">
        <f>SUMPRODUCT($BT$4:$BT$31,Schweine_Werte!$V$4:$V$31)/SUM($BT$4:$BT$31)</f>
        <v>#DIV/0!</v>
      </c>
      <c r="G88" s="716" t="e">
        <f>IF($B92=$A$8,SUMPRODUCT($BT$4:$BT$31,Schweine_Werte!HE$4:HE$31)/SUM($BT$4:$BT$31),IF($B92=$A$7,SUMPRODUCT($BT$4:$BT$31,Schweine_Werte!GQ$4:GQ$31)/SUM($BT$4:$BT$31),IF($B92=$A$6,SUMPRODUCT($BT$4:$BT$31,Schweine_Werte!GC$4:GC$31)/SUM($BT$4:$BT$31),SUMPRODUCT($BT$4:$BT$31,Schweine_Werte!FO$4:FO$31)/SUM($BT$4:$BT$31))))</f>
        <v>#DIV/0!</v>
      </c>
      <c r="H88" s="716" t="e">
        <f>IF($B92=$A$8,SUMPRODUCT($BT$4:$BT$31,Schweine_Werte!HF$4:HF$31)/SUM($BT$4:$BT$31),IF($B92=$A$7,SUMPRODUCT($BT$4:$BT$31,Schweine_Werte!GR$4:GR$31)/SUM($BT$4:$BT$31),IF($B92=$A$6,SUMPRODUCT($BT$4:$BT$31,Schweine_Werte!GD$4:GD$31)/SUM($BT$4:$BT$31),SUMPRODUCT($BT$4:$BT$31,Schweine_Werte!FP$4:FP$31)/SUM($BT$4:$BT$31))))</f>
        <v>#DIV/0!</v>
      </c>
      <c r="I88" s="716" t="e">
        <f>IF($B92=$A$8,SUMPRODUCT($BT$4:$BT$31,Schweine_Werte!HG$4:HG$31)/SUM($BT$4:$BT$31),IF($B92=$A$7,SUMPRODUCT($BT$4:$BT$31,Schweine_Werte!GS$4:GS$31)/SUM($BT$4:$BT$31),IF($B92=$A$6,SUMPRODUCT($BT$4:$BT$31,Schweine_Werte!GE$4:GE$31)/SUM($BT$4:$BT$31),SUMPRODUCT($BT$4:$BT$31,Schweine_Werte!FQ$4:FQ$31)/SUM($BT$4:$BT$31))))</f>
        <v>#DIV/0!</v>
      </c>
      <c r="J88" s="716" t="e">
        <f>SUMPRODUCT($BT$4:$BT$31,Schweine_Werte!$AD$4:$AD$31)/SUM($BT$4:$BT$31)</f>
        <v>#DIV/0!</v>
      </c>
      <c r="K88" s="716" t="e">
        <f>SUMPRODUCT($BT$4:$BT$31,Schweine_Werte!$AL$4:$AL$31)/SUM($BT$4:$BT$31)</f>
        <v>#DIV/0!</v>
      </c>
      <c r="L88" s="716" t="e">
        <f>T88*$F88*365/1000+$J88-$K88</f>
        <v>#DIV/0!</v>
      </c>
      <c r="M88" s="716" t="e">
        <f>U88*$F88*365/1000+$J88-$K88/2</f>
        <v>#DIV/0!</v>
      </c>
      <c r="N88" s="716" t="e">
        <f>V88*$F88*365/1000+$J88</f>
        <v>#DIV/0!</v>
      </c>
      <c r="O88" s="716">
        <f>IF($C92&lt;28,SUM($BT$4:$BT$23)+IF($D92&gt;28,$BT$24*0.5,$BT$24),0)</f>
        <v>0</v>
      </c>
      <c r="P88" s="716">
        <f>IF($D92&gt;28,SUM($BT$25:$BT$31)+IF($C92&lt;28,$BT$24*0.5,$BT$24),0)</f>
        <v>0</v>
      </c>
      <c r="Q88" s="716" t="e">
        <f t="shared" ref="Q88:S89" si="46">+T88*$F88</f>
        <v>#DIV/0!</v>
      </c>
      <c r="R88" s="716" t="e">
        <f t="shared" si="46"/>
        <v>#DIV/0!</v>
      </c>
      <c r="S88" s="716" t="e">
        <f t="shared" si="46"/>
        <v>#DIV/0!</v>
      </c>
      <c r="T88" s="716" t="e">
        <f>+($O88*Schweine_Werte!$HT$15+$P88*Schweine_Werte!$HU$15)/SUM($O88:$P88)</f>
        <v>#DIV/0!</v>
      </c>
      <c r="U88" s="716" t="e">
        <f>+($O88*Schweine_Werte!$HV$15+$P88*Schweine_Werte!$HW$15)/SUM($O88:$P88)</f>
        <v>#DIV/0!</v>
      </c>
      <c r="V88" s="716" t="e">
        <f>+($O88*Schweine_Werte!$HX$15+$P88*Schweine_Werte!$HY$15)/SUM($O88:$P88)</f>
        <v>#DIV/0!</v>
      </c>
      <c r="W88" s="771" t="e">
        <f>($J88*0.055+T88*0.365*0.86*$F88-$K88*0.018)/L88*100</f>
        <v>#DIV/0!</v>
      </c>
      <c r="X88" s="771" t="e">
        <f>($J88*0.055+U88*0.365*0.86*$F88-$K88*0.018/2)/M88*100</f>
        <v>#DIV/0!</v>
      </c>
      <c r="Y88" s="716" t="e">
        <f>($J88*0.055+V88*0.365*0.86*$F88)/N88*100</f>
        <v>#DIV/0!</v>
      </c>
      <c r="Z88" s="716"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16"/>
      <c r="AB88" s="716">
        <f>IF($B92=$A$8,SUMIF(Schweine_Werte!$AO$4:$AO$31,$C92,Schweine_Werte!$HI$4:$HI$31),IF($B92=$A$7,SUMIF(Schweine_Werte!$AO$4:$AO$31,$C92,Schweine_Werte!$GU$4:$GU$31),IF($B92=$A$6,SUMIF(Schweine_Werte!$AO$4:$AO$31,$C92,Schweine_Werte!$GG$4:$GG$31),SUMIF(Schweine_Werte!$AO$4:$AO$31,$C92,Schweine_Werte!$FS$4:$FS$31))))</f>
        <v>0</v>
      </c>
      <c r="AC88" s="716"/>
      <c r="AD88" s="716">
        <f>IF($B92=$A$8,SUMIF(Schweine_Werte!$AO$4:$AO$31,$D92,Schweine_Werte!$HI$4:$HI$31),IF($B92=$A$7,SUMIF(Schweine_Werte!$AO$4:$AO$31,$D92,Schweine_Werte!$GU$4:$GU$31),IF($B92=$A$6,SUMIF(Schweine_Werte!$AO$4:$AO$31,$D92,Schweine_Werte!$GG$4:$GG$31),SUMIF(Schweine_Werte!$AO$4:$AO$31,$D92,Schweine_Werte!$FS$4:$FS$31))))</f>
        <v>0</v>
      </c>
      <c r="AE88" s="716"/>
      <c r="AF88" s="716"/>
      <c r="AG88" s="716" t="e">
        <f>IF($B92=$A$8,SUMPRODUCT($BT$4:$BT$31,Schweine_Werte!$HH$4:$HH$31)/SUM($BT$4:$BT$31),IF($B92=$A$7,SUMPRODUCT($BT$4:$BT$31,Schweine_Werte!$GT$4:$GT$31)/SUM($BT$4:$BT$31),IF($B92=$A$6,SUMPRODUCT($BT$4:$BT$31,Schweine_Werte!$GF$4:$GF$31)/SUM($BT$4:$BT$31),SUMPRODUCT($BT$4:$BT$31,Schweine_Werte!$FR$4:$FR$31)/SUM($BT$4:$BT$31))))</f>
        <v>#DIV/0!</v>
      </c>
      <c r="AH88" s="716"/>
      <c r="AI88" s="716"/>
      <c r="AJ88" s="716"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16"/>
      <c r="AL88" s="716">
        <f>IF($B92=$A$8,SUMIF(Schweine_Werte!$AO$4:$AO$31,$C92,Schweine_Werte!$HJ$4:$HJ$31),IF($B92=$A$7,SUMIF(Schweine_Werte!$AO$4:$AO$31,$C92,Schweine_Werte!$GV$4:$GV$31),IF($B92=$A$6,SUMIF(Schweine_Werte!$AO$4:$AO$31,$C92,Schweine_Werte!$GH$4:$GH$31),SUMIF(Schweine_Werte!$AO$4:$AO$31,$C92,Schweine_Werte!$FT$4:$FT$31))))</f>
        <v>0</v>
      </c>
      <c r="AM88" s="716"/>
      <c r="AN88" s="716">
        <f>IF($B92=$A$8,SUMIF(Schweine_Werte!$AO$4:$AO$31,$D92,Schweine_Werte!$HJ$4:$HJ$31),IF($B92=$A$7,SUMIF(Schweine_Werte!$AO$4:$AO$31,$D92,Schweine_Werte!$GV$4:$GV$31),IF($B92=$A$6,SUMIF(Schweine_Werte!$AO$4:$AO$31,$D92,Schweine_Werte!$GH$4:$GH$31),SUMIF(Schweine_Werte!$AO$4:$AO$31,$D92,Schweine_Werte!$FT$4:$FT$31))))</f>
        <v>0</v>
      </c>
      <c r="AO88" s="716"/>
      <c r="AR88" s="792">
        <v>92</v>
      </c>
      <c r="AS88" s="781">
        <f>IF(OR($C$12=$AR88,$D$12=$AR88),Schweine_Werte!$C88*0.5,IF(OR($C$12&gt;$AR88,$D$12&lt;$AR88),0,Schweine_Werte!$C88))</f>
        <v>0</v>
      </c>
      <c r="AT88" s="716">
        <f>IF(OR($C$24=$AR88,$D$24=$AR88),Schweine_Werte!$C88*0.5,IF(OR($C$24&gt;$AR88,$D$24&lt;$AR88),0,Schweine_Werte!$C88))</f>
        <v>0</v>
      </c>
      <c r="AU88" s="781">
        <f>IF(OR($C$36=$AR88,$D$36=$AR88),Schweine_Werte!$C88*0.5,IF(OR($C$36&gt;$AR88,$D$36&lt;$AR88),0,Schweine_Werte!$C88))</f>
        <v>0</v>
      </c>
      <c r="AV88" s="781">
        <f>IF(OR($C$48=$AR88,$D$48=$AR88),Schweine_Werte!$C88*0.5,IF(OR($C$48&gt;$AR88,$D$48&lt;$AR88),0,Schweine_Werte!$C88))</f>
        <v>0</v>
      </c>
      <c r="AW88" s="781">
        <f>IF(OR($C$60=$AR88,$D$60=$AR88),Schweine_Werte!$C88*0.5,IF(OR($C$60&gt;$AR88,$D$60&lt;$AR88),0,Schweine_Werte!$C88))</f>
        <v>0</v>
      </c>
      <c r="AX88" s="781">
        <f>IF(OR($C$12=$AR88,$D$12=$AR88),Schweine_Werte!$E88*0.5,IF(OR($C$12&gt;$AR88,$D$12&lt;$AR88),0,Schweine_Werte!$E88))</f>
        <v>0</v>
      </c>
      <c r="AY88" s="716">
        <f>IF(OR($C$24=$AR88,$D$24=$AR88),Schweine_Werte!$E88*0.5,IF(OR($C$24&gt;$AR88,$D$24&lt;$AR88),0,Schweine_Werte!$E88))</f>
        <v>0</v>
      </c>
      <c r="AZ88" s="716">
        <f>IF(OR($C$36=$AR88,$D$36=$AR88),Schweine_Werte!$E88*0.5,IF(OR($C$36&gt;$AR88,$D$36&lt;$AR88),0,Schweine_Werte!$E88))</f>
        <v>0</v>
      </c>
      <c r="BA88" s="716">
        <f>IF(OR($C$48=$AR88,$D$48=$AR88),Schweine_Werte!$E88*0.5,IF(OR($C$48&gt;$AR88,$D$48&lt;$AR88),0,Schweine_Werte!$E88))</f>
        <v>0</v>
      </c>
      <c r="BB88" s="716">
        <f>IF(OR($C$60=$AR88,$D$60=$AR88),Schweine_Werte!$E88*0.5,IF(OR($C$60&gt;$AR88,$D$60&lt;$AR88),0,Schweine_Werte!$E88))</f>
        <v>0</v>
      </c>
      <c r="BC88" s="781">
        <f>IF(OR($C$12=$AR88,$D$12=$AR88),Schweine_Werte!$G88*0.5,IF(OR($C$12&gt;$AR88,$D$12&lt;$AR88),0,Schweine_Werte!$G88))</f>
        <v>0</v>
      </c>
      <c r="BD88" s="716">
        <f>IF(OR($C$24=$AR88,$D$24=$AR88),Schweine_Werte!$G88*0.5,IF(OR($C$24&gt;$AR88,$D$24&lt;$AR88),0,Schweine_Werte!$G88))</f>
        <v>0</v>
      </c>
      <c r="BE88" s="716">
        <f>IF(OR($C$36=$AR88,$D$36=$AR88),Schweine_Werte!$G88*0.5,IF(OR($C$36&gt;$AR88,$D$36&lt;$AR88),0,Schweine_Werte!$G88))</f>
        <v>0</v>
      </c>
      <c r="BF88" s="716">
        <f>IF(OR($C$48=$AR88,$D$48=$AR88),Schweine_Werte!$G88*0.5,IF(OR($C$48&gt;$AR88,$D$48&lt;$AR88),0,Schweine_Werte!$G88))</f>
        <v>0</v>
      </c>
      <c r="BG88" s="716">
        <f>IF(OR($C$60=$AR88,$D$60=$AR88),Schweine_Werte!$G88*0.5,IF(OR($C$60&gt;$AR88,$D$60&lt;$AR88),0,Schweine_Werte!$G88))</f>
        <v>0</v>
      </c>
      <c r="BH88" s="781">
        <f>IF(OR($C$12=$AR88,$D$12=$AR88),Schweine_Werte!$I88*0.5,IF(OR($C$12&gt;$AR88,$D$12&lt;$AR88),0,Schweine_Werte!$I88))</f>
        <v>0</v>
      </c>
      <c r="BI88" s="716">
        <f>IF(OR($C$24=$AR88,$D$24=$AR88),Schweine_Werte!$I88*0.5,IF(OR($C$24&gt;$AR88,$D$24&lt;$AR88),0,Schweine_Werte!$I88))</f>
        <v>0</v>
      </c>
      <c r="BJ88" s="716">
        <f>IF(OR($C$36=$AR88,$D$36=$AR88),Schweine_Werte!$I88*0.5,IF(OR($C$36&gt;$AR88,$D$36&lt;$AR88),0,Schweine_Werte!$I88))</f>
        <v>0</v>
      </c>
      <c r="BK88" s="716">
        <f>IF(OR($C$48=$AR88,$D$48=$AR88),Schweine_Werte!$I88*0.5,IF(OR($C$48&gt;$AR88,$D$48&lt;$AR88),0,Schweine_Werte!$I88))</f>
        <v>0</v>
      </c>
      <c r="BL88" s="716">
        <f>IF(OR($C$60=$AR88,$D$60=$AR88),Schweine_Werte!$I88*0.5,IF(OR($C$60&gt;$AR88,$D$60&lt;$AR88),0,Schweine_Werte!$I88))</f>
        <v>0</v>
      </c>
      <c r="BM88" s="781"/>
      <c r="BN88" s="716"/>
      <c r="BO88" s="716"/>
      <c r="BP88" s="716"/>
      <c r="BQ88" s="716"/>
      <c r="BR88" s="781">
        <f>IF(OR($C$74=$AR88,$D$74=$AR88),Schweine_Werte!$M88*0.5,IF(OR($C$74&gt;$AR88,$D$74&lt;$AR88),0,Schweine_Werte!$M88))</f>
        <v>0</v>
      </c>
      <c r="BS88" s="781">
        <f>IF(OR($C$83=$AR88,$D$83=$AR88),Schweine_Werte!$M88*0.5,IF(OR($C$83&gt;$AR88,$D$83&lt;$AR88),0,Schweine_Werte!$M88))</f>
        <v>0</v>
      </c>
      <c r="BT88" s="783">
        <f>IF(OR($C$92=$AR88,$D$92=$AR88),Schweine_Werte!$M88*0.5,IF(OR($C$92&gt;$AR88,$D$92&lt;$AR88),0,Schweine_Werte!$M88))</f>
        <v>0</v>
      </c>
      <c r="BU88" s="783">
        <f>IF(OR($C$101=$AR88,$D$101=$AR88),Schweine_Werte!$M88*0.5,IF(OR($C$101&gt;$AR88,$D$101&lt;$AR88),0,Schweine_Werte!$M88))</f>
        <v>0</v>
      </c>
      <c r="BV88" s="783">
        <f>IF(OR($C$110=$AR88,$D$110=$AR88),Schweine_Werte!$M88*0.5,IF(OR($C$110&gt;$AR88,$D$110&lt;$AR88),0,Schweine_Werte!$M88))</f>
        <v>0</v>
      </c>
      <c r="BW88" s="783">
        <f>IF(OR(8=$AR88,$E$127=$AR88),Schweine_Werte!$M88*0.5,IF(OR(8&gt;$AR88,$E$127&lt;$AR88),0,Schweine_Werte!$M88))</f>
        <v>1.1781706701533199</v>
      </c>
      <c r="BX88" s="783">
        <f>IF(OR(8=$AR88,$E$145=$AR88),Schweine_Werte!$M88*0.5,IF(OR(8&gt;$AR88,$E$145&lt;$AR88),0,Schweine_Werte!$M88))</f>
        <v>1.1781706701533199</v>
      </c>
      <c r="BY88" s="781">
        <f>IF(OR($C$74=$AR88,$D$74=$AR88),Schweine_Werte!$O88*0.5,IF(OR($C$74&gt;$AR88,$D$74&lt;$AR88),0,Schweine_Werte!$O88))</f>
        <v>0</v>
      </c>
      <c r="BZ88" s="781">
        <f>IF(OR($C$83=$AR88,$D$83=$AR88),Schweine_Werte!$O88*0.5,IF(OR($C$83&gt;$AR88,$D$83&lt;$AR88),0,Schweine_Werte!$O88))</f>
        <v>0</v>
      </c>
      <c r="CA88" s="783">
        <f>IF(OR($C$92=$AR88,$D$92=$AR88),Schweine_Werte!$O88*0.5,IF(OR($C$92&gt;$AR88,$D$92&lt;$AR88),0,Schweine_Werte!$O88))</f>
        <v>0</v>
      </c>
      <c r="CB88" s="783">
        <f>IF(OR($C$101=$AR88,$D$101=$AR88),Schweine_Werte!$O88*0.5,IF(OR($C$101&gt;$AR88,$D$101&lt;$AR88),0,Schweine_Werte!$O88))</f>
        <v>0</v>
      </c>
      <c r="CC88" s="783">
        <f>IF(OR($C$110=$AR88,$D$110=$AR88),Schweine_Werte!$O88*0.5,IF(OR($C$110&gt;$AR88,$D$110&lt;$AR88),0,Schweine_Werte!$O88))</f>
        <v>0</v>
      </c>
    </row>
    <row r="89" spans="1:81" x14ac:dyDescent="0.2">
      <c r="B89">
        <v>500</v>
      </c>
      <c r="D89" s="716"/>
      <c r="E89" t="e">
        <f>($D92-$C92)*1000/SUM($CA$4:$CA$31)</f>
        <v>#VALUE!</v>
      </c>
      <c r="F89" s="716" t="e">
        <f>SUMPRODUCT($CA$4:$CA$31,Schweine_Werte!$W$4:$W$31)/SUM($CA$4:$CA$31)</f>
        <v>#DIV/0!</v>
      </c>
      <c r="G89" s="716" t="e">
        <f>IF($B92=$A$8,SUMPRODUCT($CA$4:$CA$31,Schweine_Werte!HK$4:HK$31)/SUM($CA$4:$CA$31),IF($B92=$A$7,SUMPRODUCT($CA$4:$CA$31,Schweine_Werte!GW$4:GW$31)/SUM($CA$4:$CA$31),IF($B92=$A$6,SUMPRODUCT($CA$4:$CA$31,Schweine_Werte!GI$4:GI$31)/SUM($CA$4:$CA$31),SUMPRODUCT($CA$4:$CA$31,Schweine_Werte!FU$4:FU$31)/SUM($CA$4:$CA$31))))</f>
        <v>#DIV/0!</v>
      </c>
      <c r="H89" s="716" t="e">
        <f>IF($B92=$A$8,SUMPRODUCT($CA$4:$CA$31,Schweine_Werte!HL$4:HL$31)/SUM($CA$4:$CA$31),IF($B92=$A$7,SUMPRODUCT($CA$4:$CA$31,Schweine_Werte!GX$4:GX$31)/SUM($CA$4:$CA$31),IF($B92=$A$6,SUMPRODUCT($CA$4:$CA$31,Schweine_Werte!GJ$4:GJ$31)/SUM($CA$4:$CA$31),SUMPRODUCT($CA$4:$CA$31,Schweine_Werte!FV$4:FV$31)/SUM($CA$4:$CA$31))))</f>
        <v>#DIV/0!</v>
      </c>
      <c r="I89" s="716" t="e">
        <f>IF($B92=$A$8,SUMPRODUCT($CA$4:$CA$31,Schweine_Werte!HM$4:HM$31)/SUM($CA$4:$CA$31),IF($B92=$A$7,SUMPRODUCT($CA$4:$CA$31,Schweine_Werte!GY$4:GY$31)/SUM($CA$4:$CA$31),IF($B92=$A$6,SUMPRODUCT($CA$4:$CA$31,Schweine_Werte!GK$4:GK$31)/SUM($CA$4:$CA$31),SUMPRODUCT($CA$4:$CA$31,Schweine_Werte!FW$4:FW$31)/SUM($CA$4:$CA$31))))</f>
        <v>#DIV/0!</v>
      </c>
      <c r="J89" s="716" t="e">
        <f>SUMPRODUCT($CA$4:$CA$31,Schweine_Werte!$AE$4:$AE$31)/SUM($CA$4:$CA$31)</f>
        <v>#DIV/0!</v>
      </c>
      <c r="K89" s="716" t="e">
        <f>SUMPRODUCT($CA$4:$CA$31,Schweine_Werte!$AM$4:$AM$31)/SUM($CA$4:$CA$31)</f>
        <v>#DIV/0!</v>
      </c>
      <c r="L89" s="716" t="e">
        <f>T89*$F89*365/1000+$J89-$K89</f>
        <v>#DIV/0!</v>
      </c>
      <c r="M89" s="716" t="e">
        <f>U89*$F89*365/1000+$J89-$K89/2</f>
        <v>#DIV/0!</v>
      </c>
      <c r="N89" s="716" t="e">
        <f>V89*$F89*365/1000+$J89</f>
        <v>#DIV/0!</v>
      </c>
      <c r="O89" s="716">
        <f>IF($C92&lt;28,SUM($CA$4:$CA$23)+IF($D92&gt;28,$CA$24*0.5,$CA$24),0)</f>
        <v>0</v>
      </c>
      <c r="P89" s="716">
        <f>IF($D92&gt;28,SUM($CA$25:$CA$31)+IF($C92&lt;28,$CA$24*0.5,$CA$24),0)</f>
        <v>0</v>
      </c>
      <c r="Q89" s="716" t="e">
        <f t="shared" si="46"/>
        <v>#DIV/0!</v>
      </c>
      <c r="R89" s="716" t="e">
        <f t="shared" si="46"/>
        <v>#DIV/0!</v>
      </c>
      <c r="S89" s="716" t="e">
        <f t="shared" si="46"/>
        <v>#DIV/0!</v>
      </c>
      <c r="T89" s="716" t="e">
        <f>+($O89*Schweine_Werte!$HT$16+$P89*Schweine_Werte!$HU$16)/SUM($O89:$P89)</f>
        <v>#DIV/0!</v>
      </c>
      <c r="U89" s="716" t="e">
        <f>+($O89*Schweine_Werte!$HV$16+$P89*Schweine_Werte!$HW$16)/SUM($O89:$P89)</f>
        <v>#DIV/0!</v>
      </c>
      <c r="V89" s="716" t="e">
        <f>+($O89*Schweine_Werte!$HX$16+$P89*Schweine_Werte!$HY$16)/SUM($O89:$P89)</f>
        <v>#DIV/0!</v>
      </c>
      <c r="W89" s="716" t="e">
        <f>($J89*0.055+T89*0.365*0.86*$F89-$K89*0.018)/L89*100</f>
        <v>#DIV/0!</v>
      </c>
      <c r="X89" s="716" t="e">
        <f>($J89*0.055+U89*0.365*0.86*$F89-$K89*0.018/2)/M89*100</f>
        <v>#DIV/0!</v>
      </c>
      <c r="Y89" s="716" t="e">
        <f>($J89*0.055+V89*0.365*0.86*$F89)/N89*100</f>
        <v>#DIV/0!</v>
      </c>
      <c r="Z89" s="716"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16"/>
      <c r="AB89" s="716">
        <f>IF($B92=$A$8,SUMIF(Schweine_Werte!$AO$4:$AO$31,$C92,Schweine_Werte!$HO$4:$HO$31),IF($B92=$A$7,SUMIF(Schweine_Werte!$AO$4:$AO$31,$C92,Schweine_Werte!$HA$4:$HA$31),IF($B92=$A$6,SUMIF(Schweine_Werte!$AO$4:$AO$31,$C92,Schweine_Werte!$GM$4:$GM$31),SUMIF(Schweine_Werte!$AO$4:$AO$31,$C92,Schweine_Werte!$FY$4:$FY$31))))</f>
        <v>0</v>
      </c>
      <c r="AC89" s="716"/>
      <c r="AD89" s="716">
        <f>IF($B92=$A$8,SUMIF(Schweine_Werte!$AO$4:$AO$31,$D92,Schweine_Werte!$HO$4:$HO$31),IF($B92=$A$7,SUMIF(Schweine_Werte!$AO$4:$AO$31,$D92,Schweine_Werte!$HA$4:$HA$31),IF($B92=$A$6,SUMIF(Schweine_Werte!$AO$4:$AO$31,$D92,Schweine_Werte!$GM$4:$GM$31),SUMIF(Schweine_Werte!$AO$4:$AO$31,$D92,Schweine_Werte!$FY$4:$FY$31))))</f>
        <v>0</v>
      </c>
      <c r="AE89" s="716"/>
      <c r="AF89" s="716"/>
      <c r="AG89" s="716" t="e">
        <f>IF($B92=$A$8,SUMPRODUCT($CA$4:$CA$31,Schweine_Werte!$HN$4:$HN$31)/SUM($CA$4:$CA$31),IF($B92=$A$7,SUMPRODUCT($CA$4:$CA$31,Schweine_Werte!$GZ$4:$GZ$31)/SUM($CA$4:$CA$31),IF($B92=$A$6,SUMPRODUCT($CA$4:$CA$31,Schweine_Werte!$GL$4:$GL$31)/SUM($CA$4:$CA$31),SUMPRODUCT($CA$4:$CA$31,Schweine_Werte!$FX$4:$FX$31)/SUM($CA$4:$CA$31))))</f>
        <v>#DIV/0!</v>
      </c>
      <c r="AH89" s="716"/>
      <c r="AI89" s="716"/>
      <c r="AJ89" s="716"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16"/>
      <c r="AL89" s="716">
        <f>IF($B92=$A$8,SUMIF(Schweine_Werte!$AO$4:$AO$31,$C92,Schweine_Werte!$HP$4:$HP$31),IF($B92=$A$7,SUMIF(Schweine_Werte!$AO$4:$AO$31,$C92,Schweine_Werte!$HB$4:$HB$31),IF($B92=$A$6,SUMIF(Schweine_Werte!$AO$4:$AO$31,$C92,Schweine_Werte!$GN$4:$GN$31),SUMIF(Schweine_Werte!$AO$4:$AO$31,$C92,Schweine_Werte!$FZ$4:$FZ$31))))</f>
        <v>0</v>
      </c>
      <c r="AM89" s="716"/>
      <c r="AN89" s="716">
        <f>IF($B92=$A$8,SUMIF(Schweine_Werte!$AO$4:$AO$31,$D92,Schweine_Werte!$HP$4:$HP$31),IF($B92=$A$7,SUMIF(Schweine_Werte!$AO$4:$AO$31,$D92,Schweine_Werte!$HB$4:$HB$31),IF($B92=$A$6,SUMIF(Schweine_Werte!$AO$4:$AO$31,$D92,Schweine_Werte!$GN$4:$GN$31),SUMIF(Schweine_Werte!$AO$4:$AO$31,$D92,Schweine_Werte!$FZ$4:$FZ$31))))</f>
        <v>0</v>
      </c>
      <c r="AO89" s="716"/>
      <c r="AR89" s="792">
        <v>93</v>
      </c>
      <c r="AS89" s="781">
        <f>IF(OR($C$12=$AR89,$D$12=$AR89),Schweine_Werte!$C89*0.5,IF(OR($C$12&gt;$AR89,$D$12&lt;$AR89),0,Schweine_Werte!$C89))</f>
        <v>0</v>
      </c>
      <c r="AT89" s="716">
        <f>IF(OR($C$24=$AR89,$D$24=$AR89),Schweine_Werte!$C89*0.5,IF(OR($C$24&gt;$AR89,$D$24&lt;$AR89),0,Schweine_Werte!$C89))</f>
        <v>0</v>
      </c>
      <c r="AU89" s="781">
        <f>IF(OR($C$36=$AR89,$D$36=$AR89),Schweine_Werte!$C89*0.5,IF(OR($C$36&gt;$AR89,$D$36&lt;$AR89),0,Schweine_Werte!$C89))</f>
        <v>0</v>
      </c>
      <c r="AV89" s="781">
        <f>IF(OR($C$48=$AR89,$D$48=$AR89),Schweine_Werte!$C89*0.5,IF(OR($C$48&gt;$AR89,$D$48&lt;$AR89),0,Schweine_Werte!$C89))</f>
        <v>0</v>
      </c>
      <c r="AW89" s="781">
        <f>IF(OR($C$60=$AR89,$D$60=$AR89),Schweine_Werte!$C89*0.5,IF(OR($C$60&gt;$AR89,$D$60&lt;$AR89),0,Schweine_Werte!$C89))</f>
        <v>0</v>
      </c>
      <c r="AX89" s="781">
        <f>IF(OR($C$12=$AR89,$D$12=$AR89),Schweine_Werte!$E89*0.5,IF(OR($C$12&gt;$AR89,$D$12&lt;$AR89),0,Schweine_Werte!$E89))</f>
        <v>0</v>
      </c>
      <c r="AY89" s="716">
        <f>IF(OR($C$24=$AR89,$D$24=$AR89),Schweine_Werte!$E89*0.5,IF(OR($C$24&gt;$AR89,$D$24&lt;$AR89),0,Schweine_Werte!$E89))</f>
        <v>0</v>
      </c>
      <c r="AZ89" s="716">
        <f>IF(OR($C$36=$AR89,$D$36=$AR89),Schweine_Werte!$E89*0.5,IF(OR($C$36&gt;$AR89,$D$36&lt;$AR89),0,Schweine_Werte!$E89))</f>
        <v>0</v>
      </c>
      <c r="BA89" s="716">
        <f>IF(OR($C$48=$AR89,$D$48=$AR89),Schweine_Werte!$E89*0.5,IF(OR($C$48&gt;$AR89,$D$48&lt;$AR89),0,Schweine_Werte!$E89))</f>
        <v>0</v>
      </c>
      <c r="BB89" s="716">
        <f>IF(OR($C$60=$AR89,$D$60=$AR89),Schweine_Werte!$E89*0.5,IF(OR($C$60&gt;$AR89,$D$60&lt;$AR89),0,Schweine_Werte!$E89))</f>
        <v>0</v>
      </c>
      <c r="BC89" s="781">
        <f>IF(OR($C$12=$AR89,$D$12=$AR89),Schweine_Werte!$G89*0.5,IF(OR($C$12&gt;$AR89,$D$12&lt;$AR89),0,Schweine_Werte!$G89))</f>
        <v>0</v>
      </c>
      <c r="BD89" s="716">
        <f>IF(OR($C$24=$AR89,$D$24=$AR89),Schweine_Werte!$G89*0.5,IF(OR($C$24&gt;$AR89,$D$24&lt;$AR89),0,Schweine_Werte!$G89))</f>
        <v>0</v>
      </c>
      <c r="BE89" s="716">
        <f>IF(OR($C$36=$AR89,$D$36=$AR89),Schweine_Werte!$G89*0.5,IF(OR($C$36&gt;$AR89,$D$36&lt;$AR89),0,Schweine_Werte!$G89))</f>
        <v>0</v>
      </c>
      <c r="BF89" s="716">
        <f>IF(OR($C$48=$AR89,$D$48=$AR89),Schweine_Werte!$G89*0.5,IF(OR($C$48&gt;$AR89,$D$48&lt;$AR89),0,Schweine_Werte!$G89))</f>
        <v>0</v>
      </c>
      <c r="BG89" s="716">
        <f>IF(OR($C$60=$AR89,$D$60=$AR89),Schweine_Werte!$G89*0.5,IF(OR($C$60&gt;$AR89,$D$60&lt;$AR89),0,Schweine_Werte!$G89))</f>
        <v>0</v>
      </c>
      <c r="BH89" s="781">
        <f>IF(OR($C$12=$AR89,$D$12=$AR89),Schweine_Werte!$I89*0.5,IF(OR($C$12&gt;$AR89,$D$12&lt;$AR89),0,Schweine_Werte!$I89))</f>
        <v>0</v>
      </c>
      <c r="BI89" s="716">
        <f>IF(OR($C$24=$AR89,$D$24=$AR89),Schweine_Werte!$I89*0.5,IF(OR($C$24&gt;$AR89,$D$24&lt;$AR89),0,Schweine_Werte!$I89))</f>
        <v>0</v>
      </c>
      <c r="BJ89" s="716">
        <f>IF(OR($C$36=$AR89,$D$36=$AR89),Schweine_Werte!$I89*0.5,IF(OR($C$36&gt;$AR89,$D$36&lt;$AR89),0,Schweine_Werte!$I89))</f>
        <v>0</v>
      </c>
      <c r="BK89" s="716">
        <f>IF(OR($C$48=$AR89,$D$48=$AR89),Schweine_Werte!$I89*0.5,IF(OR($C$48&gt;$AR89,$D$48&lt;$AR89),0,Schweine_Werte!$I89))</f>
        <v>0</v>
      </c>
      <c r="BL89" s="716">
        <f>IF(OR($C$60=$AR89,$D$60=$AR89),Schweine_Werte!$I89*0.5,IF(OR($C$60&gt;$AR89,$D$60&lt;$AR89),0,Schweine_Werte!$I89))</f>
        <v>0</v>
      </c>
      <c r="BM89" s="781"/>
      <c r="BN89" s="716"/>
      <c r="BO89" s="716"/>
      <c r="BP89" s="716"/>
      <c r="BQ89" s="716"/>
      <c r="BR89" s="781">
        <f>IF(OR($C$74=$AR89,$D$74=$AR89),Schweine_Werte!$M89*0.5,IF(OR($C$74&gt;$AR89,$D$74&lt;$AR89),0,Schweine_Werte!$M89))</f>
        <v>0</v>
      </c>
      <c r="BS89" s="781">
        <f>IF(OR($C$83=$AR89,$D$83=$AR89),Schweine_Werte!$M89*0.5,IF(OR($C$83&gt;$AR89,$D$83&lt;$AR89),0,Schweine_Werte!$M89))</f>
        <v>0</v>
      </c>
      <c r="BT89" s="783">
        <f>IF(OR($C$92=$AR89,$D$92=$AR89),Schweine_Werte!$M89*0.5,IF(OR($C$92&gt;$AR89,$D$92&lt;$AR89),0,Schweine_Werte!$M89))</f>
        <v>0</v>
      </c>
      <c r="BU89" s="783">
        <f>IF(OR($C$101=$AR89,$D$101=$AR89),Schweine_Werte!$M89*0.5,IF(OR($C$101&gt;$AR89,$D$101&lt;$AR89),0,Schweine_Werte!$M89))</f>
        <v>0</v>
      </c>
      <c r="BV89" s="783">
        <f>IF(OR($C$110=$AR89,$D$110=$AR89),Schweine_Werte!$M89*0.5,IF(OR($C$110&gt;$AR89,$D$110&lt;$AR89),0,Schweine_Werte!$M89))</f>
        <v>0</v>
      </c>
      <c r="BW89" s="783">
        <f>IF(OR(8=$AR89,$E$127=$AR89),Schweine_Werte!$M89*0.5,IF(OR(8&gt;$AR89,$E$127&lt;$AR89),0,Schweine_Werte!$M89))</f>
        <v>1.186462198893864</v>
      </c>
      <c r="BX89" s="783">
        <f>IF(OR(8=$AR89,$E$145=$AR89),Schweine_Werte!$M89*0.5,IF(OR(8&gt;$AR89,$E$145&lt;$AR89),0,Schweine_Werte!$M89))</f>
        <v>1.186462198893864</v>
      </c>
      <c r="BY89" s="781">
        <f>IF(OR($C$74=$AR89,$D$74=$AR89),Schweine_Werte!$O89*0.5,IF(OR($C$74&gt;$AR89,$D$74&lt;$AR89),0,Schweine_Werte!$O89))</f>
        <v>0</v>
      </c>
      <c r="BZ89" s="781">
        <f>IF(OR($C$83=$AR89,$D$83=$AR89),Schweine_Werte!$O89*0.5,IF(OR($C$83&gt;$AR89,$D$83&lt;$AR89),0,Schweine_Werte!$O89))</f>
        <v>0</v>
      </c>
      <c r="CA89" s="783">
        <f>IF(OR($C$92=$AR89,$D$92=$AR89),Schweine_Werte!$O89*0.5,IF(OR($C$92&gt;$AR89,$D$92&lt;$AR89),0,Schweine_Werte!$O89))</f>
        <v>0</v>
      </c>
      <c r="CB89" s="783">
        <f>IF(OR($C$101=$AR89,$D$101=$AR89),Schweine_Werte!$O89*0.5,IF(OR($C$101&gt;$AR89,$D$101&lt;$AR89),0,Schweine_Werte!$O89))</f>
        <v>0</v>
      </c>
      <c r="CC89" s="783">
        <f>IF(OR($C$110=$AR89,$D$110=$AR89),Schweine_Werte!$O89*0.5,IF(OR($C$110&gt;$AR89,$D$110&lt;$AR89),0,Schweine_Werte!$O89))</f>
        <v>0</v>
      </c>
    </row>
    <row r="90" spans="1:81" ht="15.75" x14ac:dyDescent="0.25">
      <c r="F90" s="352"/>
      <c r="G90" s="1588" t="s">
        <v>7701</v>
      </c>
      <c r="H90" s="1589"/>
      <c r="I90" s="1590"/>
      <c r="J90" s="973" t="s">
        <v>589</v>
      </c>
      <c r="K90" s="973" t="s">
        <v>224</v>
      </c>
      <c r="L90" s="1591" t="s">
        <v>7702</v>
      </c>
      <c r="M90" s="1592"/>
      <c r="N90" s="1593"/>
      <c r="O90" s="1591" t="s">
        <v>7703</v>
      </c>
      <c r="P90" s="1593"/>
      <c r="Q90" s="1591" t="s">
        <v>7758</v>
      </c>
      <c r="R90" s="1592"/>
      <c r="S90" s="1593"/>
      <c r="T90" s="1591" t="s">
        <v>7704</v>
      </c>
      <c r="U90" s="1592"/>
      <c r="V90" s="1593"/>
      <c r="W90" s="1591" t="s">
        <v>7785</v>
      </c>
      <c r="X90" s="1592"/>
      <c r="Y90" s="1593"/>
      <c r="Z90" s="1596" t="s">
        <v>7786</v>
      </c>
      <c r="AA90" s="1597"/>
      <c r="AB90" s="1596" t="s">
        <v>7787</v>
      </c>
      <c r="AC90" s="1597"/>
      <c r="AD90" s="1596" t="s">
        <v>7788</v>
      </c>
      <c r="AE90" s="1597"/>
      <c r="AF90" s="974" t="s">
        <v>7888</v>
      </c>
      <c r="AG90" s="1598" t="s">
        <v>7791</v>
      </c>
      <c r="AH90" s="1599"/>
      <c r="AI90" s="1081" t="s">
        <v>7889</v>
      </c>
      <c r="AJ90" s="1596" t="s">
        <v>7786</v>
      </c>
      <c r="AK90" s="1597"/>
      <c r="AL90" s="1596" t="s">
        <v>7787</v>
      </c>
      <c r="AM90" s="1597"/>
      <c r="AN90" s="1596" t="s">
        <v>7788</v>
      </c>
      <c r="AO90" s="1597"/>
      <c r="AR90" s="792">
        <v>94</v>
      </c>
      <c r="AS90" s="781">
        <f>IF(OR($C$12=$AR90,$D$12=$AR90),Schweine_Werte!$C90*0.5,IF(OR($C$12&gt;$AR90,$D$12&lt;$AR90),0,Schweine_Werte!$C90))</f>
        <v>0</v>
      </c>
      <c r="AT90" s="716">
        <f>IF(OR($C$24=$AR90,$D$24=$AR90),Schweine_Werte!$C90*0.5,IF(OR($C$24&gt;$AR90,$D$24&lt;$AR90),0,Schweine_Werte!$C90))</f>
        <v>0</v>
      </c>
      <c r="AU90" s="781">
        <f>IF(OR($C$36=$AR90,$D$36=$AR90),Schweine_Werte!$C90*0.5,IF(OR($C$36&gt;$AR90,$D$36&lt;$AR90),0,Schweine_Werte!$C90))</f>
        <v>0</v>
      </c>
      <c r="AV90" s="781">
        <f>IF(OR($C$48=$AR90,$D$48=$AR90),Schweine_Werte!$C90*0.5,IF(OR($C$48&gt;$AR90,$D$48&lt;$AR90),0,Schweine_Werte!$C90))</f>
        <v>0</v>
      </c>
      <c r="AW90" s="781">
        <f>IF(OR($C$60=$AR90,$D$60=$AR90),Schweine_Werte!$C90*0.5,IF(OR($C$60&gt;$AR90,$D$60&lt;$AR90),0,Schweine_Werte!$C90))</f>
        <v>0</v>
      </c>
      <c r="AX90" s="781">
        <f>IF(OR($C$12=$AR90,$D$12=$AR90),Schweine_Werte!$E90*0.5,IF(OR($C$12&gt;$AR90,$D$12&lt;$AR90),0,Schweine_Werte!$E90))</f>
        <v>0</v>
      </c>
      <c r="AY90" s="716">
        <f>IF(OR($C$24=$AR90,$D$24=$AR90),Schweine_Werte!$E90*0.5,IF(OR($C$24&gt;$AR90,$D$24&lt;$AR90),0,Schweine_Werte!$E90))</f>
        <v>0</v>
      </c>
      <c r="AZ90" s="716">
        <f>IF(OR($C$36=$AR90,$D$36=$AR90),Schweine_Werte!$E90*0.5,IF(OR($C$36&gt;$AR90,$D$36&lt;$AR90),0,Schweine_Werte!$E90))</f>
        <v>0</v>
      </c>
      <c r="BA90" s="716">
        <f>IF(OR($C$48=$AR90,$D$48=$AR90),Schweine_Werte!$E90*0.5,IF(OR($C$48&gt;$AR90,$D$48&lt;$AR90),0,Schweine_Werte!$E90))</f>
        <v>0</v>
      </c>
      <c r="BB90" s="716">
        <f>IF(OR($C$60=$AR90,$D$60=$AR90),Schweine_Werte!$E90*0.5,IF(OR($C$60&gt;$AR90,$D$60&lt;$AR90),0,Schweine_Werte!$E90))</f>
        <v>0</v>
      </c>
      <c r="BC90" s="781">
        <f>IF(OR($C$12=$AR90,$D$12=$AR90),Schweine_Werte!$G90*0.5,IF(OR($C$12&gt;$AR90,$D$12&lt;$AR90),0,Schweine_Werte!$G90))</f>
        <v>0</v>
      </c>
      <c r="BD90" s="716">
        <f>IF(OR($C$24=$AR90,$D$24=$AR90),Schweine_Werte!$G90*0.5,IF(OR($C$24&gt;$AR90,$D$24&lt;$AR90),0,Schweine_Werte!$G90))</f>
        <v>0</v>
      </c>
      <c r="BE90" s="716">
        <f>IF(OR($C$36=$AR90,$D$36=$AR90),Schweine_Werte!$G90*0.5,IF(OR($C$36&gt;$AR90,$D$36&lt;$AR90),0,Schweine_Werte!$G90))</f>
        <v>0</v>
      </c>
      <c r="BF90" s="716">
        <f>IF(OR($C$48=$AR90,$D$48=$AR90),Schweine_Werte!$G90*0.5,IF(OR($C$48&gt;$AR90,$D$48&lt;$AR90),0,Schweine_Werte!$G90))</f>
        <v>0</v>
      </c>
      <c r="BG90" s="716">
        <f>IF(OR($C$60=$AR90,$D$60=$AR90),Schweine_Werte!$G90*0.5,IF(OR($C$60&gt;$AR90,$D$60&lt;$AR90),0,Schweine_Werte!$G90))</f>
        <v>0</v>
      </c>
      <c r="BH90" s="781">
        <f>IF(OR($C$12=$AR90,$D$12=$AR90),Schweine_Werte!$I90*0.5,IF(OR($C$12&gt;$AR90,$D$12&lt;$AR90),0,Schweine_Werte!$I90))</f>
        <v>0</v>
      </c>
      <c r="BI90" s="716">
        <f>IF(OR($C$24=$AR90,$D$24=$AR90),Schweine_Werte!$I90*0.5,IF(OR($C$24&gt;$AR90,$D$24&lt;$AR90),0,Schweine_Werte!$I90))</f>
        <v>0</v>
      </c>
      <c r="BJ90" s="716">
        <f>IF(OR($C$36=$AR90,$D$36=$AR90),Schweine_Werte!$I90*0.5,IF(OR($C$36&gt;$AR90,$D$36&lt;$AR90),0,Schweine_Werte!$I90))</f>
        <v>0</v>
      </c>
      <c r="BK90" s="716">
        <f>IF(OR($C$48=$AR90,$D$48=$AR90),Schweine_Werte!$I90*0.5,IF(OR($C$48&gt;$AR90,$D$48&lt;$AR90),0,Schweine_Werte!$I90))</f>
        <v>0</v>
      </c>
      <c r="BL90" s="716">
        <f>IF(OR($C$60=$AR90,$D$60=$AR90),Schweine_Werte!$I90*0.5,IF(OR($C$60&gt;$AR90,$D$60&lt;$AR90),0,Schweine_Werte!$I90))</f>
        <v>0</v>
      </c>
      <c r="BM90" s="781"/>
      <c r="BN90" s="716"/>
      <c r="BO90" s="716"/>
      <c r="BP90" s="716"/>
      <c r="BQ90" s="716"/>
      <c r="BR90" s="781">
        <f>IF(OR($C$74=$AR90,$D$74=$AR90),Schweine_Werte!$M90*0.5,IF(OR($C$74&gt;$AR90,$D$74&lt;$AR90),0,Schweine_Werte!$M90))</f>
        <v>0</v>
      </c>
      <c r="BS90" s="781">
        <f>IF(OR($C$83=$AR90,$D$83=$AR90),Schweine_Werte!$M90*0.5,IF(OR($C$83&gt;$AR90,$D$83&lt;$AR90),0,Schweine_Werte!$M90))</f>
        <v>0</v>
      </c>
      <c r="BT90" s="783">
        <f>IF(OR($C$92=$AR90,$D$92=$AR90),Schweine_Werte!$M90*0.5,IF(OR($C$92&gt;$AR90,$D$92&lt;$AR90),0,Schweine_Werte!$M90))</f>
        <v>0</v>
      </c>
      <c r="BU90" s="783">
        <f>IF(OR($C$101=$AR90,$D$101=$AR90),Schweine_Werte!$M90*0.5,IF(OR($C$101&gt;$AR90,$D$101&lt;$AR90),0,Schweine_Werte!$M90))</f>
        <v>0</v>
      </c>
      <c r="BV90" s="783">
        <f>IF(OR($C$110=$AR90,$D$110=$AR90),Schweine_Werte!$M90*0.5,IF(OR($C$110&gt;$AR90,$D$110&lt;$AR90),0,Schweine_Werte!$M90))</f>
        <v>0</v>
      </c>
      <c r="BW90" s="783">
        <f>IF(OR(8=$AR90,$E$127=$AR90),Schweine_Werte!$M90*0.5,IF(OR(8&gt;$AR90,$E$127&lt;$AR90),0,Schweine_Werte!$M90))</f>
        <v>1.1952918899533977</v>
      </c>
      <c r="BX90" s="783">
        <f>IF(OR(8=$AR90,$E$145=$AR90),Schweine_Werte!$M90*0.5,IF(OR(8&gt;$AR90,$E$145&lt;$AR90),0,Schweine_Werte!$M90))</f>
        <v>1.1952918899533977</v>
      </c>
      <c r="BY90" s="781">
        <f>IF(OR($C$74=$AR90,$D$74=$AR90),Schweine_Werte!$O90*0.5,IF(OR($C$74&gt;$AR90,$D$74&lt;$AR90),0,Schweine_Werte!$O90))</f>
        <v>0</v>
      </c>
      <c r="BZ90" s="781">
        <f>IF(OR($C$83=$AR90,$D$83=$AR90),Schweine_Werte!$O90*0.5,IF(OR($C$83&gt;$AR90,$D$83&lt;$AR90),0,Schweine_Werte!$O90))</f>
        <v>0</v>
      </c>
      <c r="CA90" s="783">
        <f>IF(OR($C$92=$AR90,$D$92=$AR90),Schweine_Werte!$O90*0.5,IF(OR($C$92&gt;$AR90,$D$92&lt;$AR90),0,Schweine_Werte!$O90))</f>
        <v>0</v>
      </c>
      <c r="CB90" s="783">
        <f>IF(OR($C$101=$AR90,$D$101=$AR90),Schweine_Werte!$O90*0.5,IF(OR($C$101&gt;$AR90,$D$101&lt;$AR90),0,Schweine_Werte!$O90))</f>
        <v>0</v>
      </c>
      <c r="CC90" s="783">
        <f>IF(OR($C$110=$AR90,$D$110=$AR90),Schweine_Werte!$O90*0.5,IF(OR($C$110&gt;$AR90,$D$110&lt;$AR90),0,Schweine_Werte!$O90))</f>
        <v>0</v>
      </c>
    </row>
    <row r="91" spans="1:81" ht="18.75" x14ac:dyDescent="0.2">
      <c r="B91" s="786" t="s">
        <v>7705</v>
      </c>
      <c r="C91" s="787" t="s">
        <v>7645</v>
      </c>
      <c r="D91" s="787" t="s">
        <v>7706</v>
      </c>
      <c r="E91" s="787" t="s">
        <v>7647</v>
      </c>
      <c r="F91" s="733" t="s">
        <v>196</v>
      </c>
      <c r="G91" s="662" t="s">
        <v>4</v>
      </c>
      <c r="H91" s="662" t="s">
        <v>7707</v>
      </c>
      <c r="I91" s="662" t="s">
        <v>7708</v>
      </c>
      <c r="J91" s="663" t="s">
        <v>7709</v>
      </c>
      <c r="K91" s="663" t="s">
        <v>7709</v>
      </c>
      <c r="L91" s="664" t="s">
        <v>39</v>
      </c>
      <c r="M91" s="664" t="s">
        <v>7710</v>
      </c>
      <c r="N91" s="664" t="s">
        <v>41</v>
      </c>
      <c r="O91" s="665" t="s">
        <v>0</v>
      </c>
      <c r="P91" s="665" t="s">
        <v>8</v>
      </c>
      <c r="Q91" s="664" t="s">
        <v>39</v>
      </c>
      <c r="R91" s="664" t="s">
        <v>40</v>
      </c>
      <c r="S91" s="664" t="s">
        <v>41</v>
      </c>
      <c r="T91" s="664" t="s">
        <v>39</v>
      </c>
      <c r="U91" s="664" t="s">
        <v>40</v>
      </c>
      <c r="V91" s="664" t="s">
        <v>41</v>
      </c>
      <c r="W91" s="663" t="s">
        <v>7684</v>
      </c>
      <c r="X91" s="663" t="s">
        <v>7685</v>
      </c>
      <c r="Y91" s="663" t="s">
        <v>7686</v>
      </c>
      <c r="Z91" s="788" t="s">
        <v>7789</v>
      </c>
      <c r="AA91" s="788" t="s">
        <v>7790</v>
      </c>
      <c r="AB91" s="788" t="s">
        <v>7789</v>
      </c>
      <c r="AC91" s="788" t="s">
        <v>7790</v>
      </c>
      <c r="AD91" s="788" t="s">
        <v>7789</v>
      </c>
      <c r="AE91" s="788" t="s">
        <v>7790</v>
      </c>
      <c r="AF91" s="788" t="s">
        <v>7890</v>
      </c>
      <c r="AG91" s="983" t="s">
        <v>7891</v>
      </c>
      <c r="AH91" s="788" t="s">
        <v>7892</v>
      </c>
      <c r="AI91" s="788"/>
      <c r="AJ91" s="788" t="s">
        <v>7765</v>
      </c>
      <c r="AK91" s="788" t="s">
        <v>7792</v>
      </c>
      <c r="AL91" s="788" t="s">
        <v>7793</v>
      </c>
      <c r="AM91" s="788" t="s">
        <v>7794</v>
      </c>
      <c r="AN91" s="788" t="s">
        <v>7793</v>
      </c>
      <c r="AO91" s="788" t="s">
        <v>7795</v>
      </c>
      <c r="AR91" s="792">
        <v>95</v>
      </c>
      <c r="AS91" s="781">
        <f>IF(OR($C$12=$AR91,$D$12=$AR91),Schweine_Werte!$C91*0.5,IF(OR($C$12&gt;$AR91,$D$12&lt;$AR91),0,Schweine_Werte!$C91))</f>
        <v>0</v>
      </c>
      <c r="AT91" s="716">
        <f>IF(OR($C$24=$AR91,$D$24=$AR91),Schweine_Werte!$C91*0.5,IF(OR($C$24&gt;$AR91,$D$24&lt;$AR91),0,Schweine_Werte!$C91))</f>
        <v>0</v>
      </c>
      <c r="AU91" s="781">
        <f>IF(OR($C$36=$AR91,$D$36=$AR91),Schweine_Werte!$C91*0.5,IF(OR($C$36&gt;$AR91,$D$36&lt;$AR91),0,Schweine_Werte!$C91))</f>
        <v>0</v>
      </c>
      <c r="AV91" s="781">
        <f>IF(OR($C$48=$AR91,$D$48=$AR91),Schweine_Werte!$C91*0.5,IF(OR($C$48&gt;$AR91,$D$48&lt;$AR91),0,Schweine_Werte!$C91))</f>
        <v>0</v>
      </c>
      <c r="AW91" s="781">
        <f>IF(OR($C$60=$AR91,$D$60=$AR91),Schweine_Werte!$C91*0.5,IF(OR($C$60&gt;$AR91,$D$60&lt;$AR91),0,Schweine_Werte!$C91))</f>
        <v>0</v>
      </c>
      <c r="AX91" s="781">
        <f>IF(OR($C$12=$AR91,$D$12=$AR91),Schweine_Werte!$E91*0.5,IF(OR($C$12&gt;$AR91,$D$12&lt;$AR91),0,Schweine_Werte!$E91))</f>
        <v>0</v>
      </c>
      <c r="AY91" s="716">
        <f>IF(OR($C$24=$AR91,$D$24=$AR91),Schweine_Werte!$E91*0.5,IF(OR($C$24&gt;$AR91,$D$24&lt;$AR91),0,Schweine_Werte!$E91))</f>
        <v>0</v>
      </c>
      <c r="AZ91" s="716">
        <f>IF(OR($C$36=$AR91,$D$36=$AR91),Schweine_Werte!$E91*0.5,IF(OR($C$36&gt;$AR91,$D$36&lt;$AR91),0,Schweine_Werte!$E91))</f>
        <v>0</v>
      </c>
      <c r="BA91" s="716">
        <f>IF(OR($C$48=$AR91,$D$48=$AR91),Schweine_Werte!$E91*0.5,IF(OR($C$48&gt;$AR91,$D$48&lt;$AR91),0,Schweine_Werte!$E91))</f>
        <v>0</v>
      </c>
      <c r="BB91" s="716">
        <f>IF(OR($C$60=$AR91,$D$60=$AR91),Schweine_Werte!$E91*0.5,IF(OR($C$60&gt;$AR91,$D$60&lt;$AR91),0,Schweine_Werte!$E91))</f>
        <v>0</v>
      </c>
      <c r="BC91" s="781">
        <f>IF(OR($C$12=$AR91,$D$12=$AR91),Schweine_Werte!$G91*0.5,IF(OR($C$12&gt;$AR91,$D$12&lt;$AR91),0,Schweine_Werte!$G91))</f>
        <v>0</v>
      </c>
      <c r="BD91" s="716">
        <f>IF(OR($C$24=$AR91,$D$24=$AR91),Schweine_Werte!$G91*0.5,IF(OR($C$24&gt;$AR91,$D$24&lt;$AR91),0,Schweine_Werte!$G91))</f>
        <v>0</v>
      </c>
      <c r="BE91" s="716">
        <f>IF(OR($C$36=$AR91,$D$36=$AR91),Schweine_Werte!$G91*0.5,IF(OR($C$36&gt;$AR91,$D$36&lt;$AR91),0,Schweine_Werte!$G91))</f>
        <v>0</v>
      </c>
      <c r="BF91" s="716">
        <f>IF(OR($C$48=$AR91,$D$48=$AR91),Schweine_Werte!$G91*0.5,IF(OR($C$48&gt;$AR91,$D$48&lt;$AR91),0,Schweine_Werte!$G91))</f>
        <v>0</v>
      </c>
      <c r="BG91" s="716">
        <f>IF(OR($C$60=$AR91,$D$60=$AR91),Schweine_Werte!$G91*0.5,IF(OR($C$60&gt;$AR91,$D$60&lt;$AR91),0,Schweine_Werte!$G91))</f>
        <v>0</v>
      </c>
      <c r="BH91" s="781">
        <f>IF(OR($C$12=$AR91,$D$12=$AR91),Schweine_Werte!$I91*0.5,IF(OR($C$12&gt;$AR91,$D$12&lt;$AR91),0,Schweine_Werte!$I91))</f>
        <v>0</v>
      </c>
      <c r="BI91" s="716">
        <f>IF(OR($C$24=$AR91,$D$24=$AR91),Schweine_Werte!$I91*0.5,IF(OR($C$24&gt;$AR91,$D$24&lt;$AR91),0,Schweine_Werte!$I91))</f>
        <v>0</v>
      </c>
      <c r="BJ91" s="716">
        <f>IF(OR($C$36=$AR91,$D$36=$AR91),Schweine_Werte!$I91*0.5,IF(OR($C$36&gt;$AR91,$D$36&lt;$AR91),0,Schweine_Werte!$I91))</f>
        <v>0</v>
      </c>
      <c r="BK91" s="716">
        <f>IF(OR($C$48=$AR91,$D$48=$AR91),Schweine_Werte!$I91*0.5,IF(OR($C$48&gt;$AR91,$D$48&lt;$AR91),0,Schweine_Werte!$I91))</f>
        <v>0</v>
      </c>
      <c r="BL91" s="716">
        <f>IF(OR($C$60=$AR91,$D$60=$AR91),Schweine_Werte!$I91*0.5,IF(OR($C$60&gt;$AR91,$D$60&lt;$AR91),0,Schweine_Werte!$I91))</f>
        <v>0</v>
      </c>
      <c r="BM91" s="781"/>
      <c r="BN91" s="716"/>
      <c r="BO91" s="716"/>
      <c r="BP91" s="716"/>
      <c r="BQ91" s="716"/>
      <c r="BR91" s="781">
        <f>IF(OR($C$74=$AR91,$D$74=$AR91),Schweine_Werte!$M91*0.5,IF(OR($C$74&gt;$AR91,$D$74&lt;$AR91),0,Schweine_Werte!$M91))</f>
        <v>0</v>
      </c>
      <c r="BS91" s="781">
        <f>IF(OR($C$83=$AR91,$D$83=$AR91),Schweine_Werte!$M91*0.5,IF(OR($C$83&gt;$AR91,$D$83&lt;$AR91),0,Schweine_Werte!$M91))</f>
        <v>0</v>
      </c>
      <c r="BT91" s="783">
        <f>IF(OR($C$92=$AR91,$D$92=$AR91),Schweine_Werte!$M91*0.5,IF(OR($C$92&gt;$AR91,$D$92&lt;$AR91),0,Schweine_Werte!$M91))</f>
        <v>0</v>
      </c>
      <c r="BU91" s="783">
        <f>IF(OR($C$101=$AR91,$D$101=$AR91),Schweine_Werte!$M91*0.5,IF(OR($C$101&gt;$AR91,$D$101&lt;$AR91),0,Schweine_Werte!$M91))</f>
        <v>0</v>
      </c>
      <c r="BV91" s="783">
        <f>IF(OR($C$110=$AR91,$D$110=$AR91),Schweine_Werte!$M91*0.5,IF(OR($C$110&gt;$AR91,$D$110&lt;$AR91),0,Schweine_Werte!$M91))</f>
        <v>0</v>
      </c>
      <c r="BW91" s="783">
        <f>IF(OR(8=$AR91,$E$127=$AR91),Schweine_Werte!$M91*0.5,IF(OR(8&gt;$AR91,$E$127&lt;$AR91),0,Schweine_Werte!$M91))</f>
        <v>1.2046808919230616</v>
      </c>
      <c r="BX91" s="783">
        <f>IF(OR(8=$AR91,$E$145=$AR91),Schweine_Werte!$M91*0.5,IF(OR(8&gt;$AR91,$E$145&lt;$AR91),0,Schweine_Werte!$M91))</f>
        <v>1.2046808919230616</v>
      </c>
      <c r="BY91" s="781">
        <f>IF(OR($C$74=$AR91,$D$74=$AR91),Schweine_Werte!$O91*0.5,IF(OR($C$74&gt;$AR91,$D$74&lt;$AR91),0,Schweine_Werte!$O91))</f>
        <v>0</v>
      </c>
      <c r="BZ91" s="781">
        <f>IF(OR($C$83=$AR91,$D$83=$AR91),Schweine_Werte!$O91*0.5,IF(OR($C$83&gt;$AR91,$D$83&lt;$AR91),0,Schweine_Werte!$O91))</f>
        <v>0</v>
      </c>
      <c r="CA91" s="783">
        <f>IF(OR($C$92=$AR91,$D$92=$AR91),Schweine_Werte!$O91*0.5,IF(OR($C$92&gt;$AR91,$D$92&lt;$AR91),0,Schweine_Werte!$O91))</f>
        <v>0</v>
      </c>
      <c r="CB91" s="783">
        <f>IF(OR($C$101=$AR91,$D$101=$AR91),Schweine_Werte!$O91*0.5,IF(OR($C$101&gt;$AR91,$D$101&lt;$AR91),0,Schweine_Werte!$O91))</f>
        <v>0</v>
      </c>
      <c r="CC91" s="783">
        <f>IF(OR($C$110=$AR91,$D$110=$AR91),Schweine_Werte!$O91*0.5,IF(OR($C$110&gt;$AR91,$D$110&lt;$AR91),0,Schweine_Werte!$O91))</f>
        <v>0</v>
      </c>
    </row>
    <row r="92" spans="1:81" ht="15.75" x14ac:dyDescent="0.25">
      <c r="A92" t="s">
        <v>7780</v>
      </c>
      <c r="B92" s="802" t="str">
        <f>IF('Abweichende Werte'!X7=1,'Abweichende Werte'!F7,"")</f>
        <v/>
      </c>
      <c r="C92" s="666" t="str">
        <f>IF('Abweichende Werte'!X7=1,'Abweichende Werte'!J7,"")</f>
        <v/>
      </c>
      <c r="D92" s="667" t="str">
        <f>IF('Abweichende Werte'!X7=1,'Abweichende Werte'!M7,"")</f>
        <v/>
      </c>
      <c r="E92" s="667" t="str">
        <f>IF('Abweichende Werte'!X7=1,'Abweichende Werte'!P7,"")</f>
        <v/>
      </c>
      <c r="F92" s="789" t="e">
        <f>IF($E92&lt;=$E88,F88,IF(AND($E92&gt;$E88,$E92&lt;=$E89),F88+(F89-F88)/($E89-$E88)*($E92-$E88),IF($E92&gt;$E89,F89)))</f>
        <v>#VALUE!</v>
      </c>
      <c r="G92" s="789" t="e">
        <f t="shared" ref="G92:N92" si="47">IF($E92&lt;=$E88,G88,IF(AND($E92&gt;$E88,$E92&lt;=$E89),G88+(G89-G88)/($E89-$E88)*($E92-$E88),IF($E92&gt;$E89,G89)))</f>
        <v>#VALUE!</v>
      </c>
      <c r="H92" s="789" t="e">
        <f t="shared" si="47"/>
        <v>#VALUE!</v>
      </c>
      <c r="I92" s="789" t="e">
        <f t="shared" si="47"/>
        <v>#VALUE!</v>
      </c>
      <c r="J92" s="789" t="e">
        <f t="shared" si="47"/>
        <v>#VALUE!</v>
      </c>
      <c r="K92" s="789" t="e">
        <f t="shared" si="47"/>
        <v>#VALUE!</v>
      </c>
      <c r="L92" s="789" t="e">
        <f t="shared" si="47"/>
        <v>#VALUE!</v>
      </c>
      <c r="M92" s="789" t="e">
        <f t="shared" si="47"/>
        <v>#VALUE!</v>
      </c>
      <c r="N92" s="789" t="e">
        <f t="shared" si="47"/>
        <v>#VALUE!</v>
      </c>
      <c r="O92" s="790">
        <v>5.5</v>
      </c>
      <c r="P92" s="790">
        <v>1.8</v>
      </c>
      <c r="Q92" s="789" t="e">
        <f t="shared" ref="Q92:Z92" si="48">IF($E92&lt;=$E88,Q88,IF(AND($E92&gt;$E88,$E92&lt;=$E89),Q88+(Q89-Q88)/($E89-$E88)*($E92-$E88),IF($E92&gt;$E89,Q89)))</f>
        <v>#VALUE!</v>
      </c>
      <c r="R92" s="789" t="e">
        <f t="shared" si="48"/>
        <v>#VALUE!</v>
      </c>
      <c r="S92" s="789" t="e">
        <f t="shared" si="48"/>
        <v>#VALUE!</v>
      </c>
      <c r="T92" s="789" t="e">
        <f t="shared" si="48"/>
        <v>#VALUE!</v>
      </c>
      <c r="U92" s="789" t="e">
        <f t="shared" si="48"/>
        <v>#VALUE!</v>
      </c>
      <c r="V92" s="789" t="e">
        <f t="shared" si="48"/>
        <v>#VALUE!</v>
      </c>
      <c r="W92" s="789" t="e">
        <f t="shared" si="48"/>
        <v>#VALUE!</v>
      </c>
      <c r="X92" s="789" t="e">
        <f t="shared" si="48"/>
        <v>#VALUE!</v>
      </c>
      <c r="Y92" s="789" t="e">
        <f t="shared" si="48"/>
        <v>#VALUE!</v>
      </c>
      <c r="Z92" s="789" t="e">
        <f t="shared" si="48"/>
        <v>#VALUE!</v>
      </c>
      <c r="AA92" s="791" t="e">
        <f>+Z92*6.25</f>
        <v>#VALUE!</v>
      </c>
      <c r="AB92" s="789" t="e">
        <f>IF($E92&lt;=$E88,AB88,IF(AND($E92&gt;$E88,$E92&lt;=$E89),AB88+(AB89-AB88)/($E89-$E88)*($E92-$E88),IF($E92&gt;$E89,AB89)))</f>
        <v>#VALUE!</v>
      </c>
      <c r="AC92" s="791" t="e">
        <f>+AB92*6.25</f>
        <v>#VALUE!</v>
      </c>
      <c r="AD92" s="789" t="e">
        <f>IF($E92&lt;=$E88,AD88,IF(AND($E92&gt;$E88,$E92&lt;=$E89),AD88+(AD89-AD88)/($E89-$E88)*($E92-$E88),IF($E92&gt;$E89,AD89)))</f>
        <v>#VALUE!</v>
      </c>
      <c r="AE92" s="791" t="e">
        <f>+AD92*6.25</f>
        <v>#VALUE!</v>
      </c>
      <c r="AF92" s="791" t="e">
        <f>365/((D92-C92)/E92*1000)</f>
        <v>#VALUE!</v>
      </c>
      <c r="AG92" s="789" t="e">
        <f>IF($E92&lt;=$E88,AG88,IF(AND($E92&gt;$E88,$E92&lt;=$E89),AG88+(AG89-AG88)/($E89-$E88)*($E92-$E88),IF($E92&gt;$E89,AG89)))</f>
        <v>#VALUE!</v>
      </c>
      <c r="AH92" s="791" t="e">
        <f>+AG92/AF92</f>
        <v>#VALUE!</v>
      </c>
      <c r="AI92" s="791" t="e">
        <f>+CONCATENATE(ROUND(AH92/(D92-C92),1)," : 1")</f>
        <v>#VALUE!</v>
      </c>
      <c r="AJ92" s="789" t="e">
        <f>IF($E92&lt;=$E88,AJ88,IF(AND($E92&gt;$E88,$E92&lt;=$E89),AJ88+(AJ89-AJ88)/($E89-$E88)*($E92-$E88),IF($E92&gt;$E89,AJ89)))</f>
        <v>#VALUE!</v>
      </c>
      <c r="AK92" s="791" t="e">
        <f>+AJ92/2.291</f>
        <v>#VALUE!</v>
      </c>
      <c r="AL92" s="789" t="e">
        <f>IF($E92&lt;=$E88,AL88,IF(AND($E92&gt;$E88,$E92&lt;=$E89),AL88+(AL89-AL88)/($E89-$E88)*($E92-$E88),IF($E92&gt;$E89,AL89)))</f>
        <v>#VALUE!</v>
      </c>
      <c r="AM92" s="791" t="e">
        <f>+AL92/2.291</f>
        <v>#VALUE!</v>
      </c>
      <c r="AN92" s="789" t="e">
        <f>IF($E92&lt;=$E88,AN88,IF(AND($E92&gt;$E88,$E92&lt;=$E89),AN88+(AN89-AN88)/($E89-$E88)*($E92-$E88),IF($E92&gt;$E89,AN89)))</f>
        <v>#VALUE!</v>
      </c>
      <c r="AO92" s="791" t="e">
        <f>+AN92/2.291</f>
        <v>#VALUE!</v>
      </c>
      <c r="AP92" s="716"/>
      <c r="AR92" s="792">
        <v>96</v>
      </c>
      <c r="AS92" s="781">
        <f>IF(OR($C$12=$AR92,$D$12=$AR92),Schweine_Werte!$C92*0.5,IF(OR($C$12&gt;$AR92,$D$12&lt;$AR92),0,Schweine_Werte!$C92))</f>
        <v>0</v>
      </c>
      <c r="AT92" s="716">
        <f>IF(OR($C$24=$AR92,$D$24=$AR92),Schweine_Werte!$C92*0.5,IF(OR($C$24&gt;$AR92,$D$24&lt;$AR92),0,Schweine_Werte!$C92))</f>
        <v>0</v>
      </c>
      <c r="AU92" s="781">
        <f>IF(OR($C$36=$AR92,$D$36=$AR92),Schweine_Werte!$C92*0.5,IF(OR($C$36&gt;$AR92,$D$36&lt;$AR92),0,Schweine_Werte!$C92))</f>
        <v>0</v>
      </c>
      <c r="AV92" s="781">
        <f>IF(OR($C$48=$AR92,$D$48=$AR92),Schweine_Werte!$C92*0.5,IF(OR($C$48&gt;$AR92,$D$48&lt;$AR92),0,Schweine_Werte!$C92))</f>
        <v>0</v>
      </c>
      <c r="AW92" s="781">
        <f>IF(OR($C$60=$AR92,$D$60=$AR92),Schweine_Werte!$C92*0.5,IF(OR($C$60&gt;$AR92,$D$60&lt;$AR92),0,Schweine_Werte!$C92))</f>
        <v>0</v>
      </c>
      <c r="AX92" s="781">
        <f>IF(OR($C$12=$AR92,$D$12=$AR92),Schweine_Werte!$E92*0.5,IF(OR($C$12&gt;$AR92,$D$12&lt;$AR92),0,Schweine_Werte!$E92))</f>
        <v>0</v>
      </c>
      <c r="AY92" s="716">
        <f>IF(OR($C$24=$AR92,$D$24=$AR92),Schweine_Werte!$E92*0.5,IF(OR($C$24&gt;$AR92,$D$24&lt;$AR92),0,Schweine_Werte!$E92))</f>
        <v>0</v>
      </c>
      <c r="AZ92" s="716">
        <f>IF(OR($C$36=$AR92,$D$36=$AR92),Schweine_Werte!$E92*0.5,IF(OR($C$36&gt;$AR92,$D$36&lt;$AR92),0,Schweine_Werte!$E92))</f>
        <v>0</v>
      </c>
      <c r="BA92" s="716">
        <f>IF(OR($C$48=$AR92,$D$48=$AR92),Schweine_Werte!$E92*0.5,IF(OR($C$48&gt;$AR92,$D$48&lt;$AR92),0,Schweine_Werte!$E92))</f>
        <v>0</v>
      </c>
      <c r="BB92" s="716">
        <f>IF(OR($C$60=$AR92,$D$60=$AR92),Schweine_Werte!$E92*0.5,IF(OR($C$60&gt;$AR92,$D$60&lt;$AR92),0,Schweine_Werte!$E92))</f>
        <v>0</v>
      </c>
      <c r="BC92" s="781">
        <f>IF(OR($C$12=$AR92,$D$12=$AR92),Schweine_Werte!$G92*0.5,IF(OR($C$12&gt;$AR92,$D$12&lt;$AR92),0,Schweine_Werte!$G92))</f>
        <v>0</v>
      </c>
      <c r="BD92" s="716">
        <f>IF(OR($C$24=$AR92,$D$24=$AR92),Schweine_Werte!$G92*0.5,IF(OR($C$24&gt;$AR92,$D$24&lt;$AR92),0,Schweine_Werte!$G92))</f>
        <v>0</v>
      </c>
      <c r="BE92" s="716">
        <f>IF(OR($C$36=$AR92,$D$36=$AR92),Schweine_Werte!$G92*0.5,IF(OR($C$36&gt;$AR92,$D$36&lt;$AR92),0,Schweine_Werte!$G92))</f>
        <v>0</v>
      </c>
      <c r="BF92" s="716">
        <f>IF(OR($C$48=$AR92,$D$48=$AR92),Schweine_Werte!$G92*0.5,IF(OR($C$48&gt;$AR92,$D$48&lt;$AR92),0,Schweine_Werte!$G92))</f>
        <v>0</v>
      </c>
      <c r="BG92" s="716">
        <f>IF(OR($C$60=$AR92,$D$60=$AR92),Schweine_Werte!$G92*0.5,IF(OR($C$60&gt;$AR92,$D$60&lt;$AR92),0,Schweine_Werte!$G92))</f>
        <v>0</v>
      </c>
      <c r="BH92" s="781">
        <f>IF(OR($C$12=$AR92,$D$12=$AR92),Schweine_Werte!$I92*0.5,IF(OR($C$12&gt;$AR92,$D$12&lt;$AR92),0,Schweine_Werte!$I92))</f>
        <v>0</v>
      </c>
      <c r="BI92" s="716">
        <f>IF(OR($C$24=$AR92,$D$24=$AR92),Schweine_Werte!$I92*0.5,IF(OR($C$24&gt;$AR92,$D$24&lt;$AR92),0,Schweine_Werte!$I92))</f>
        <v>0</v>
      </c>
      <c r="BJ92" s="716">
        <f>IF(OR($C$36=$AR92,$D$36=$AR92),Schweine_Werte!$I92*0.5,IF(OR($C$36&gt;$AR92,$D$36&lt;$AR92),0,Schweine_Werte!$I92))</f>
        <v>0</v>
      </c>
      <c r="BK92" s="716">
        <f>IF(OR($C$48=$AR92,$D$48=$AR92),Schweine_Werte!$I92*0.5,IF(OR($C$48&gt;$AR92,$D$48&lt;$AR92),0,Schweine_Werte!$I92))</f>
        <v>0</v>
      </c>
      <c r="BL92" s="716">
        <f>IF(OR($C$60=$AR92,$D$60=$AR92),Schweine_Werte!$I92*0.5,IF(OR($C$60&gt;$AR92,$D$60&lt;$AR92),0,Schweine_Werte!$I92))</f>
        <v>0</v>
      </c>
      <c r="BM92" s="781"/>
      <c r="BN92" s="716"/>
      <c r="BO92" s="716"/>
      <c r="BP92" s="716"/>
      <c r="BQ92" s="716"/>
      <c r="BR92" s="781">
        <f>IF(OR($C$74=$AR92,$D$74=$AR92),Schweine_Werte!$M92*0.5,IF(OR($C$74&gt;$AR92,$D$74&lt;$AR92),0,Schweine_Werte!$M92))</f>
        <v>0</v>
      </c>
      <c r="BS92" s="781">
        <f>IF(OR($C$83=$AR92,$D$83=$AR92),Schweine_Werte!$M92*0.5,IF(OR($C$83&gt;$AR92,$D$83&lt;$AR92),0,Schweine_Werte!$M92))</f>
        <v>0</v>
      </c>
      <c r="BT92" s="783">
        <f>IF(OR($C$92=$AR92,$D$92=$AR92),Schweine_Werte!$M92*0.5,IF(OR($C$92&gt;$AR92,$D$92&lt;$AR92),0,Schweine_Werte!$M92))</f>
        <v>0</v>
      </c>
      <c r="BU92" s="783">
        <f>IF(OR($C$101=$AR92,$D$101=$AR92),Schweine_Werte!$M92*0.5,IF(OR($C$101&gt;$AR92,$D$101&lt;$AR92),0,Schweine_Werte!$M92))</f>
        <v>0</v>
      </c>
      <c r="BV92" s="783">
        <f>IF(OR($C$110=$AR92,$D$110=$AR92),Schweine_Werte!$M92*0.5,IF(OR($C$110&gt;$AR92,$D$110&lt;$AR92),0,Schweine_Werte!$M92))</f>
        <v>0</v>
      </c>
      <c r="BW92" s="783">
        <f>IF(OR(8=$AR92,$E$127=$AR92),Schweine_Werte!$M92*0.5,IF(OR(8&gt;$AR92,$E$127&lt;$AR92),0,Schweine_Werte!$M92))</f>
        <v>1.2146521797033036</v>
      </c>
      <c r="BX92" s="783">
        <f>IF(OR(8=$AR92,$E$145=$AR92),Schweine_Werte!$M92*0.5,IF(OR(8&gt;$AR92,$E$145&lt;$AR92),0,Schweine_Werte!$M92))</f>
        <v>1.2146521797033036</v>
      </c>
      <c r="BY92" s="781">
        <f>IF(OR($C$74=$AR92,$D$74=$AR92),Schweine_Werte!$O92*0.5,IF(OR($C$74&gt;$AR92,$D$74&lt;$AR92),0,Schweine_Werte!$O92))</f>
        <v>0</v>
      </c>
      <c r="BZ92" s="781">
        <f>IF(OR($C$83=$AR92,$D$83=$AR92),Schweine_Werte!$O92*0.5,IF(OR($C$83&gt;$AR92,$D$83&lt;$AR92),0,Schweine_Werte!$O92))</f>
        <v>0</v>
      </c>
      <c r="CA92" s="783">
        <f>IF(OR($C$92=$AR92,$D$92=$AR92),Schweine_Werte!$O92*0.5,IF(OR($C$92&gt;$AR92,$D$92&lt;$AR92),0,Schweine_Werte!$O92))</f>
        <v>0</v>
      </c>
      <c r="CB92" s="783">
        <f>IF(OR($C$101=$AR92,$D$101=$AR92),Schweine_Werte!$O92*0.5,IF(OR($C$101&gt;$AR92,$D$101&lt;$AR92),0,Schweine_Werte!$O92))</f>
        <v>0</v>
      </c>
      <c r="CC92" s="783">
        <f>IF(OR($C$110=$AR92,$D$110=$AR92),Schweine_Werte!$O92*0.5,IF(OR($C$110&gt;$AR92,$D$110&lt;$AR92),0,Schweine_Werte!$O92))</f>
        <v>0</v>
      </c>
    </row>
    <row r="93" spans="1:81" x14ac:dyDescent="0.2">
      <c r="AR93" s="792">
        <v>97</v>
      </c>
      <c r="AS93" s="781">
        <f>IF(OR($C$12=$AR93,$D$12=$AR93),Schweine_Werte!$C93*0.5,IF(OR($C$12&gt;$AR93,$D$12&lt;$AR93),0,Schweine_Werte!$C93))</f>
        <v>0</v>
      </c>
      <c r="AT93" s="716">
        <f>IF(OR($C$24=$AR93,$D$24=$AR93),Schweine_Werte!$C93*0.5,IF(OR($C$24&gt;$AR93,$D$24&lt;$AR93),0,Schweine_Werte!$C93))</f>
        <v>0</v>
      </c>
      <c r="AU93" s="781">
        <f>IF(OR($C$36=$AR93,$D$36=$AR93),Schweine_Werte!$C93*0.5,IF(OR($C$36&gt;$AR93,$D$36&lt;$AR93),0,Schweine_Werte!$C93))</f>
        <v>0</v>
      </c>
      <c r="AV93" s="781">
        <f>IF(OR($C$48=$AR93,$D$48=$AR93),Schweine_Werte!$C93*0.5,IF(OR($C$48&gt;$AR93,$D$48&lt;$AR93),0,Schweine_Werte!$C93))</f>
        <v>0</v>
      </c>
      <c r="AW93" s="781">
        <f>IF(OR($C$60=$AR93,$D$60=$AR93),Schweine_Werte!$C93*0.5,IF(OR($C$60&gt;$AR93,$D$60&lt;$AR93),0,Schweine_Werte!$C93))</f>
        <v>0</v>
      </c>
      <c r="AX93" s="781">
        <f>IF(OR($C$12=$AR93,$D$12=$AR93),Schweine_Werte!$E93*0.5,IF(OR($C$12&gt;$AR93,$D$12&lt;$AR93),0,Schweine_Werte!$E93))</f>
        <v>0</v>
      </c>
      <c r="AY93" s="716">
        <f>IF(OR($C$24=$AR93,$D$24=$AR93),Schweine_Werte!$E93*0.5,IF(OR($C$24&gt;$AR93,$D$24&lt;$AR93),0,Schweine_Werte!$E93))</f>
        <v>0</v>
      </c>
      <c r="AZ93" s="716">
        <f>IF(OR($C$36=$AR93,$D$36=$AR93),Schweine_Werte!$E93*0.5,IF(OR($C$36&gt;$AR93,$D$36&lt;$AR93),0,Schweine_Werte!$E93))</f>
        <v>0</v>
      </c>
      <c r="BA93" s="716">
        <f>IF(OR($C$48=$AR93,$D$48=$AR93),Schweine_Werte!$E93*0.5,IF(OR($C$48&gt;$AR93,$D$48&lt;$AR93),0,Schweine_Werte!$E93))</f>
        <v>0</v>
      </c>
      <c r="BB93" s="716">
        <f>IF(OR($C$60=$AR93,$D$60=$AR93),Schweine_Werte!$E93*0.5,IF(OR($C$60&gt;$AR93,$D$60&lt;$AR93),0,Schweine_Werte!$E93))</f>
        <v>0</v>
      </c>
      <c r="BC93" s="781">
        <f>IF(OR($C$12=$AR93,$D$12=$AR93),Schweine_Werte!$G93*0.5,IF(OR($C$12&gt;$AR93,$D$12&lt;$AR93),0,Schweine_Werte!$G93))</f>
        <v>0</v>
      </c>
      <c r="BD93" s="716">
        <f>IF(OR($C$24=$AR93,$D$24=$AR93),Schweine_Werte!$G93*0.5,IF(OR($C$24&gt;$AR93,$D$24&lt;$AR93),0,Schweine_Werte!$G93))</f>
        <v>0</v>
      </c>
      <c r="BE93" s="716">
        <f>IF(OR($C$36=$AR93,$D$36=$AR93),Schweine_Werte!$G93*0.5,IF(OR($C$36&gt;$AR93,$D$36&lt;$AR93),0,Schweine_Werte!$G93))</f>
        <v>0</v>
      </c>
      <c r="BF93" s="716">
        <f>IF(OR($C$48=$AR93,$D$48=$AR93),Schweine_Werte!$G93*0.5,IF(OR($C$48&gt;$AR93,$D$48&lt;$AR93),0,Schweine_Werte!$G93))</f>
        <v>0</v>
      </c>
      <c r="BG93" s="716">
        <f>IF(OR($C$60=$AR93,$D$60=$AR93),Schweine_Werte!$G93*0.5,IF(OR($C$60&gt;$AR93,$D$60&lt;$AR93),0,Schweine_Werte!$G93))</f>
        <v>0</v>
      </c>
      <c r="BH93" s="781">
        <f>IF(OR($C$12=$AR93,$D$12=$AR93),Schweine_Werte!$I93*0.5,IF(OR($C$12&gt;$AR93,$D$12&lt;$AR93),0,Schweine_Werte!$I93))</f>
        <v>0</v>
      </c>
      <c r="BI93" s="716">
        <f>IF(OR($C$24=$AR93,$D$24=$AR93),Schweine_Werte!$I93*0.5,IF(OR($C$24&gt;$AR93,$D$24&lt;$AR93),0,Schweine_Werte!$I93))</f>
        <v>0</v>
      </c>
      <c r="BJ93" s="716">
        <f>IF(OR($C$36=$AR93,$D$36=$AR93),Schweine_Werte!$I93*0.5,IF(OR($C$36&gt;$AR93,$D$36&lt;$AR93),0,Schweine_Werte!$I93))</f>
        <v>0</v>
      </c>
      <c r="BK93" s="716">
        <f>IF(OR($C$48=$AR93,$D$48=$AR93),Schweine_Werte!$I93*0.5,IF(OR($C$48&gt;$AR93,$D$48&lt;$AR93),0,Schweine_Werte!$I93))</f>
        <v>0</v>
      </c>
      <c r="BL93" s="716">
        <f>IF(OR($C$60=$AR93,$D$60=$AR93),Schweine_Werte!$I93*0.5,IF(OR($C$60&gt;$AR93,$D$60&lt;$AR93),0,Schweine_Werte!$I93))</f>
        <v>0</v>
      </c>
      <c r="BM93" s="781"/>
      <c r="BN93" s="716"/>
      <c r="BO93" s="716"/>
      <c r="BP93" s="716"/>
      <c r="BQ93" s="716"/>
      <c r="BR93" s="781">
        <f>IF(OR($C$74=$AR93,$D$74=$AR93),Schweine_Werte!$M93*0.5,IF(OR($C$74&gt;$AR93,$D$74&lt;$AR93),0,Schweine_Werte!$M93))</f>
        <v>0</v>
      </c>
      <c r="BS93" s="781">
        <f>IF(OR($C$83=$AR93,$D$83=$AR93),Schweine_Werte!$M93*0.5,IF(OR($C$83&gt;$AR93,$D$83&lt;$AR93),0,Schweine_Werte!$M93))</f>
        <v>0</v>
      </c>
      <c r="BT93" s="783">
        <f>IF(OR($C$92=$AR93,$D$92=$AR93),Schweine_Werte!$M93*0.5,IF(OR($C$92&gt;$AR93,$D$92&lt;$AR93),0,Schweine_Werte!$M93))</f>
        <v>0</v>
      </c>
      <c r="BU93" s="783">
        <f>IF(OR($C$101=$AR93,$D$101=$AR93),Schweine_Werte!$M93*0.5,IF(OR($C$101&gt;$AR93,$D$101&lt;$AR93),0,Schweine_Werte!$M93))</f>
        <v>0</v>
      </c>
      <c r="BV93" s="783">
        <f>IF(OR($C$110=$AR93,$D$110=$AR93),Schweine_Werte!$M93*0.5,IF(OR($C$110&gt;$AR93,$D$110&lt;$AR93),0,Schweine_Werte!$M93))</f>
        <v>0</v>
      </c>
      <c r="BW93" s="783">
        <f>IF(OR(8=$AR93,$E$127=$AR93),Schweine_Werte!$M93*0.5,IF(OR(8&gt;$AR93,$E$127&lt;$AR93),0,Schweine_Werte!$M93))</f>
        <v>1.225230707810347</v>
      </c>
      <c r="BX93" s="783">
        <f>IF(OR(8=$AR93,$E$145=$AR93),Schweine_Werte!$M93*0.5,IF(OR(8&gt;$AR93,$E$145&lt;$AR93),0,Schweine_Werte!$M93))</f>
        <v>1.225230707810347</v>
      </c>
      <c r="BY93" s="781">
        <f>IF(OR($C$74=$AR93,$D$74=$AR93),Schweine_Werte!$O93*0.5,IF(OR($C$74&gt;$AR93,$D$74&lt;$AR93),0,Schweine_Werte!$O93))</f>
        <v>0</v>
      </c>
      <c r="BZ93" s="781">
        <f>IF(OR($C$83=$AR93,$D$83=$AR93),Schweine_Werte!$O93*0.5,IF(OR($C$83&gt;$AR93,$D$83&lt;$AR93),0,Schweine_Werte!$O93))</f>
        <v>0</v>
      </c>
      <c r="CA93" s="783">
        <f>IF(OR($C$92=$AR93,$D$92=$AR93),Schweine_Werte!$O93*0.5,IF(OR($C$92&gt;$AR93,$D$92&lt;$AR93),0,Schweine_Werte!$O93))</f>
        <v>0</v>
      </c>
      <c r="CB93" s="783">
        <f>IF(OR($C$101=$AR93,$D$101=$AR93),Schweine_Werte!$O93*0.5,IF(OR($C$101&gt;$AR93,$D$101&lt;$AR93),0,Schweine_Werte!$O93))</f>
        <v>0</v>
      </c>
      <c r="CC93" s="783">
        <f>IF(OR($C$110=$AR93,$D$110=$AR93),Schweine_Werte!$O93*0.5,IF(OR($C$110&gt;$AR93,$D$110&lt;$AR93),0,Schweine_Werte!$O93))</f>
        <v>0</v>
      </c>
    </row>
    <row r="94" spans="1:81" x14ac:dyDescent="0.2">
      <c r="AR94" s="792">
        <v>98</v>
      </c>
      <c r="AS94" s="781">
        <f>IF(OR($C$12=$AR94,$D$12=$AR94),Schweine_Werte!$C94*0.5,IF(OR($C$12&gt;$AR94,$D$12&lt;$AR94),0,Schweine_Werte!$C94))</f>
        <v>0</v>
      </c>
      <c r="AT94" s="716">
        <f>IF(OR($C$24=$AR94,$D$24=$AR94),Schweine_Werte!$C94*0.5,IF(OR($C$24&gt;$AR94,$D$24&lt;$AR94),0,Schweine_Werte!$C94))</f>
        <v>0</v>
      </c>
      <c r="AU94" s="781">
        <f>IF(OR($C$36=$AR94,$D$36=$AR94),Schweine_Werte!$C94*0.5,IF(OR($C$36&gt;$AR94,$D$36&lt;$AR94),0,Schweine_Werte!$C94))</f>
        <v>0</v>
      </c>
      <c r="AV94" s="781">
        <f>IF(OR($C$48=$AR94,$D$48=$AR94),Schweine_Werte!$C94*0.5,IF(OR($C$48&gt;$AR94,$D$48&lt;$AR94),0,Schweine_Werte!$C94))</f>
        <v>0</v>
      </c>
      <c r="AW94" s="781">
        <f>IF(OR($C$60=$AR94,$D$60=$AR94),Schweine_Werte!$C94*0.5,IF(OR($C$60&gt;$AR94,$D$60&lt;$AR94),0,Schweine_Werte!$C94))</f>
        <v>0</v>
      </c>
      <c r="AX94" s="781">
        <f>IF(OR($C$12=$AR94,$D$12=$AR94),Schweine_Werte!$E94*0.5,IF(OR($C$12&gt;$AR94,$D$12&lt;$AR94),0,Schweine_Werte!$E94))</f>
        <v>0</v>
      </c>
      <c r="AY94" s="716">
        <f>IF(OR($C$24=$AR94,$D$24=$AR94),Schweine_Werte!$E94*0.5,IF(OR($C$24&gt;$AR94,$D$24&lt;$AR94),0,Schweine_Werte!$E94))</f>
        <v>0</v>
      </c>
      <c r="AZ94" s="716">
        <f>IF(OR($C$36=$AR94,$D$36=$AR94),Schweine_Werte!$E94*0.5,IF(OR($C$36&gt;$AR94,$D$36&lt;$AR94),0,Schweine_Werte!$E94))</f>
        <v>0</v>
      </c>
      <c r="BA94" s="716">
        <f>IF(OR($C$48=$AR94,$D$48=$AR94),Schweine_Werte!$E94*0.5,IF(OR($C$48&gt;$AR94,$D$48&lt;$AR94),0,Schweine_Werte!$E94))</f>
        <v>0</v>
      </c>
      <c r="BB94" s="716">
        <f>IF(OR($C$60=$AR94,$D$60=$AR94),Schweine_Werte!$E94*0.5,IF(OR($C$60&gt;$AR94,$D$60&lt;$AR94),0,Schweine_Werte!$E94))</f>
        <v>0</v>
      </c>
      <c r="BC94" s="781">
        <f>IF(OR($C$12=$AR94,$D$12=$AR94),Schweine_Werte!$G94*0.5,IF(OR($C$12&gt;$AR94,$D$12&lt;$AR94),0,Schweine_Werte!$G94))</f>
        <v>0</v>
      </c>
      <c r="BD94" s="716">
        <f>IF(OR($C$24=$AR94,$D$24=$AR94),Schweine_Werte!$G94*0.5,IF(OR($C$24&gt;$AR94,$D$24&lt;$AR94),0,Schweine_Werte!$G94))</f>
        <v>0</v>
      </c>
      <c r="BE94" s="716">
        <f>IF(OR($C$36=$AR94,$D$36=$AR94),Schweine_Werte!$G94*0.5,IF(OR($C$36&gt;$AR94,$D$36&lt;$AR94),0,Schweine_Werte!$G94))</f>
        <v>0</v>
      </c>
      <c r="BF94" s="716">
        <f>IF(OR($C$48=$AR94,$D$48=$AR94),Schweine_Werte!$G94*0.5,IF(OR($C$48&gt;$AR94,$D$48&lt;$AR94),0,Schweine_Werte!$G94))</f>
        <v>0</v>
      </c>
      <c r="BG94" s="716">
        <f>IF(OR($C$60=$AR94,$D$60=$AR94),Schweine_Werte!$G94*0.5,IF(OR($C$60&gt;$AR94,$D$60&lt;$AR94),0,Schweine_Werte!$G94))</f>
        <v>0</v>
      </c>
      <c r="BH94" s="781">
        <f>IF(OR($C$12=$AR94,$D$12=$AR94),Schweine_Werte!$I94*0.5,IF(OR($C$12&gt;$AR94,$D$12&lt;$AR94),0,Schweine_Werte!$I94))</f>
        <v>0</v>
      </c>
      <c r="BI94" s="716">
        <f>IF(OR($C$24=$AR94,$D$24=$AR94),Schweine_Werte!$I94*0.5,IF(OR($C$24&gt;$AR94,$D$24&lt;$AR94),0,Schweine_Werte!$I94))</f>
        <v>0</v>
      </c>
      <c r="BJ94" s="716">
        <f>IF(OR($C$36=$AR94,$D$36=$AR94),Schweine_Werte!$I94*0.5,IF(OR($C$36&gt;$AR94,$D$36&lt;$AR94),0,Schweine_Werte!$I94))</f>
        <v>0</v>
      </c>
      <c r="BK94" s="716">
        <f>IF(OR($C$48=$AR94,$D$48=$AR94),Schweine_Werte!$I94*0.5,IF(OR($C$48&gt;$AR94,$D$48&lt;$AR94),0,Schweine_Werte!$I94))</f>
        <v>0</v>
      </c>
      <c r="BL94" s="716">
        <f>IF(OR($C$60=$AR94,$D$60=$AR94),Schweine_Werte!$I94*0.5,IF(OR($C$60&gt;$AR94,$D$60&lt;$AR94),0,Schweine_Werte!$I94))</f>
        <v>0</v>
      </c>
      <c r="BM94" s="781"/>
      <c r="BN94" s="716"/>
      <c r="BO94" s="716"/>
      <c r="BP94" s="716"/>
      <c r="BQ94" s="716"/>
      <c r="BR94" s="781">
        <f>IF(OR($C$74=$AR94,$D$74=$AR94),Schweine_Werte!$M94*0.5,IF(OR($C$74&gt;$AR94,$D$74&lt;$AR94),0,Schweine_Werte!$M94))</f>
        <v>0</v>
      </c>
      <c r="BS94" s="781">
        <f>IF(OR($C$83=$AR94,$D$83=$AR94),Schweine_Werte!$M94*0.5,IF(OR($C$83&gt;$AR94,$D$83&lt;$AR94),0,Schweine_Werte!$M94))</f>
        <v>0</v>
      </c>
      <c r="BT94" s="783">
        <f>IF(OR($C$92=$AR94,$D$92=$AR94),Schweine_Werte!$M94*0.5,IF(OR($C$92&gt;$AR94,$D$92&lt;$AR94),0,Schweine_Werte!$M94))</f>
        <v>0</v>
      </c>
      <c r="BU94" s="783">
        <f>IF(OR($C$101=$AR94,$D$101=$AR94),Schweine_Werte!$M94*0.5,IF(OR($C$101&gt;$AR94,$D$101&lt;$AR94),0,Schweine_Werte!$M94))</f>
        <v>0</v>
      </c>
      <c r="BV94" s="783">
        <f>IF(OR($C$110=$AR94,$D$110=$AR94),Schweine_Werte!$M94*0.5,IF(OR($C$110&gt;$AR94,$D$110&lt;$AR94),0,Schweine_Werte!$M94))</f>
        <v>0</v>
      </c>
      <c r="BW94" s="783">
        <f>IF(OR(8=$AR94,$E$127=$AR94),Schweine_Werte!$M94*0.5,IF(OR(8&gt;$AR94,$E$127&lt;$AR94),0,Schweine_Werte!$M94))</f>
        <v>1.2364435817812538</v>
      </c>
      <c r="BX94" s="783">
        <f>IF(OR(8=$AR94,$E$145=$AR94),Schweine_Werte!$M94*0.5,IF(OR(8&gt;$AR94,$E$145&lt;$AR94),0,Schweine_Werte!$M94))</f>
        <v>1.2364435817812538</v>
      </c>
      <c r="BY94" s="781">
        <f>IF(OR($C$74=$AR94,$D$74=$AR94),Schweine_Werte!$O94*0.5,IF(OR($C$74&gt;$AR94,$D$74&lt;$AR94),0,Schweine_Werte!$O94))</f>
        <v>0</v>
      </c>
      <c r="BZ94" s="781">
        <f>IF(OR($C$83=$AR94,$D$83=$AR94),Schweine_Werte!$O94*0.5,IF(OR($C$83&gt;$AR94,$D$83&lt;$AR94),0,Schweine_Werte!$O94))</f>
        <v>0</v>
      </c>
      <c r="CA94" s="783">
        <f>IF(OR($C$92=$AR94,$D$92=$AR94),Schweine_Werte!$O94*0.5,IF(OR($C$92&gt;$AR94,$D$92&lt;$AR94),0,Schweine_Werte!$O94))</f>
        <v>0</v>
      </c>
      <c r="CB94" s="783">
        <f>IF(OR($C$101=$AR94,$D$101=$AR94),Schweine_Werte!$O94*0.5,IF(OR($C$101&gt;$AR94,$D$101&lt;$AR94),0,Schweine_Werte!$O94))</f>
        <v>0</v>
      </c>
      <c r="CC94" s="783">
        <f>IF(OR($C$110=$AR94,$D$110=$AR94),Schweine_Werte!$O94*0.5,IF(OR($C$110&gt;$AR94,$D$110&lt;$AR94),0,Schweine_Werte!$O94))</f>
        <v>0</v>
      </c>
    </row>
    <row r="95" spans="1:81" x14ac:dyDescent="0.2">
      <c r="Q95" s="1587" t="s">
        <v>7768</v>
      </c>
      <c r="R95" s="1587"/>
      <c r="S95" s="1587"/>
      <c r="T95" s="1587" t="s">
        <v>7769</v>
      </c>
      <c r="U95" s="1587"/>
      <c r="V95" s="1587"/>
      <c r="W95" s="975" t="s">
        <v>7662</v>
      </c>
      <c r="X95" s="975"/>
      <c r="Y95" s="975"/>
      <c r="AR95" s="792">
        <v>99</v>
      </c>
      <c r="AS95" s="781">
        <f>IF(OR($C$12=$AR95,$D$12=$AR95),Schweine_Werte!$C95*0.5,IF(OR($C$12&gt;$AR95,$D$12&lt;$AR95),0,Schweine_Werte!$C95))</f>
        <v>0</v>
      </c>
      <c r="AT95" s="716">
        <f>IF(OR($C$24=$AR95,$D$24=$AR95),Schweine_Werte!$C95*0.5,IF(OR($C$24&gt;$AR95,$D$24&lt;$AR95),0,Schweine_Werte!$C95))</f>
        <v>0</v>
      </c>
      <c r="AU95" s="781">
        <f>IF(OR($C$36=$AR95,$D$36=$AR95),Schweine_Werte!$C95*0.5,IF(OR($C$36&gt;$AR95,$D$36&lt;$AR95),0,Schweine_Werte!$C95))</f>
        <v>0</v>
      </c>
      <c r="AV95" s="781">
        <f>IF(OR($C$48=$AR95,$D$48=$AR95),Schweine_Werte!$C95*0.5,IF(OR($C$48&gt;$AR95,$D$48&lt;$AR95),0,Schweine_Werte!$C95))</f>
        <v>0</v>
      </c>
      <c r="AW95" s="781">
        <f>IF(OR($C$60=$AR95,$D$60=$AR95),Schweine_Werte!$C95*0.5,IF(OR($C$60&gt;$AR95,$D$60&lt;$AR95),0,Schweine_Werte!$C95))</f>
        <v>0</v>
      </c>
      <c r="AX95" s="781">
        <f>IF(OR($C$12=$AR95,$D$12=$AR95),Schweine_Werte!$E95*0.5,IF(OR($C$12&gt;$AR95,$D$12&lt;$AR95),0,Schweine_Werte!$E95))</f>
        <v>0</v>
      </c>
      <c r="AY95" s="716">
        <f>IF(OR($C$24=$AR95,$D$24=$AR95),Schweine_Werte!$E95*0.5,IF(OR($C$24&gt;$AR95,$D$24&lt;$AR95),0,Schweine_Werte!$E95))</f>
        <v>0</v>
      </c>
      <c r="AZ95" s="716">
        <f>IF(OR($C$36=$AR95,$D$36=$AR95),Schweine_Werte!$E95*0.5,IF(OR($C$36&gt;$AR95,$D$36&lt;$AR95),0,Schweine_Werte!$E95))</f>
        <v>0</v>
      </c>
      <c r="BA95" s="716">
        <f>IF(OR($C$48=$AR95,$D$48=$AR95),Schweine_Werte!$E95*0.5,IF(OR($C$48&gt;$AR95,$D$48&lt;$AR95),0,Schweine_Werte!$E95))</f>
        <v>0</v>
      </c>
      <c r="BB95" s="716">
        <f>IF(OR($C$60=$AR95,$D$60=$AR95),Schweine_Werte!$E95*0.5,IF(OR($C$60&gt;$AR95,$D$60&lt;$AR95),0,Schweine_Werte!$E95))</f>
        <v>0</v>
      </c>
      <c r="BC95" s="781">
        <f>IF(OR($C$12=$AR95,$D$12=$AR95),Schweine_Werte!$G95*0.5,IF(OR($C$12&gt;$AR95,$D$12&lt;$AR95),0,Schweine_Werte!$G95))</f>
        <v>0</v>
      </c>
      <c r="BD95" s="716">
        <f>IF(OR($C$24=$AR95,$D$24=$AR95),Schweine_Werte!$G95*0.5,IF(OR($C$24&gt;$AR95,$D$24&lt;$AR95),0,Schweine_Werte!$G95))</f>
        <v>0</v>
      </c>
      <c r="BE95" s="716">
        <f>IF(OR($C$36=$AR95,$D$36=$AR95),Schweine_Werte!$G95*0.5,IF(OR($C$36&gt;$AR95,$D$36&lt;$AR95),0,Schweine_Werte!$G95))</f>
        <v>0</v>
      </c>
      <c r="BF95" s="716">
        <f>IF(OR($C$48=$AR95,$D$48=$AR95),Schweine_Werte!$G95*0.5,IF(OR($C$48&gt;$AR95,$D$48&lt;$AR95),0,Schweine_Werte!$G95))</f>
        <v>0</v>
      </c>
      <c r="BG95" s="716">
        <f>IF(OR($C$60=$AR95,$D$60=$AR95),Schweine_Werte!$G95*0.5,IF(OR($C$60&gt;$AR95,$D$60&lt;$AR95),0,Schweine_Werte!$G95))</f>
        <v>0</v>
      </c>
      <c r="BH95" s="781">
        <f>IF(OR($C$12=$AR95,$D$12=$AR95),Schweine_Werte!$I95*0.5,IF(OR($C$12&gt;$AR95,$D$12&lt;$AR95),0,Schweine_Werte!$I95))</f>
        <v>0</v>
      </c>
      <c r="BI95" s="716">
        <f>IF(OR($C$24=$AR95,$D$24=$AR95),Schweine_Werte!$I95*0.5,IF(OR($C$24&gt;$AR95,$D$24&lt;$AR95),0,Schweine_Werte!$I95))</f>
        <v>0</v>
      </c>
      <c r="BJ95" s="716">
        <f>IF(OR($C$36=$AR95,$D$36=$AR95),Schweine_Werte!$I95*0.5,IF(OR($C$36&gt;$AR95,$D$36&lt;$AR95),0,Schweine_Werte!$I95))</f>
        <v>0</v>
      </c>
      <c r="BK95" s="716">
        <f>IF(OR($C$48=$AR95,$D$48=$AR95),Schweine_Werte!$I95*0.5,IF(OR($C$48&gt;$AR95,$D$48&lt;$AR95),0,Schweine_Werte!$I95))</f>
        <v>0</v>
      </c>
      <c r="BL95" s="716">
        <f>IF(OR($C$60=$AR95,$D$60=$AR95),Schweine_Werte!$I95*0.5,IF(OR($C$60&gt;$AR95,$D$60&lt;$AR95),0,Schweine_Werte!$I95))</f>
        <v>0</v>
      </c>
      <c r="BM95" s="781"/>
      <c r="BN95" s="716"/>
      <c r="BO95" s="716"/>
      <c r="BP95" s="716"/>
      <c r="BQ95" s="716"/>
      <c r="BR95" s="781">
        <f>IF(OR($C$74=$AR95,$D$74=$AR95),Schweine_Werte!$M95*0.5,IF(OR($C$74&gt;$AR95,$D$74&lt;$AR95),0,Schweine_Werte!$M95))</f>
        <v>0</v>
      </c>
      <c r="BS95" s="781">
        <f>IF(OR($C$83=$AR95,$D$83=$AR95),Schweine_Werte!$M95*0.5,IF(OR($C$83&gt;$AR95,$D$83&lt;$AR95),0,Schweine_Werte!$M95))</f>
        <v>0</v>
      </c>
      <c r="BT95" s="783">
        <f>IF(OR($C$92=$AR95,$D$92=$AR95),Schweine_Werte!$M95*0.5,IF(OR($C$92&gt;$AR95,$D$92&lt;$AR95),0,Schweine_Werte!$M95))</f>
        <v>0</v>
      </c>
      <c r="BU95" s="783">
        <f>IF(OR($C$101=$AR95,$D$101=$AR95),Schweine_Werte!$M95*0.5,IF(OR($C$101&gt;$AR95,$D$101&lt;$AR95),0,Schweine_Werte!$M95))</f>
        <v>0</v>
      </c>
      <c r="BV95" s="783">
        <f>IF(OR($C$110=$AR95,$D$110=$AR95),Schweine_Werte!$M95*0.5,IF(OR($C$110&gt;$AR95,$D$110&lt;$AR95),0,Schweine_Werte!$M95))</f>
        <v>0</v>
      </c>
      <c r="BW95" s="783">
        <f>IF(OR(8=$AR95,$E$127=$AR95),Schweine_Werte!$M95*0.5,IF(OR(8&gt;$AR95,$E$127&lt;$AR95),0,Schweine_Werte!$M95))</f>
        <v>1.2483202500391168</v>
      </c>
      <c r="BX95" s="783">
        <f>IF(OR(8=$AR95,$E$145=$AR95),Schweine_Werte!$M95*0.5,IF(OR(8&gt;$AR95,$E$145&lt;$AR95),0,Schweine_Werte!$M95))</f>
        <v>1.2483202500391168</v>
      </c>
      <c r="BY95" s="781">
        <f>IF(OR($C$74=$AR95,$D$74=$AR95),Schweine_Werte!$O95*0.5,IF(OR($C$74&gt;$AR95,$D$74&lt;$AR95),0,Schweine_Werte!$O95))</f>
        <v>0</v>
      </c>
      <c r="BZ95" s="781">
        <f>IF(OR($C$83=$AR95,$D$83=$AR95),Schweine_Werte!$O95*0.5,IF(OR($C$83&gt;$AR95,$D$83&lt;$AR95),0,Schweine_Werte!$O95))</f>
        <v>0</v>
      </c>
      <c r="CA95" s="783">
        <f>IF(OR($C$92=$AR95,$D$92=$AR95),Schweine_Werte!$O95*0.5,IF(OR($C$92&gt;$AR95,$D$92&lt;$AR95),0,Schweine_Werte!$O95))</f>
        <v>0</v>
      </c>
      <c r="CB95" s="783">
        <f>IF(OR($C$101=$AR95,$D$101=$AR95),Schweine_Werte!$O95*0.5,IF(OR($C$101&gt;$AR95,$D$101&lt;$AR95),0,Schweine_Werte!$O95))</f>
        <v>0</v>
      </c>
      <c r="CC95" s="783">
        <f>IF(OR($C$110=$AR95,$D$110=$AR95),Schweine_Werte!$O95*0.5,IF(OR($C$110&gt;$AR95,$D$110&lt;$AR95),0,Schweine_Werte!$O95))</f>
        <v>0</v>
      </c>
    </row>
    <row r="96" spans="1:81" x14ac:dyDescent="0.2">
      <c r="B96" t="s">
        <v>7712</v>
      </c>
      <c r="E96" t="s">
        <v>7688</v>
      </c>
      <c r="F96" t="s">
        <v>196</v>
      </c>
      <c r="G96" t="s">
        <v>7689</v>
      </c>
      <c r="H96" t="s">
        <v>7690</v>
      </c>
      <c r="I96" t="s">
        <v>7691</v>
      </c>
      <c r="J96" t="s">
        <v>589</v>
      </c>
      <c r="K96" t="s">
        <v>7692</v>
      </c>
      <c r="L96" t="s">
        <v>7693</v>
      </c>
      <c r="M96" t="s">
        <v>7694</v>
      </c>
      <c r="N96" t="s">
        <v>7695</v>
      </c>
      <c r="O96" t="s">
        <v>7696</v>
      </c>
      <c r="P96" t="s">
        <v>7697</v>
      </c>
      <c r="Q96" t="s">
        <v>39</v>
      </c>
      <c r="R96" t="s">
        <v>40</v>
      </c>
      <c r="S96" t="s">
        <v>41</v>
      </c>
      <c r="T96" t="s">
        <v>39</v>
      </c>
      <c r="U96" t="s">
        <v>40</v>
      </c>
      <c r="V96" t="s">
        <v>41</v>
      </c>
      <c r="W96" t="s">
        <v>7675</v>
      </c>
      <c r="X96" t="s">
        <v>7676</v>
      </c>
      <c r="Y96" t="s">
        <v>7677</v>
      </c>
      <c r="AR96" s="792">
        <v>100</v>
      </c>
      <c r="AS96" s="781">
        <f>IF(OR($C$12=$AR96,$D$12=$AR96),Schweine_Werte!$C96*0.5,IF(OR($C$12&gt;$AR96,$D$12&lt;$AR96),0,Schweine_Werte!$C96))</f>
        <v>0</v>
      </c>
      <c r="AT96" s="716">
        <f>IF(OR($C$24=$AR96,$D$24=$AR96),Schweine_Werte!$C96*0.5,IF(OR($C$24&gt;$AR96,$D$24&lt;$AR96),0,Schweine_Werte!$C96))</f>
        <v>0</v>
      </c>
      <c r="AU96" s="781">
        <f>IF(OR($C$36=$AR96,$D$36=$AR96),Schweine_Werte!$C96*0.5,IF(OR($C$36&gt;$AR96,$D$36&lt;$AR96),0,Schweine_Werte!$C96))</f>
        <v>0</v>
      </c>
      <c r="AV96" s="781">
        <f>IF(OR($C$48=$AR96,$D$48=$AR96),Schweine_Werte!$C96*0.5,IF(OR($C$48&gt;$AR96,$D$48&lt;$AR96),0,Schweine_Werte!$C96))</f>
        <v>0</v>
      </c>
      <c r="AW96" s="781">
        <f>IF(OR($C$60=$AR96,$D$60=$AR96),Schweine_Werte!$C96*0.5,IF(OR($C$60&gt;$AR96,$D$60&lt;$AR96),0,Schweine_Werte!$C96))</f>
        <v>0</v>
      </c>
      <c r="AX96" s="781">
        <f>IF(OR($C$12=$AR96,$D$12=$AR96),Schweine_Werte!$E96*0.5,IF(OR($C$12&gt;$AR96,$D$12&lt;$AR96),0,Schweine_Werte!$E96))</f>
        <v>0</v>
      </c>
      <c r="AY96" s="716">
        <f>IF(OR($C$24=$AR96,$D$24=$AR96),Schweine_Werte!$E96*0.5,IF(OR($C$24&gt;$AR96,$D$24&lt;$AR96),0,Schweine_Werte!$E96))</f>
        <v>0</v>
      </c>
      <c r="AZ96" s="716">
        <f>IF(OR($C$36=$AR96,$D$36=$AR96),Schweine_Werte!$E96*0.5,IF(OR($C$36&gt;$AR96,$D$36&lt;$AR96),0,Schweine_Werte!$E96))</f>
        <v>0</v>
      </c>
      <c r="BA96" s="716">
        <f>IF(OR($C$48=$AR96,$D$48=$AR96),Schweine_Werte!$E96*0.5,IF(OR($C$48&gt;$AR96,$D$48&lt;$AR96),0,Schweine_Werte!$E96))</f>
        <v>0</v>
      </c>
      <c r="BB96" s="716">
        <f>IF(OR($C$60=$AR96,$D$60=$AR96),Schweine_Werte!$E96*0.5,IF(OR($C$60&gt;$AR96,$D$60&lt;$AR96),0,Schweine_Werte!$E96))</f>
        <v>0</v>
      </c>
      <c r="BC96" s="781">
        <f>IF(OR($C$12=$AR96,$D$12=$AR96),Schweine_Werte!$G96*0.5,IF(OR($C$12&gt;$AR96,$D$12&lt;$AR96),0,Schweine_Werte!$G96))</f>
        <v>0</v>
      </c>
      <c r="BD96" s="716">
        <f>IF(OR($C$24=$AR96,$D$24=$AR96),Schweine_Werte!$G96*0.5,IF(OR($C$24&gt;$AR96,$D$24&lt;$AR96),0,Schweine_Werte!$G96))</f>
        <v>0</v>
      </c>
      <c r="BE96" s="716">
        <f>IF(OR($C$36=$AR96,$D$36=$AR96),Schweine_Werte!$G96*0.5,IF(OR($C$36&gt;$AR96,$D$36&lt;$AR96),0,Schweine_Werte!$G96))</f>
        <v>0</v>
      </c>
      <c r="BF96" s="716">
        <f>IF(OR($C$48=$AR96,$D$48=$AR96),Schweine_Werte!$G96*0.5,IF(OR($C$48&gt;$AR96,$D$48&lt;$AR96),0,Schweine_Werte!$G96))</f>
        <v>0</v>
      </c>
      <c r="BG96" s="716">
        <f>IF(OR($C$60=$AR96,$D$60=$AR96),Schweine_Werte!$G96*0.5,IF(OR($C$60&gt;$AR96,$D$60&lt;$AR96),0,Schweine_Werte!$G96))</f>
        <v>0</v>
      </c>
      <c r="BH96" s="781">
        <f>IF(OR($C$12=$AR96,$D$12=$AR96),Schweine_Werte!$I96*0.5,IF(OR($C$12&gt;$AR96,$D$12&lt;$AR96),0,Schweine_Werte!$I96))</f>
        <v>0</v>
      </c>
      <c r="BI96" s="716">
        <f>IF(OR($C$24=$AR96,$D$24=$AR96),Schweine_Werte!$I96*0.5,IF(OR($C$24&gt;$AR96,$D$24&lt;$AR96),0,Schweine_Werte!$I96))</f>
        <v>0</v>
      </c>
      <c r="BJ96" s="716">
        <f>IF(OR($C$36=$AR96,$D$36=$AR96),Schweine_Werte!$I96*0.5,IF(OR($C$36&gt;$AR96,$D$36&lt;$AR96),0,Schweine_Werte!$I96))</f>
        <v>0</v>
      </c>
      <c r="BK96" s="716">
        <f>IF(OR($C$48=$AR96,$D$48=$AR96),Schweine_Werte!$I96*0.5,IF(OR($C$48&gt;$AR96,$D$48&lt;$AR96),0,Schweine_Werte!$I96))</f>
        <v>0</v>
      </c>
      <c r="BL96" s="716">
        <f>IF(OR($C$60=$AR96,$D$60=$AR96),Schweine_Werte!$I96*0.5,IF(OR($C$60&gt;$AR96,$D$60&lt;$AR96),0,Schweine_Werte!$I96))</f>
        <v>0</v>
      </c>
      <c r="BM96" s="781"/>
      <c r="BN96" s="716"/>
      <c r="BO96" s="716"/>
      <c r="BP96" s="716"/>
      <c r="BQ96" s="716"/>
      <c r="BR96" s="781">
        <f>IF(OR($C$74=$AR96,$D$74=$AR96),Schweine_Werte!$M96*0.5,IF(OR($C$74&gt;$AR96,$D$74&lt;$AR96),0,Schweine_Werte!$M96))</f>
        <v>0</v>
      </c>
      <c r="BS96" s="781">
        <f>IF(OR($C$83=$AR96,$D$83=$AR96),Schweine_Werte!$M96*0.5,IF(OR($C$83&gt;$AR96,$D$83&lt;$AR96),0,Schweine_Werte!$M96))</f>
        <v>0</v>
      </c>
      <c r="BT96" s="783">
        <f>IF(OR($C$92=$AR96,$D$92=$AR96),Schweine_Werte!$M96*0.5,IF(OR($C$92&gt;$AR96,$D$92&lt;$AR96),0,Schweine_Werte!$M96))</f>
        <v>0</v>
      </c>
      <c r="BU96" s="783">
        <f>IF(OR($C$101=$AR96,$D$101=$AR96),Schweine_Werte!$M96*0.5,IF(OR($C$101&gt;$AR96,$D$101&lt;$AR96),0,Schweine_Werte!$M96))</f>
        <v>0</v>
      </c>
      <c r="BV96" s="783">
        <f>IF(OR($C$110=$AR96,$D$110=$AR96),Schweine_Werte!$M96*0.5,IF(OR($C$110&gt;$AR96,$D$110&lt;$AR96),0,Schweine_Werte!$M96))</f>
        <v>0</v>
      </c>
      <c r="BW96" s="783">
        <f>IF(OR(8=$AR96,$E$127=$AR96),Schweine_Werte!$M96*0.5,IF(OR(8&gt;$AR96,$E$127&lt;$AR96),0,Schweine_Werte!$M96))</f>
        <v>1.2608927189522001</v>
      </c>
      <c r="BX96" s="783">
        <f>IF(OR(8=$AR96,$E$145=$AR96),Schweine_Werte!$M96*0.5,IF(OR(8&gt;$AR96,$E$145&lt;$AR96),0,Schweine_Werte!$M96))</f>
        <v>1.2608927189522001</v>
      </c>
      <c r="BY96" s="781">
        <f>IF(OR($C$74=$AR96,$D$74=$AR96),Schweine_Werte!$O96*0.5,IF(OR($C$74&gt;$AR96,$D$74&lt;$AR96),0,Schweine_Werte!$O96))</f>
        <v>0</v>
      </c>
      <c r="BZ96" s="781">
        <f>IF(OR($C$83=$AR96,$D$83=$AR96),Schweine_Werte!$O96*0.5,IF(OR($C$83&gt;$AR96,$D$83&lt;$AR96),0,Schweine_Werte!$O96))</f>
        <v>0</v>
      </c>
      <c r="CA96" s="783">
        <f>IF(OR($C$92=$AR96,$D$92=$AR96),Schweine_Werte!$O96*0.5,IF(OR($C$92&gt;$AR96,$D$92&lt;$AR96),0,Schweine_Werte!$O96))</f>
        <v>0</v>
      </c>
      <c r="CB96" s="783">
        <f>IF(OR($C$101=$AR96,$D$101=$AR96),Schweine_Werte!$O96*0.5,IF(OR($C$101&gt;$AR96,$D$101&lt;$AR96),0,Schweine_Werte!$O96))</f>
        <v>0</v>
      </c>
      <c r="CC96" s="783">
        <f>IF(OR($C$110=$AR96,$D$110=$AR96),Schweine_Werte!$O96*0.5,IF(OR($C$110&gt;$AR96,$D$110&lt;$AR96),0,Schweine_Werte!$O96))</f>
        <v>0</v>
      </c>
    </row>
    <row r="97" spans="1:81" x14ac:dyDescent="0.2">
      <c r="B97">
        <v>450</v>
      </c>
      <c r="D97" s="716"/>
      <c r="E97" t="e">
        <f>($D101-$C101)*1000/SUM($BU$4:$BU$31)</f>
        <v>#VALUE!</v>
      </c>
      <c r="F97" s="716" t="e">
        <f>SUMPRODUCT($BU$4:$BU$31,Schweine_Werte!$V$4:$V$31)/SUM($BU$4:$BU$31)</f>
        <v>#DIV/0!</v>
      </c>
      <c r="G97" s="716" t="e">
        <f>IF($B101=$A$8,SUMPRODUCT($BU$4:$BU$31,Schweine_Werte!HE$4:HE$31)/SUM($BU$4:$BU$31),IF($B101=$A$7,SUMPRODUCT($BU$4:$BU$31,Schweine_Werte!GQ$4:GQ$31)/SUM($BU$4:$BU$31),IF($B101=$A$6,SUMPRODUCT($BU$4:$BU$31,Schweine_Werte!GC$4:GC$31)/SUM($BU$4:$BU$31),SUMPRODUCT($BU$4:$BU$31,Schweine_Werte!FO$4:FO$31)/SUM($BU$4:$BU$31))))</f>
        <v>#DIV/0!</v>
      </c>
      <c r="H97" s="716" t="e">
        <f>IF($B101=$A$8,SUMPRODUCT($BU$4:$BU$31,Schweine_Werte!HF$4:HF$31)/SUM($BU$4:$BU$31),IF($B101=$A$7,SUMPRODUCT($BU$4:$BU$31,Schweine_Werte!GR$4:GR$31)/SUM($BU$4:$BU$31),IF($B101=$A$6,SUMPRODUCT($BU$4:$BU$31,Schweine_Werte!GD$4:GD$31)/SUM($BU$4:$BU$31),SUMPRODUCT($BU$4:$BU$31,Schweine_Werte!FP$4:FP$31)/SUM($BU$4:$BU$31))))</f>
        <v>#DIV/0!</v>
      </c>
      <c r="I97" s="716" t="e">
        <f>IF($B101=$A$8,SUMPRODUCT($BU$4:$BU$31,Schweine_Werte!HG$4:HG$31)/SUM($BU$4:$BU$31),IF($B101=$A$7,SUMPRODUCT($BU$4:$BU$31,Schweine_Werte!GS$4:GS$31)/SUM($BU$4:$BU$31),IF($B101=$A$6,SUMPRODUCT($BU$4:$BU$31,Schweine_Werte!GE$4:GE$31)/SUM($BU$4:$BU$31),SUMPRODUCT($BU$4:$BU$31,Schweine_Werte!FQ$4:FQ$31)/SUM($BU$4:$BU$31))))</f>
        <v>#DIV/0!</v>
      </c>
      <c r="J97" s="716" t="e">
        <f>SUMPRODUCT($BU$4:$BU$31,Schweine_Werte!$AD$4:$AD$31)/SUM($BU$4:$BU$31)</f>
        <v>#DIV/0!</v>
      </c>
      <c r="K97" s="716" t="e">
        <f>SUMPRODUCT($BU$4:$BU$31,Schweine_Werte!$AL$4:$AL$31)/SUM($BU$4:$BU$31)</f>
        <v>#DIV/0!</v>
      </c>
      <c r="L97" s="716" t="e">
        <f>T97*$F97*365/1000+$J97-$K97</f>
        <v>#DIV/0!</v>
      </c>
      <c r="M97" s="716" t="e">
        <f>U97*$F97*365/1000+$J97-$K97/2</f>
        <v>#DIV/0!</v>
      </c>
      <c r="N97" s="716" t="e">
        <f>V97*$F97*365/1000+$J97</f>
        <v>#DIV/0!</v>
      </c>
      <c r="O97" s="716">
        <f>IF($C101&lt;28,SUM($BU$4:$BU$23)+IF($D101&gt;28,$BU$24*0.5,$BU$24),0)</f>
        <v>0</v>
      </c>
      <c r="P97" s="716">
        <f>IF($D101&gt;28,SUM($BU$25:$BU$31)+IF($C101&lt;28,$BU$24*0.5,$BU$24),0)</f>
        <v>0</v>
      </c>
      <c r="Q97" s="716" t="e">
        <f t="shared" ref="Q97:S98" si="49">+T97*$F97</f>
        <v>#DIV/0!</v>
      </c>
      <c r="R97" s="716" t="e">
        <f t="shared" si="49"/>
        <v>#DIV/0!</v>
      </c>
      <c r="S97" s="716" t="e">
        <f t="shared" si="49"/>
        <v>#DIV/0!</v>
      </c>
      <c r="T97" s="716" t="e">
        <f>+($O97*Schweine_Werte!$HT$15+$P97*Schweine_Werte!$HU$15)/SUM($O97:$P97)</f>
        <v>#DIV/0!</v>
      </c>
      <c r="U97" s="716" t="e">
        <f>+($O97*Schweine_Werte!$HV$15+$P97*Schweine_Werte!$HW$15)/SUM($O97:$P97)</f>
        <v>#DIV/0!</v>
      </c>
      <c r="V97" s="716" t="e">
        <f>+($O97*Schweine_Werte!$HX$15+$P97*Schweine_Werte!$HY$15)/SUM($O97:$P97)</f>
        <v>#DIV/0!</v>
      </c>
      <c r="W97" s="771" t="e">
        <f>($J97*0.055+T97*0.365*0.86*$F97-$K97*0.018)/L97*100</f>
        <v>#DIV/0!</v>
      </c>
      <c r="X97" s="771" t="e">
        <f>($J97*0.055+U97*0.365*0.86*$F97-$K97*0.018/2)/M97*100</f>
        <v>#DIV/0!</v>
      </c>
      <c r="Y97" s="716" t="e">
        <f>($J97*0.055+V97*0.365*0.86*$F97)/N97*100</f>
        <v>#DIV/0!</v>
      </c>
      <c r="Z97" s="716"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16"/>
      <c r="AB97" s="716">
        <f>IF($B101=$A$8,SUMIF(Schweine_Werte!$AO$4:$AO$31,$C101,Schweine_Werte!$HI$4:$HI$31),IF($B101=$A$7,SUMIF(Schweine_Werte!$AO$4:$AO$31,$C101,Schweine_Werte!$GU$4:$GU$31),IF($B101=$A$6,SUMIF(Schweine_Werte!$AO$4:$AO$31,$C101,Schweine_Werte!$GG$4:$GG$31),SUMIF(Schweine_Werte!$AO$4:$AO$31,$C101,Schweine_Werte!$FS$4:$FS$31))))</f>
        <v>0</v>
      </c>
      <c r="AC97" s="716"/>
      <c r="AD97" s="716">
        <f>IF($B101=$A$8,SUMIF(Schweine_Werte!$AO$4:$AO$31,$D101,Schweine_Werte!$HI$4:$HI$31),IF($B101=$A$7,SUMIF(Schweine_Werte!$AO$4:$AO$31,$D101,Schweine_Werte!$GU$4:$GU$31),IF($B101=$A$6,SUMIF(Schweine_Werte!$AO$4:$AO$31,$D101,Schweine_Werte!$GG$4:$GG$31),SUMIF(Schweine_Werte!$AO$4:$AO$31,$D101,Schweine_Werte!$FS$4:$FS$31))))</f>
        <v>0</v>
      </c>
      <c r="AE97" s="716"/>
      <c r="AF97" s="716"/>
      <c r="AG97" s="716" t="e">
        <f>IF($B101=$A$8,SUMPRODUCT($BU$4:$BU$31,Schweine_Werte!$HH$4:$HH$31)/SUM($BU$4:$BU$31),IF($B101=$A$7,SUMPRODUCT($BU$4:$BU$31,Schweine_Werte!$GT$4:$GT$31)/SUM($BU$4:$BU$31),IF($B101=$A$6,SUMPRODUCT($BU$4:$BU$31,Schweine_Werte!$GF$4:$GF$31)/SUM($BU$4:$BU$31),SUMPRODUCT($BU$4:$BU$31,Schweine_Werte!$FR$4:$FR$31)/SUM($BU$4:$BU$31))))</f>
        <v>#DIV/0!</v>
      </c>
      <c r="AH97" s="716"/>
      <c r="AI97" s="716"/>
      <c r="AJ97" s="716"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16"/>
      <c r="AL97" s="716">
        <f>IF($B101=$A$8,SUMIF(Schweine_Werte!$AO$4:$AO$31,$C101,Schweine_Werte!$HJ$4:$HJ$31),IF($B101=$A$7,SUMIF(Schweine_Werte!$AO$4:$AO$31,$C101,Schweine_Werte!$GV$4:$GV$31),IF($B101=$A$6,SUMIF(Schweine_Werte!$AO$4:$AO$31,$C101,Schweine_Werte!$GH$4:$GH$31),SUMIF(Schweine_Werte!$AO$4:$AO$31,$C101,Schweine_Werte!$FT$4:$FT$31))))</f>
        <v>0</v>
      </c>
      <c r="AM97" s="716"/>
      <c r="AN97" s="716">
        <f>IF($B101=$A$8,SUMIF(Schweine_Werte!$AO$4:$AO$31,$D101,Schweine_Werte!$HJ$4:$HJ$31),IF($B101=$A$7,SUMIF(Schweine_Werte!$AO$4:$AO$31,$D101,Schweine_Werte!$GV$4:$GV$31),IF($B101=$A$6,SUMIF(Schweine_Werte!$AO$4:$AO$31,$D101,Schweine_Werte!$GH$4:$GH$31),SUMIF(Schweine_Werte!$AO$4:$AO$31,$D101,Schweine_Werte!$FT$4:$FT$31))))</f>
        <v>0</v>
      </c>
      <c r="AR97" s="792">
        <v>101</v>
      </c>
      <c r="AS97" s="781">
        <f>IF(OR($C$12=$AR97,$D$12=$AR97),Schweine_Werte!$C97*0.5,IF(OR($C$12&gt;$AR97,$D$12&lt;$AR97),0,Schweine_Werte!$C97))</f>
        <v>0</v>
      </c>
      <c r="AT97" s="716">
        <f>IF(OR($C$24=$AR97,$D$24=$AR97),Schweine_Werte!$C97*0.5,IF(OR($C$24&gt;$AR97,$D$24&lt;$AR97),0,Schweine_Werte!$C97))</f>
        <v>0</v>
      </c>
      <c r="AU97" s="781">
        <f>IF(OR($C$36=$AR97,$D$36=$AR97),Schweine_Werte!$C97*0.5,IF(OR($C$36&gt;$AR97,$D$36&lt;$AR97),0,Schweine_Werte!$C97))</f>
        <v>0</v>
      </c>
      <c r="AV97" s="781">
        <f>IF(OR($C$48=$AR97,$D$48=$AR97),Schweine_Werte!$C97*0.5,IF(OR($C$48&gt;$AR97,$D$48&lt;$AR97),0,Schweine_Werte!$C97))</f>
        <v>0</v>
      </c>
      <c r="AW97" s="781">
        <f>IF(OR($C$60=$AR97,$D$60=$AR97),Schweine_Werte!$C97*0.5,IF(OR($C$60&gt;$AR97,$D$60&lt;$AR97),0,Schweine_Werte!$C97))</f>
        <v>0</v>
      </c>
      <c r="AX97" s="781">
        <f>IF(OR($C$12=$AR97,$D$12=$AR97),Schweine_Werte!$E97*0.5,IF(OR($C$12&gt;$AR97,$D$12&lt;$AR97),0,Schweine_Werte!$E97))</f>
        <v>0</v>
      </c>
      <c r="AY97" s="716">
        <f>IF(OR($C$24=$AR97,$D$24=$AR97),Schweine_Werte!$E97*0.5,IF(OR($C$24&gt;$AR97,$D$24&lt;$AR97),0,Schweine_Werte!$E97))</f>
        <v>0</v>
      </c>
      <c r="AZ97" s="716">
        <f>IF(OR($C$36=$AR97,$D$36=$AR97),Schweine_Werte!$E97*0.5,IF(OR($C$36&gt;$AR97,$D$36&lt;$AR97),0,Schweine_Werte!$E97))</f>
        <v>0</v>
      </c>
      <c r="BA97" s="716">
        <f>IF(OR($C$48=$AR97,$D$48=$AR97),Schweine_Werte!$E97*0.5,IF(OR($C$48&gt;$AR97,$D$48&lt;$AR97),0,Schweine_Werte!$E97))</f>
        <v>0</v>
      </c>
      <c r="BB97" s="716">
        <f>IF(OR($C$60=$AR97,$D$60=$AR97),Schweine_Werte!$E97*0.5,IF(OR($C$60&gt;$AR97,$D$60&lt;$AR97),0,Schweine_Werte!$E97))</f>
        <v>0</v>
      </c>
      <c r="BC97" s="781">
        <f>IF(OR($C$12=$AR97,$D$12=$AR97),Schweine_Werte!$G97*0.5,IF(OR($C$12&gt;$AR97,$D$12&lt;$AR97),0,Schweine_Werte!$G97))</f>
        <v>0</v>
      </c>
      <c r="BD97" s="716">
        <f>IF(OR($C$24=$AR97,$D$24=$AR97),Schweine_Werte!$G97*0.5,IF(OR($C$24&gt;$AR97,$D$24&lt;$AR97),0,Schweine_Werte!$G97))</f>
        <v>0</v>
      </c>
      <c r="BE97" s="716">
        <f>IF(OR($C$36=$AR97,$D$36=$AR97),Schweine_Werte!$G97*0.5,IF(OR($C$36&gt;$AR97,$D$36&lt;$AR97),0,Schweine_Werte!$G97))</f>
        <v>0</v>
      </c>
      <c r="BF97" s="716">
        <f>IF(OR($C$48=$AR97,$D$48=$AR97),Schweine_Werte!$G97*0.5,IF(OR($C$48&gt;$AR97,$D$48&lt;$AR97),0,Schweine_Werte!$G97))</f>
        <v>0</v>
      </c>
      <c r="BG97" s="716">
        <f>IF(OR($C$60=$AR97,$D$60=$AR97),Schweine_Werte!$G97*0.5,IF(OR($C$60&gt;$AR97,$D$60&lt;$AR97),0,Schweine_Werte!$G97))</f>
        <v>0</v>
      </c>
      <c r="BH97" s="781">
        <f>IF(OR($C$12=$AR97,$D$12=$AR97),Schweine_Werte!$I97*0.5,IF(OR($C$12&gt;$AR97,$D$12&lt;$AR97),0,Schweine_Werte!$I97))</f>
        <v>0</v>
      </c>
      <c r="BI97" s="716">
        <f>IF(OR($C$24=$AR97,$D$24=$AR97),Schweine_Werte!$I97*0.5,IF(OR($C$24&gt;$AR97,$D$24&lt;$AR97),0,Schweine_Werte!$I97))</f>
        <v>0</v>
      </c>
      <c r="BJ97" s="716">
        <f>IF(OR($C$36=$AR97,$D$36=$AR97),Schweine_Werte!$I97*0.5,IF(OR($C$36&gt;$AR97,$D$36&lt;$AR97),0,Schweine_Werte!$I97))</f>
        <v>0</v>
      </c>
      <c r="BK97" s="716">
        <f>IF(OR($C$48=$AR97,$D$48=$AR97),Schweine_Werte!$I97*0.5,IF(OR($C$48&gt;$AR97,$D$48&lt;$AR97),0,Schweine_Werte!$I97))</f>
        <v>0</v>
      </c>
      <c r="BL97" s="716">
        <f>IF(OR($C$60=$AR97,$D$60=$AR97),Schweine_Werte!$I97*0.5,IF(OR($C$60&gt;$AR97,$D$60&lt;$AR97),0,Schweine_Werte!$I97))</f>
        <v>0</v>
      </c>
      <c r="BM97" s="781"/>
      <c r="BN97" s="716"/>
      <c r="BO97" s="716"/>
      <c r="BP97" s="716"/>
      <c r="BQ97" s="716"/>
      <c r="BR97" s="781">
        <f>IF(OR($C$74=$AR97,$D$74=$AR97),Schweine_Werte!$M97*0.5,IF(OR($C$74&gt;$AR97,$D$74&lt;$AR97),0,Schweine_Werte!$M97))</f>
        <v>0</v>
      </c>
      <c r="BS97" s="781">
        <f>IF(OR($C$83=$AR97,$D$83=$AR97),Schweine_Werte!$M97*0.5,IF(OR($C$83&gt;$AR97,$D$83&lt;$AR97),0,Schweine_Werte!$M97))</f>
        <v>0</v>
      </c>
      <c r="BT97" s="783">
        <f>IF(OR($C$92=$AR97,$D$92=$AR97),Schweine_Werte!$M97*0.5,IF(OR($C$92&gt;$AR97,$D$92&lt;$AR97),0,Schweine_Werte!$M97))</f>
        <v>0</v>
      </c>
      <c r="BU97" s="783">
        <f>IF(OR($C$101=$AR97,$D$101=$AR97),Schweine_Werte!$M97*0.5,IF(OR($C$101&gt;$AR97,$D$101&lt;$AR97),0,Schweine_Werte!$M97))</f>
        <v>0</v>
      </c>
      <c r="BV97" s="783">
        <f>IF(OR($C$110=$AR97,$D$110=$AR97),Schweine_Werte!$M97*0.5,IF(OR($C$110&gt;$AR97,$D$110&lt;$AR97),0,Schweine_Werte!$M97))</f>
        <v>0</v>
      </c>
      <c r="BW97" s="783">
        <f>IF(OR(8=$AR97,$E$127=$AR97),Schweine_Werte!$M97*0.5,IF(OR(8&gt;$AR97,$E$127&lt;$AR97),0,Schweine_Werte!$M97))</f>
        <v>1.2741957942593323</v>
      </c>
      <c r="BX97" s="783">
        <f>IF(OR(8=$AR97,$E$145=$AR97),Schweine_Werte!$M97*0.5,IF(OR(8&gt;$AR97,$E$145&lt;$AR97),0,Schweine_Werte!$M97))</f>
        <v>1.2741957942593323</v>
      </c>
      <c r="BY97" s="781">
        <f>IF(OR($C$74=$AR97,$D$74=$AR97),Schweine_Werte!$O97*0.5,IF(OR($C$74&gt;$AR97,$D$74&lt;$AR97),0,Schweine_Werte!$O97))</f>
        <v>0</v>
      </c>
      <c r="BZ97" s="781">
        <f>IF(OR($C$83=$AR97,$D$83=$AR97),Schweine_Werte!$O97*0.5,IF(OR($C$83&gt;$AR97,$D$83&lt;$AR97),0,Schweine_Werte!$O97))</f>
        <v>0</v>
      </c>
      <c r="CA97" s="783">
        <f>IF(OR($C$92=$AR97,$D$92=$AR97),Schweine_Werte!$O97*0.5,IF(OR($C$92&gt;$AR97,$D$92&lt;$AR97),0,Schweine_Werte!$O97))</f>
        <v>0</v>
      </c>
      <c r="CB97" s="783">
        <f>IF(OR($C$101=$AR97,$D$101=$AR97),Schweine_Werte!$O97*0.5,IF(OR($C$101&gt;$AR97,$D$101&lt;$AR97),0,Schweine_Werte!$O97))</f>
        <v>0</v>
      </c>
      <c r="CC97" s="783">
        <f>IF(OR($C$110=$AR97,$D$110=$AR97),Schweine_Werte!$O97*0.5,IF(OR($C$110&gt;$AR97,$D$110&lt;$AR97),0,Schweine_Werte!$O97))</f>
        <v>0</v>
      </c>
    </row>
    <row r="98" spans="1:81" x14ac:dyDescent="0.2">
      <c r="B98">
        <v>500</v>
      </c>
      <c r="D98" s="716"/>
      <c r="E98" t="e">
        <f>($D101-$C101)*1000/SUM($CB$4:$CB$31)</f>
        <v>#VALUE!</v>
      </c>
      <c r="F98" s="716" t="e">
        <f>SUMPRODUCT($CB$4:$CB$31,Schweine_Werte!$W$4:$W$31)/SUM($CB$4:$CB$31)</f>
        <v>#DIV/0!</v>
      </c>
      <c r="G98" s="716" t="e">
        <f>IF($B101=$A$8,SUMPRODUCT($CB$4:$CB$31,Schweine_Werte!HK$4:HK$31)/SUM($CB$4:$CB$31),IF($B101=$A$7,SUMPRODUCT($CB$4:$CB$31,Schweine_Werte!GW$4:GW$31)/SUM($CB$4:$CB$31),IF($B101=$A$6,SUMPRODUCT($CB$4:$CB$31,Schweine_Werte!GI$4:GI$31)/SUM($CB$4:$CB$31),SUMPRODUCT($CB$4:$CB$31,Schweine_Werte!FU$4:FU$31)/SUM($CB$4:$CB$31))))</f>
        <v>#DIV/0!</v>
      </c>
      <c r="H98" s="716" t="e">
        <f>IF($B101=$A$8,SUMPRODUCT($CB$4:$CB$31,Schweine_Werte!HL$4:HL$31)/SUM($CB$4:$CB$31),IF($B101=$A$7,SUMPRODUCT($CB$4:$CB$31,Schweine_Werte!GX$4:GX$31)/SUM($CB$4:$CB$31),IF($B101=$A$6,SUMPRODUCT($CB$4:$CB$31,Schweine_Werte!GJ$4:GJ$31)/SUM($CB$4:$CB$31),SUMPRODUCT($CB$4:$CB$31,Schweine_Werte!FV$4:FV$31)/SUM($CB$4:$CB$31))))</f>
        <v>#DIV/0!</v>
      </c>
      <c r="I98" s="716" t="e">
        <f>IF($B101=$A$8,SUMPRODUCT($CB$4:$CB$31,Schweine_Werte!HM$4:HM$31)/SUM($CB$4:$CB$31),IF($B101=$A$7,SUMPRODUCT($CB$4:$CB$31,Schweine_Werte!GY$4:GY$31)/SUM($CB$4:$CB$31),IF($B101=$A$6,SUMPRODUCT($CB$4:$CB$31,Schweine_Werte!GK$4:GK$31)/SUM($CB$4:$CB$31),SUMPRODUCT($CB$4:$CB$31,Schweine_Werte!FW$4:FW$31)/SUM($CB$4:$CB$31))))</f>
        <v>#DIV/0!</v>
      </c>
      <c r="J98" s="716" t="e">
        <f>SUMPRODUCT($CB$4:$CB$31,Schweine_Werte!$AE$4:$AE$31)/SUM($CB$4:$CB$31)</f>
        <v>#DIV/0!</v>
      </c>
      <c r="K98" s="716" t="e">
        <f>SUMPRODUCT($CB$4:$CB$31,Schweine_Werte!$AM$4:$AM$31)/SUM($CB$4:$CB$31)</f>
        <v>#DIV/0!</v>
      </c>
      <c r="L98" s="716" t="e">
        <f>T98*$F98*365/1000+$J98-$K98</f>
        <v>#DIV/0!</v>
      </c>
      <c r="M98" s="716" t="e">
        <f>U98*$F98*365/1000+$J98-$K98/2</f>
        <v>#DIV/0!</v>
      </c>
      <c r="N98" s="716" t="e">
        <f>V98*$F98*365/1000+$J98</f>
        <v>#DIV/0!</v>
      </c>
      <c r="O98" s="716">
        <f>IF($C101&lt;28,SUM($CB$4:$CB$23)+IF($D101&gt;28,$CB$24*0.5,$CB$24),0)</f>
        <v>0</v>
      </c>
      <c r="P98" s="716">
        <f>IF($D101&gt;28,SUM($CB$25:$CB$31)+IF($C101&lt;28,$CB$24*0.5,$CB$24),0)</f>
        <v>0</v>
      </c>
      <c r="Q98" s="716" t="e">
        <f t="shared" si="49"/>
        <v>#DIV/0!</v>
      </c>
      <c r="R98" s="716" t="e">
        <f t="shared" si="49"/>
        <v>#DIV/0!</v>
      </c>
      <c r="S98" s="716" t="e">
        <f t="shared" si="49"/>
        <v>#DIV/0!</v>
      </c>
      <c r="T98" s="716" t="e">
        <f>+($O98*Schweine_Werte!$HT$16+$P98*Schweine_Werte!$HU$16)/SUM($O98:$P98)</f>
        <v>#DIV/0!</v>
      </c>
      <c r="U98" s="716" t="e">
        <f>+($O98*Schweine_Werte!$HV$16+$P98*Schweine_Werte!$HW$16)/SUM($O98:$P98)</f>
        <v>#DIV/0!</v>
      </c>
      <c r="V98" s="716" t="e">
        <f>+($O98*Schweine_Werte!$HX$16+$P98*Schweine_Werte!$HY$16)/SUM($O98:$P98)</f>
        <v>#DIV/0!</v>
      </c>
      <c r="W98" s="716" t="e">
        <f>($J98*0.055+T98*0.365*0.86*$F98-$K98*0.018)/L98*100</f>
        <v>#DIV/0!</v>
      </c>
      <c r="X98" s="716" t="e">
        <f>($J98*0.055+U98*0.365*0.86*$F98-$K98*0.018/2)/M98*100</f>
        <v>#DIV/0!</v>
      </c>
      <c r="Y98" s="716" t="e">
        <f>($J98*0.055+V98*0.365*0.86*$F98)/N98*100</f>
        <v>#DIV/0!</v>
      </c>
      <c r="Z98" s="716"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16"/>
      <c r="AB98" s="716">
        <f>IF($B101=$A$8,SUMIF(Schweine_Werte!$AO$4:$AO$31,$C101,Schweine_Werte!$HO$4:$HO$31),IF($B101=$A$7,SUMIF(Schweine_Werte!$AO$4:$AO$31,$C101,Schweine_Werte!$HA$4:$HA$31),IF($B101=$A$6,SUMIF(Schweine_Werte!$AO$4:$AO$31,$C101,Schweine_Werte!$GM$4:$GM$31),SUMIF(Schweine_Werte!$AO$4:$AO$31,$C101,Schweine_Werte!$FY$4:$FY$31))))</f>
        <v>0</v>
      </c>
      <c r="AC98" s="716"/>
      <c r="AD98" s="716">
        <f>IF($B101=$A$8,SUMIF(Schweine_Werte!$AO$4:$AO$31,$D101,Schweine_Werte!$HO$4:$HO$31),IF($B101=$A$7,SUMIF(Schweine_Werte!$AO$4:$AO$31,$D101,Schweine_Werte!$HA$4:$HA$31),IF($B101=$A$6,SUMIF(Schweine_Werte!$AO$4:$AO$31,$D101,Schweine_Werte!$GM$4:$GM$31),SUMIF(Schweine_Werte!$AO$4:$AO$31,$D101,Schweine_Werte!$FY$4:$FY$31))))</f>
        <v>0</v>
      </c>
      <c r="AE98" s="716"/>
      <c r="AF98" s="716"/>
      <c r="AG98" s="716" t="e">
        <f>IF($B101=$A$8,SUMPRODUCT($CB$4:$CB$31,Schweine_Werte!$HN$4:$HN$31)/SUM($CB$4:$CB$31),IF($B101=$A$7,SUMPRODUCT($CB$4:$CB$31,Schweine_Werte!$GZ$4:$GZ$31)/SUM($CB$4:$CB$31),IF($B101=$A$6,SUMPRODUCT($CB$4:$CB$31,Schweine_Werte!$GL$4:$GL$31)/SUM($CB$4:$CB$31),SUMPRODUCT($CB$4:$CB$31,Schweine_Werte!$FX$4:$FX$31)/SUM($CB$4:$CB$31))))</f>
        <v>#DIV/0!</v>
      </c>
      <c r="AH98" s="716"/>
      <c r="AI98" s="716"/>
      <c r="AJ98" s="716"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16"/>
      <c r="AL98" s="716">
        <f>IF($B101=$A$8,SUMIF(Schweine_Werte!$AO$4:$AO$31,$C101,Schweine_Werte!$HP$4:$HP$31),IF($B101=$A$7,SUMIF(Schweine_Werte!$AO$4:$AO$31,$C101,Schweine_Werte!$HB$4:$HB$31),IF($B101=$A$6,SUMIF(Schweine_Werte!$AO$4:$AO$31,$C101,Schweine_Werte!$GN$4:$GN$31),SUMIF(Schweine_Werte!$AO$4:$AO$31,$C101,Schweine_Werte!$FZ$4:$FZ$31))))</f>
        <v>0</v>
      </c>
      <c r="AM98" s="716"/>
      <c r="AN98" s="716">
        <f>IF($B101=$A$8,SUMIF(Schweine_Werte!$AO$4:$AO$31,$D101,Schweine_Werte!$HP$4:$HP$31),IF($B101=$A$7,SUMIF(Schweine_Werte!$AO$4:$AO$31,$D101,Schweine_Werte!$HB$4:$HB$31),IF($B101=$A$6,SUMIF(Schweine_Werte!$AO$4:$AO$31,$D101,Schweine_Werte!$GN$4:$GN$31),SUMIF(Schweine_Werte!$AO$4:$AO$31,$D101,Schweine_Werte!$FZ$4:$FZ$31))))</f>
        <v>0</v>
      </c>
      <c r="AR98" s="792">
        <v>102</v>
      </c>
      <c r="AS98" s="781">
        <f>IF(OR($C$12=$AR98,$D$12=$AR98),Schweine_Werte!$C98*0.5,IF(OR($C$12&gt;$AR98,$D$12&lt;$AR98),0,Schweine_Werte!$C98))</f>
        <v>0</v>
      </c>
      <c r="AT98" s="716">
        <f>IF(OR($C$24=$AR98,$D$24=$AR98),Schweine_Werte!$C98*0.5,IF(OR($C$24&gt;$AR98,$D$24&lt;$AR98),0,Schweine_Werte!$C98))</f>
        <v>0</v>
      </c>
      <c r="AU98" s="781">
        <f>IF(OR($C$36=$AR98,$D$36=$AR98),Schweine_Werte!$C98*0.5,IF(OR($C$36&gt;$AR98,$D$36&lt;$AR98),0,Schweine_Werte!$C98))</f>
        <v>0</v>
      </c>
      <c r="AV98" s="781">
        <f>IF(OR($C$48=$AR98,$D$48=$AR98),Schweine_Werte!$C98*0.5,IF(OR($C$48&gt;$AR98,$D$48&lt;$AR98),0,Schweine_Werte!$C98))</f>
        <v>0</v>
      </c>
      <c r="AW98" s="781">
        <f>IF(OR($C$60=$AR98,$D$60=$AR98),Schweine_Werte!$C98*0.5,IF(OR($C$60&gt;$AR98,$D$60&lt;$AR98),0,Schweine_Werte!$C98))</f>
        <v>0</v>
      </c>
      <c r="AX98" s="781">
        <f>IF(OR($C$12=$AR98,$D$12=$AR98),Schweine_Werte!$E98*0.5,IF(OR($C$12&gt;$AR98,$D$12&lt;$AR98),0,Schweine_Werte!$E98))</f>
        <v>0</v>
      </c>
      <c r="AY98" s="716">
        <f>IF(OR($C$24=$AR98,$D$24=$AR98),Schweine_Werte!$E98*0.5,IF(OR($C$24&gt;$AR98,$D$24&lt;$AR98),0,Schweine_Werte!$E98))</f>
        <v>0</v>
      </c>
      <c r="AZ98" s="716">
        <f>IF(OR($C$36=$AR98,$D$36=$AR98),Schweine_Werte!$E98*0.5,IF(OR($C$36&gt;$AR98,$D$36&lt;$AR98),0,Schweine_Werte!$E98))</f>
        <v>0</v>
      </c>
      <c r="BA98" s="716">
        <f>IF(OR($C$48=$AR98,$D$48=$AR98),Schweine_Werte!$E98*0.5,IF(OR($C$48&gt;$AR98,$D$48&lt;$AR98),0,Schweine_Werte!$E98))</f>
        <v>0</v>
      </c>
      <c r="BB98" s="716">
        <f>IF(OR($C$60=$AR98,$D$60=$AR98),Schweine_Werte!$E98*0.5,IF(OR($C$60&gt;$AR98,$D$60&lt;$AR98),0,Schweine_Werte!$E98))</f>
        <v>0</v>
      </c>
      <c r="BC98" s="781">
        <f>IF(OR($C$12=$AR98,$D$12=$AR98),Schweine_Werte!$G98*0.5,IF(OR($C$12&gt;$AR98,$D$12&lt;$AR98),0,Schweine_Werte!$G98))</f>
        <v>0</v>
      </c>
      <c r="BD98" s="716">
        <f>IF(OR($C$24=$AR98,$D$24=$AR98),Schweine_Werte!$G98*0.5,IF(OR($C$24&gt;$AR98,$D$24&lt;$AR98),0,Schweine_Werte!$G98))</f>
        <v>0</v>
      </c>
      <c r="BE98" s="716">
        <f>IF(OR($C$36=$AR98,$D$36=$AR98),Schweine_Werte!$G98*0.5,IF(OR($C$36&gt;$AR98,$D$36&lt;$AR98),0,Schweine_Werte!$G98))</f>
        <v>0</v>
      </c>
      <c r="BF98" s="716">
        <f>IF(OR($C$48=$AR98,$D$48=$AR98),Schweine_Werte!$G98*0.5,IF(OR($C$48&gt;$AR98,$D$48&lt;$AR98),0,Schweine_Werte!$G98))</f>
        <v>0</v>
      </c>
      <c r="BG98" s="716">
        <f>IF(OR($C$60=$AR98,$D$60=$AR98),Schweine_Werte!$G98*0.5,IF(OR($C$60&gt;$AR98,$D$60&lt;$AR98),0,Schweine_Werte!$G98))</f>
        <v>0</v>
      </c>
      <c r="BH98" s="781">
        <f>IF(OR($C$12=$AR98,$D$12=$AR98),Schweine_Werte!$I98*0.5,IF(OR($C$12&gt;$AR98,$D$12&lt;$AR98),0,Schweine_Werte!$I98))</f>
        <v>0</v>
      </c>
      <c r="BI98" s="716">
        <f>IF(OR($C$24=$AR98,$D$24=$AR98),Schweine_Werte!$I98*0.5,IF(OR($C$24&gt;$AR98,$D$24&lt;$AR98),0,Schweine_Werte!$I98))</f>
        <v>0</v>
      </c>
      <c r="BJ98" s="716">
        <f>IF(OR($C$36=$AR98,$D$36=$AR98),Schweine_Werte!$I98*0.5,IF(OR($C$36&gt;$AR98,$D$36&lt;$AR98),0,Schweine_Werte!$I98))</f>
        <v>0</v>
      </c>
      <c r="BK98" s="716">
        <f>IF(OR($C$48=$AR98,$D$48=$AR98),Schweine_Werte!$I98*0.5,IF(OR($C$48&gt;$AR98,$D$48&lt;$AR98),0,Schweine_Werte!$I98))</f>
        <v>0</v>
      </c>
      <c r="BL98" s="716">
        <f>IF(OR($C$60=$AR98,$D$60=$AR98),Schweine_Werte!$I98*0.5,IF(OR($C$60&gt;$AR98,$D$60&lt;$AR98),0,Schweine_Werte!$I98))</f>
        <v>0</v>
      </c>
      <c r="BM98" s="781"/>
      <c r="BN98" s="716"/>
      <c r="BO98" s="716"/>
      <c r="BP98" s="716"/>
      <c r="BQ98" s="716"/>
      <c r="BR98" s="781">
        <f>IF(OR($C$74=$AR98,$D$74=$AR98),Schweine_Werte!$M98*0.5,IF(OR($C$74&gt;$AR98,$D$74&lt;$AR98),0,Schweine_Werte!$M98))</f>
        <v>0</v>
      </c>
      <c r="BS98" s="781">
        <f>IF(OR($C$83=$AR98,$D$83=$AR98),Schweine_Werte!$M98*0.5,IF(OR($C$83&gt;$AR98,$D$83&lt;$AR98),0,Schweine_Werte!$M98))</f>
        <v>0</v>
      </c>
      <c r="BT98" s="783">
        <f>IF(OR($C$92=$AR98,$D$92=$AR98),Schweine_Werte!$M98*0.5,IF(OR($C$92&gt;$AR98,$D$92&lt;$AR98),0,Schweine_Werte!$M98))</f>
        <v>0</v>
      </c>
      <c r="BU98" s="783">
        <f>IF(OR($C$101=$AR98,$D$101=$AR98),Schweine_Werte!$M98*0.5,IF(OR($C$101&gt;$AR98,$D$101&lt;$AR98),0,Schweine_Werte!$M98))</f>
        <v>0</v>
      </c>
      <c r="BV98" s="783">
        <f>IF(OR($C$110=$AR98,$D$110=$AR98),Schweine_Werte!$M98*0.5,IF(OR($C$110&gt;$AR98,$D$110&lt;$AR98),0,Schweine_Werte!$M98))</f>
        <v>0</v>
      </c>
      <c r="BW98" s="783">
        <f>IF(OR(8=$AR98,$E$127=$AR98),Schweine_Werte!$M98*0.5,IF(OR(8&gt;$AR98,$E$127&lt;$AR98),0,Schweine_Werte!$M98))</f>
        <v>1.2882673525519277</v>
      </c>
      <c r="BX98" s="783">
        <f>IF(OR(8=$AR98,$E$145=$AR98),Schweine_Werte!$M98*0.5,IF(OR(8&gt;$AR98,$E$145&lt;$AR98),0,Schweine_Werte!$M98))</f>
        <v>1.2882673525519277</v>
      </c>
      <c r="BY98" s="781">
        <f>IF(OR($C$74=$AR98,$D$74=$AR98),Schweine_Werte!$O98*0.5,IF(OR($C$74&gt;$AR98,$D$74&lt;$AR98),0,Schweine_Werte!$O98))</f>
        <v>0</v>
      </c>
      <c r="BZ98" s="781">
        <f>IF(OR($C$83=$AR98,$D$83=$AR98),Schweine_Werte!$O98*0.5,IF(OR($C$83&gt;$AR98,$D$83&lt;$AR98),0,Schweine_Werte!$O98))</f>
        <v>0</v>
      </c>
      <c r="CA98" s="783">
        <f>IF(OR($C$92=$AR98,$D$92=$AR98),Schweine_Werte!$O98*0.5,IF(OR($C$92&gt;$AR98,$D$92&lt;$AR98),0,Schweine_Werte!$O98))</f>
        <v>0</v>
      </c>
      <c r="CB98" s="783">
        <f>IF(OR($C$101=$AR98,$D$101=$AR98),Schweine_Werte!$O98*0.5,IF(OR($C$101&gt;$AR98,$D$101&lt;$AR98),0,Schweine_Werte!$O98))</f>
        <v>0</v>
      </c>
      <c r="CC98" s="783">
        <f>IF(OR($C$110=$AR98,$D$110=$AR98),Schweine_Werte!$O98*0.5,IF(OR($C$110&gt;$AR98,$D$110&lt;$AR98),0,Schweine_Werte!$O98))</f>
        <v>0</v>
      </c>
    </row>
    <row r="99" spans="1:81" ht="15.75" x14ac:dyDescent="0.25">
      <c r="F99" s="352"/>
      <c r="G99" s="1588" t="s">
        <v>7701</v>
      </c>
      <c r="H99" s="1589"/>
      <c r="I99" s="1590"/>
      <c r="J99" s="973" t="s">
        <v>589</v>
      </c>
      <c r="K99" s="973" t="s">
        <v>224</v>
      </c>
      <c r="L99" s="1591" t="s">
        <v>7702</v>
      </c>
      <c r="M99" s="1592"/>
      <c r="N99" s="1593"/>
      <c r="O99" s="1591" t="s">
        <v>7703</v>
      </c>
      <c r="P99" s="1593"/>
      <c r="Q99" s="1591" t="s">
        <v>7758</v>
      </c>
      <c r="R99" s="1592"/>
      <c r="S99" s="1593"/>
      <c r="T99" s="1591" t="s">
        <v>7704</v>
      </c>
      <c r="U99" s="1592"/>
      <c r="V99" s="1593"/>
      <c r="W99" s="1591" t="s">
        <v>7785</v>
      </c>
      <c r="X99" s="1592"/>
      <c r="Y99" s="1593"/>
      <c r="Z99" s="1596" t="s">
        <v>7786</v>
      </c>
      <c r="AA99" s="1597"/>
      <c r="AB99" s="1596" t="s">
        <v>7787</v>
      </c>
      <c r="AC99" s="1597"/>
      <c r="AD99" s="1596" t="s">
        <v>7788</v>
      </c>
      <c r="AE99" s="1597"/>
      <c r="AF99" s="974" t="s">
        <v>7888</v>
      </c>
      <c r="AG99" s="1598" t="s">
        <v>7791</v>
      </c>
      <c r="AH99" s="1599"/>
      <c r="AI99" s="1081" t="s">
        <v>7889</v>
      </c>
      <c r="AJ99" s="1596" t="s">
        <v>7786</v>
      </c>
      <c r="AK99" s="1597"/>
      <c r="AL99" s="1596" t="s">
        <v>7787</v>
      </c>
      <c r="AM99" s="1597"/>
      <c r="AN99" s="1596" t="s">
        <v>7788</v>
      </c>
      <c r="AO99" s="1597"/>
      <c r="AR99" s="792">
        <v>103</v>
      </c>
      <c r="AS99" s="781">
        <f>IF(OR($C$12=$AR99,$D$12=$AR99),Schweine_Werte!$C99*0.5,IF(OR($C$12&gt;$AR99,$D$12&lt;$AR99),0,Schweine_Werte!$C99))</f>
        <v>0</v>
      </c>
      <c r="AT99" s="716">
        <f>IF(OR($C$24=$AR99,$D$24=$AR99),Schweine_Werte!$C99*0.5,IF(OR($C$24&gt;$AR99,$D$24&lt;$AR99),0,Schweine_Werte!$C99))</f>
        <v>0</v>
      </c>
      <c r="AU99" s="781">
        <f>IF(OR($C$36=$AR99,$D$36=$AR99),Schweine_Werte!$C99*0.5,IF(OR($C$36&gt;$AR99,$D$36&lt;$AR99),0,Schweine_Werte!$C99))</f>
        <v>0</v>
      </c>
      <c r="AV99" s="781">
        <f>IF(OR($C$48=$AR99,$D$48=$AR99),Schweine_Werte!$C99*0.5,IF(OR($C$48&gt;$AR99,$D$48&lt;$AR99),0,Schweine_Werte!$C99))</f>
        <v>0</v>
      </c>
      <c r="AW99" s="781">
        <f>IF(OR($C$60=$AR99,$D$60=$AR99),Schweine_Werte!$C99*0.5,IF(OR($C$60&gt;$AR99,$D$60&lt;$AR99),0,Schweine_Werte!$C99))</f>
        <v>0</v>
      </c>
      <c r="AX99" s="781">
        <f>IF(OR($C$12=$AR99,$D$12=$AR99),Schweine_Werte!$E99*0.5,IF(OR($C$12&gt;$AR99,$D$12&lt;$AR99),0,Schweine_Werte!$E99))</f>
        <v>0</v>
      </c>
      <c r="AY99" s="716">
        <f>IF(OR($C$24=$AR99,$D$24=$AR99),Schweine_Werte!$E99*0.5,IF(OR($C$24&gt;$AR99,$D$24&lt;$AR99),0,Schweine_Werte!$E99))</f>
        <v>0</v>
      </c>
      <c r="AZ99" s="716">
        <f>IF(OR($C$36=$AR99,$D$36=$AR99),Schweine_Werte!$E99*0.5,IF(OR($C$36&gt;$AR99,$D$36&lt;$AR99),0,Schweine_Werte!$E99))</f>
        <v>0</v>
      </c>
      <c r="BA99" s="716">
        <f>IF(OR($C$48=$AR99,$D$48=$AR99),Schweine_Werte!$E99*0.5,IF(OR($C$48&gt;$AR99,$D$48&lt;$AR99),0,Schweine_Werte!$E99))</f>
        <v>0</v>
      </c>
      <c r="BB99" s="716">
        <f>IF(OR($C$60=$AR99,$D$60=$AR99),Schweine_Werte!$E99*0.5,IF(OR($C$60&gt;$AR99,$D$60&lt;$AR99),0,Schweine_Werte!$E99))</f>
        <v>0</v>
      </c>
      <c r="BC99" s="781">
        <f>IF(OR($C$12=$AR99,$D$12=$AR99),Schweine_Werte!$G99*0.5,IF(OR($C$12&gt;$AR99,$D$12&lt;$AR99),0,Schweine_Werte!$G99))</f>
        <v>0</v>
      </c>
      <c r="BD99" s="716">
        <f>IF(OR($C$24=$AR99,$D$24=$AR99),Schweine_Werte!$G99*0.5,IF(OR($C$24&gt;$AR99,$D$24&lt;$AR99),0,Schweine_Werte!$G99))</f>
        <v>0</v>
      </c>
      <c r="BE99" s="716">
        <f>IF(OR($C$36=$AR99,$D$36=$AR99),Schweine_Werte!$G99*0.5,IF(OR($C$36&gt;$AR99,$D$36&lt;$AR99),0,Schweine_Werte!$G99))</f>
        <v>0</v>
      </c>
      <c r="BF99" s="716">
        <f>IF(OR($C$48=$AR99,$D$48=$AR99),Schweine_Werte!$G99*0.5,IF(OR($C$48&gt;$AR99,$D$48&lt;$AR99),0,Schweine_Werte!$G99))</f>
        <v>0</v>
      </c>
      <c r="BG99" s="716">
        <f>IF(OR($C$60=$AR99,$D$60=$AR99),Schweine_Werte!$G99*0.5,IF(OR($C$60&gt;$AR99,$D$60&lt;$AR99),0,Schweine_Werte!$G99))</f>
        <v>0</v>
      </c>
      <c r="BH99" s="781">
        <f>IF(OR($C$12=$AR99,$D$12=$AR99),Schweine_Werte!$I99*0.5,IF(OR($C$12&gt;$AR99,$D$12&lt;$AR99),0,Schweine_Werte!$I99))</f>
        <v>0</v>
      </c>
      <c r="BI99" s="716">
        <f>IF(OR($C$24=$AR99,$D$24=$AR99),Schweine_Werte!$I99*0.5,IF(OR($C$24&gt;$AR99,$D$24&lt;$AR99),0,Schweine_Werte!$I99))</f>
        <v>0</v>
      </c>
      <c r="BJ99" s="716">
        <f>IF(OR($C$36=$AR99,$D$36=$AR99),Schweine_Werte!$I99*0.5,IF(OR($C$36&gt;$AR99,$D$36&lt;$AR99),0,Schweine_Werte!$I99))</f>
        <v>0</v>
      </c>
      <c r="BK99" s="716">
        <f>IF(OR($C$48=$AR99,$D$48=$AR99),Schweine_Werte!$I99*0.5,IF(OR($C$48&gt;$AR99,$D$48&lt;$AR99),0,Schweine_Werte!$I99))</f>
        <v>0</v>
      </c>
      <c r="BL99" s="716">
        <f>IF(OR($C$60=$AR99,$D$60=$AR99),Schweine_Werte!$I99*0.5,IF(OR($C$60&gt;$AR99,$D$60&lt;$AR99),0,Schweine_Werte!$I99))</f>
        <v>0</v>
      </c>
      <c r="BM99" s="781"/>
      <c r="BN99" s="716"/>
      <c r="BO99" s="716"/>
      <c r="BP99" s="716"/>
      <c r="BQ99" s="716"/>
      <c r="BR99" s="781">
        <f>IF(OR($C$74=$AR99,$D$74=$AR99),Schweine_Werte!$M99*0.5,IF(OR($C$74&gt;$AR99,$D$74&lt;$AR99),0,Schweine_Werte!$M99))</f>
        <v>0</v>
      </c>
      <c r="BS99" s="781">
        <f>IF(OR($C$83=$AR99,$D$83=$AR99),Schweine_Werte!$M99*0.5,IF(OR($C$83&gt;$AR99,$D$83&lt;$AR99),0,Schweine_Werte!$M99))</f>
        <v>0</v>
      </c>
      <c r="BT99" s="783">
        <f>IF(OR($C$92=$AR99,$D$92=$AR99),Schweine_Werte!$M99*0.5,IF(OR($C$92&gt;$AR99,$D$92&lt;$AR99),0,Schweine_Werte!$M99))</f>
        <v>0</v>
      </c>
      <c r="BU99" s="783">
        <f>IF(OR($C$101=$AR99,$D$101=$AR99),Schweine_Werte!$M99*0.5,IF(OR($C$101&gt;$AR99,$D$101&lt;$AR99),0,Schweine_Werte!$M99))</f>
        <v>0</v>
      </c>
      <c r="BV99" s="783">
        <f>IF(OR($C$110=$AR99,$D$110=$AR99),Schweine_Werte!$M99*0.5,IF(OR($C$110&gt;$AR99,$D$110&lt;$AR99),0,Schweine_Werte!$M99))</f>
        <v>0</v>
      </c>
      <c r="BW99" s="783">
        <f>IF(OR(8=$AR99,$E$127=$AR99),Schweine_Werte!$M99*0.5,IF(OR(8&gt;$AR99,$E$127&lt;$AR99),0,Schweine_Werte!$M99))</f>
        <v>1.3031486471171543</v>
      </c>
      <c r="BX99" s="783">
        <f>IF(OR(8=$AR99,$E$145=$AR99),Schweine_Werte!$M99*0.5,IF(OR(8&gt;$AR99,$E$145&lt;$AR99),0,Schweine_Werte!$M99))</f>
        <v>1.3031486471171543</v>
      </c>
      <c r="BY99" s="781">
        <f>IF(OR($C$74=$AR99,$D$74=$AR99),Schweine_Werte!$O99*0.5,IF(OR($C$74&gt;$AR99,$D$74&lt;$AR99),0,Schweine_Werte!$O99))</f>
        <v>0</v>
      </c>
      <c r="BZ99" s="781">
        <f>IF(OR($C$83=$AR99,$D$83=$AR99),Schweine_Werte!$O99*0.5,IF(OR($C$83&gt;$AR99,$D$83&lt;$AR99),0,Schweine_Werte!$O99))</f>
        <v>0</v>
      </c>
      <c r="CA99" s="783">
        <f>IF(OR($C$92=$AR99,$D$92=$AR99),Schweine_Werte!$O99*0.5,IF(OR($C$92&gt;$AR99,$D$92&lt;$AR99),0,Schweine_Werte!$O99))</f>
        <v>0</v>
      </c>
      <c r="CB99" s="783">
        <f>IF(OR($C$101=$AR99,$D$101=$AR99),Schweine_Werte!$O99*0.5,IF(OR($C$101&gt;$AR99,$D$101&lt;$AR99),0,Schweine_Werte!$O99))</f>
        <v>0</v>
      </c>
      <c r="CC99" s="783">
        <f>IF(OR($C$110=$AR99,$D$110=$AR99),Schweine_Werte!$O99*0.5,IF(OR($C$110&gt;$AR99,$D$110&lt;$AR99),0,Schweine_Werte!$O99))</f>
        <v>0</v>
      </c>
    </row>
    <row r="100" spans="1:81" ht="18.75" x14ac:dyDescent="0.2">
      <c r="B100" s="786" t="s">
        <v>7705</v>
      </c>
      <c r="C100" s="787" t="s">
        <v>7645</v>
      </c>
      <c r="D100" s="787" t="s">
        <v>7706</v>
      </c>
      <c r="E100" s="787" t="s">
        <v>7647</v>
      </c>
      <c r="F100" s="733" t="s">
        <v>196</v>
      </c>
      <c r="G100" s="662" t="s">
        <v>4</v>
      </c>
      <c r="H100" s="662" t="s">
        <v>7707</v>
      </c>
      <c r="I100" s="662" t="s">
        <v>7708</v>
      </c>
      <c r="J100" s="663" t="s">
        <v>7709</v>
      </c>
      <c r="K100" s="663" t="s">
        <v>7709</v>
      </c>
      <c r="L100" s="664" t="s">
        <v>39</v>
      </c>
      <c r="M100" s="664" t="s">
        <v>7710</v>
      </c>
      <c r="N100" s="664" t="s">
        <v>41</v>
      </c>
      <c r="O100" s="665" t="s">
        <v>0</v>
      </c>
      <c r="P100" s="665" t="s">
        <v>8</v>
      </c>
      <c r="Q100" s="664" t="s">
        <v>39</v>
      </c>
      <c r="R100" s="664" t="s">
        <v>40</v>
      </c>
      <c r="S100" s="664" t="s">
        <v>41</v>
      </c>
      <c r="T100" s="664" t="s">
        <v>39</v>
      </c>
      <c r="U100" s="664" t="s">
        <v>40</v>
      </c>
      <c r="V100" s="664" t="s">
        <v>41</v>
      </c>
      <c r="W100" s="663" t="s">
        <v>7684</v>
      </c>
      <c r="X100" s="663" t="s">
        <v>7685</v>
      </c>
      <c r="Y100" s="663" t="s">
        <v>7686</v>
      </c>
      <c r="Z100" s="788" t="s">
        <v>7789</v>
      </c>
      <c r="AA100" s="788" t="s">
        <v>7790</v>
      </c>
      <c r="AB100" s="788" t="s">
        <v>7789</v>
      </c>
      <c r="AC100" s="788" t="s">
        <v>7790</v>
      </c>
      <c r="AD100" s="788" t="s">
        <v>7789</v>
      </c>
      <c r="AE100" s="788" t="s">
        <v>7790</v>
      </c>
      <c r="AF100" s="788" t="s">
        <v>7890</v>
      </c>
      <c r="AG100" s="983" t="s">
        <v>7891</v>
      </c>
      <c r="AH100" s="788" t="s">
        <v>7892</v>
      </c>
      <c r="AI100" s="788"/>
      <c r="AJ100" s="788" t="s">
        <v>7765</v>
      </c>
      <c r="AK100" s="788" t="s">
        <v>7792</v>
      </c>
      <c r="AL100" s="788" t="s">
        <v>7793</v>
      </c>
      <c r="AM100" s="788" t="s">
        <v>7794</v>
      </c>
      <c r="AN100" s="788" t="s">
        <v>7793</v>
      </c>
      <c r="AO100" s="788" t="s">
        <v>7795</v>
      </c>
      <c r="AR100" s="792">
        <v>104</v>
      </c>
      <c r="AS100" s="781">
        <f>IF(OR($C$12=$AR100,$D$12=$AR100),Schweine_Werte!$C100*0.5,IF(OR($C$12&gt;$AR100,$D$12&lt;$AR100),0,Schweine_Werte!$C100))</f>
        <v>0</v>
      </c>
      <c r="AT100" s="716">
        <f>IF(OR($C$24=$AR100,$D$24=$AR100),Schweine_Werte!$C100*0.5,IF(OR($C$24&gt;$AR100,$D$24&lt;$AR100),0,Schweine_Werte!$C100))</f>
        <v>0</v>
      </c>
      <c r="AU100" s="781">
        <f>IF(OR($C$36=$AR100,$D$36=$AR100),Schweine_Werte!$C100*0.5,IF(OR($C$36&gt;$AR100,$D$36&lt;$AR100),0,Schweine_Werte!$C100))</f>
        <v>0</v>
      </c>
      <c r="AV100" s="781">
        <f>IF(OR($C$48=$AR100,$D$48=$AR100),Schweine_Werte!$C100*0.5,IF(OR($C$48&gt;$AR100,$D$48&lt;$AR100),0,Schweine_Werte!$C100))</f>
        <v>0</v>
      </c>
      <c r="AW100" s="781">
        <f>IF(OR($C$60=$AR100,$D$60=$AR100),Schweine_Werte!$C100*0.5,IF(OR($C$60&gt;$AR100,$D$60&lt;$AR100),0,Schweine_Werte!$C100))</f>
        <v>0</v>
      </c>
      <c r="AX100" s="781">
        <f>IF(OR($C$12=$AR100,$D$12=$AR100),Schweine_Werte!$E100*0.5,IF(OR($C$12&gt;$AR100,$D$12&lt;$AR100),0,Schweine_Werte!$E100))</f>
        <v>0</v>
      </c>
      <c r="AY100" s="716">
        <f>IF(OR($C$24=$AR100,$D$24=$AR100),Schweine_Werte!$E100*0.5,IF(OR($C$24&gt;$AR100,$D$24&lt;$AR100),0,Schweine_Werte!$E100))</f>
        <v>0</v>
      </c>
      <c r="AZ100" s="716">
        <f>IF(OR($C$36=$AR100,$D$36=$AR100),Schweine_Werte!$E100*0.5,IF(OR($C$36&gt;$AR100,$D$36&lt;$AR100),0,Schweine_Werte!$E100))</f>
        <v>0</v>
      </c>
      <c r="BA100" s="716">
        <f>IF(OR($C$48=$AR100,$D$48=$AR100),Schweine_Werte!$E100*0.5,IF(OR($C$48&gt;$AR100,$D$48&lt;$AR100),0,Schweine_Werte!$E100))</f>
        <v>0</v>
      </c>
      <c r="BB100" s="716">
        <f>IF(OR($C$60=$AR100,$D$60=$AR100),Schweine_Werte!$E100*0.5,IF(OR($C$60&gt;$AR100,$D$60&lt;$AR100),0,Schweine_Werte!$E100))</f>
        <v>0</v>
      </c>
      <c r="BC100" s="781">
        <f>IF(OR($C$12=$AR100,$D$12=$AR100),Schweine_Werte!$G100*0.5,IF(OR($C$12&gt;$AR100,$D$12&lt;$AR100),0,Schweine_Werte!$G100))</f>
        <v>0</v>
      </c>
      <c r="BD100" s="716">
        <f>IF(OR($C$24=$AR100,$D$24=$AR100),Schweine_Werte!$G100*0.5,IF(OR($C$24&gt;$AR100,$D$24&lt;$AR100),0,Schweine_Werte!$G100))</f>
        <v>0</v>
      </c>
      <c r="BE100" s="716">
        <f>IF(OR($C$36=$AR100,$D$36=$AR100),Schweine_Werte!$G100*0.5,IF(OR($C$36&gt;$AR100,$D$36&lt;$AR100),0,Schweine_Werte!$G100))</f>
        <v>0</v>
      </c>
      <c r="BF100" s="716">
        <f>IF(OR($C$48=$AR100,$D$48=$AR100),Schweine_Werte!$G100*0.5,IF(OR($C$48&gt;$AR100,$D$48&lt;$AR100),0,Schweine_Werte!$G100))</f>
        <v>0</v>
      </c>
      <c r="BG100" s="716">
        <f>IF(OR($C$60=$AR100,$D$60=$AR100),Schweine_Werte!$G100*0.5,IF(OR($C$60&gt;$AR100,$D$60&lt;$AR100),0,Schweine_Werte!$G100))</f>
        <v>0</v>
      </c>
      <c r="BH100" s="781">
        <f>IF(OR($C$12=$AR100,$D$12=$AR100),Schweine_Werte!$I100*0.5,IF(OR($C$12&gt;$AR100,$D$12&lt;$AR100),0,Schweine_Werte!$I100))</f>
        <v>0</v>
      </c>
      <c r="BI100" s="716">
        <f>IF(OR($C$24=$AR100,$D$24=$AR100),Schweine_Werte!$I100*0.5,IF(OR($C$24&gt;$AR100,$D$24&lt;$AR100),0,Schweine_Werte!$I100))</f>
        <v>0</v>
      </c>
      <c r="BJ100" s="716">
        <f>IF(OR($C$36=$AR100,$D$36=$AR100),Schweine_Werte!$I100*0.5,IF(OR($C$36&gt;$AR100,$D$36&lt;$AR100),0,Schweine_Werte!$I100))</f>
        <v>0</v>
      </c>
      <c r="BK100" s="716">
        <f>IF(OR($C$48=$AR100,$D$48=$AR100),Schweine_Werte!$I100*0.5,IF(OR($C$48&gt;$AR100,$D$48&lt;$AR100),0,Schweine_Werte!$I100))</f>
        <v>0</v>
      </c>
      <c r="BL100" s="716">
        <f>IF(OR($C$60=$AR100,$D$60=$AR100),Schweine_Werte!$I100*0.5,IF(OR($C$60&gt;$AR100,$D$60&lt;$AR100),0,Schweine_Werte!$I100))</f>
        <v>0</v>
      </c>
      <c r="BM100" s="781"/>
      <c r="BN100" s="716"/>
      <c r="BO100" s="716"/>
      <c r="BP100" s="716"/>
      <c r="BQ100" s="716"/>
      <c r="BR100" s="781">
        <f>IF(OR($C$74=$AR100,$D$74=$AR100),Schweine_Werte!$M100*0.5,IF(OR($C$74&gt;$AR100,$D$74&lt;$AR100),0,Schweine_Werte!$M100))</f>
        <v>0</v>
      </c>
      <c r="BS100" s="781">
        <f>IF(OR($C$83=$AR100,$D$83=$AR100),Schweine_Werte!$M100*0.5,IF(OR($C$83&gt;$AR100,$D$83&lt;$AR100),0,Schweine_Werte!$M100))</f>
        <v>0</v>
      </c>
      <c r="BT100" s="783">
        <f>IF(OR($C$92=$AR100,$D$92=$AR100),Schweine_Werte!$M100*0.5,IF(OR($C$92&gt;$AR100,$D$92&lt;$AR100),0,Schweine_Werte!$M100))</f>
        <v>0</v>
      </c>
      <c r="BU100" s="783">
        <f>IF(OR($C$101=$AR100,$D$101=$AR100),Schweine_Werte!$M100*0.5,IF(OR($C$101&gt;$AR100,$D$101&lt;$AR100),0,Schweine_Werte!$M100))</f>
        <v>0</v>
      </c>
      <c r="BV100" s="783">
        <f>IF(OR($C$110=$AR100,$D$110=$AR100),Schweine_Werte!$M100*0.5,IF(OR($C$110&gt;$AR100,$D$110&lt;$AR100),0,Schweine_Werte!$M100))</f>
        <v>0</v>
      </c>
      <c r="BW100" s="783">
        <f>IF(OR(8=$AR100,$E$127=$AR100),Schweine_Werte!$M100*0.5,IF(OR(8&gt;$AR100,$E$127&lt;$AR100),0,Schweine_Werte!$M100))</f>
        <v>1.3188846531773604</v>
      </c>
      <c r="BX100" s="783">
        <f>IF(OR(8=$AR100,$E$145=$AR100),Schweine_Werte!$M100*0.5,IF(OR(8&gt;$AR100,$E$145&lt;$AR100),0,Schweine_Werte!$M100))</f>
        <v>1.3188846531773604</v>
      </c>
      <c r="BY100" s="781">
        <f>IF(OR($C$74=$AR100,$D$74=$AR100),Schweine_Werte!$O100*0.5,IF(OR($C$74&gt;$AR100,$D$74&lt;$AR100),0,Schweine_Werte!$O100))</f>
        <v>0</v>
      </c>
      <c r="BZ100" s="781">
        <f>IF(OR($C$83=$AR100,$D$83=$AR100),Schweine_Werte!$O100*0.5,IF(OR($C$83&gt;$AR100,$D$83&lt;$AR100),0,Schweine_Werte!$O100))</f>
        <v>0</v>
      </c>
      <c r="CA100" s="783">
        <f>IF(OR($C$92=$AR100,$D$92=$AR100),Schweine_Werte!$O100*0.5,IF(OR($C$92&gt;$AR100,$D$92&lt;$AR100),0,Schweine_Werte!$O100))</f>
        <v>0</v>
      </c>
      <c r="CB100" s="783">
        <f>IF(OR($C$101=$AR100,$D$101=$AR100),Schweine_Werte!$O100*0.5,IF(OR($C$101&gt;$AR100,$D$101&lt;$AR100),0,Schweine_Werte!$O100))</f>
        <v>0</v>
      </c>
      <c r="CC100" s="783">
        <f>IF(OR($C$110=$AR100,$D$110=$AR100),Schweine_Werte!$O100*0.5,IF(OR($C$110&gt;$AR100,$D$110&lt;$AR100),0,Schweine_Werte!$O100))</f>
        <v>0</v>
      </c>
    </row>
    <row r="101" spans="1:81" ht="15.75" x14ac:dyDescent="0.25">
      <c r="A101" t="s">
        <v>7781</v>
      </c>
      <c r="B101" s="802" t="str">
        <f>IF('Abweichende Werte'!X8=1,'Abweichende Werte'!F8,"")</f>
        <v/>
      </c>
      <c r="C101" s="666" t="str">
        <f>IF('Abweichende Werte'!X8=1,'Abweichende Werte'!J8,"")</f>
        <v/>
      </c>
      <c r="D101" s="667" t="str">
        <f>IF('Abweichende Werte'!X8=1,'Abweichende Werte'!M8,"")</f>
        <v/>
      </c>
      <c r="E101" s="667" t="str">
        <f>IF('Abweichende Werte'!X8=1,'Abweichende Werte'!P8,"")</f>
        <v/>
      </c>
      <c r="F101" s="789" t="e">
        <f>IF($E101&lt;=$E97,F97,IF(AND($E101&gt;$E97,$E101&lt;=$E98),F97+(F98-F97)/($E98-$E97)*($E101-$E97),IF($E101&gt;$E98,F98)))</f>
        <v>#VALUE!</v>
      </c>
      <c r="G101" s="789" t="e">
        <f t="shared" ref="G101:N101" si="50">IF($E101&lt;=$E97,G97,IF(AND($E101&gt;$E97,$E101&lt;=$E98),G97+(G98-G97)/($E98-$E97)*($E101-$E97),IF($E101&gt;$E98,G98)))</f>
        <v>#VALUE!</v>
      </c>
      <c r="H101" s="789" t="e">
        <f t="shared" si="50"/>
        <v>#VALUE!</v>
      </c>
      <c r="I101" s="789" t="e">
        <f t="shared" si="50"/>
        <v>#VALUE!</v>
      </c>
      <c r="J101" s="789" t="e">
        <f t="shared" si="50"/>
        <v>#VALUE!</v>
      </c>
      <c r="K101" s="789" t="e">
        <f t="shared" si="50"/>
        <v>#VALUE!</v>
      </c>
      <c r="L101" s="789" t="e">
        <f t="shared" si="50"/>
        <v>#VALUE!</v>
      </c>
      <c r="M101" s="789" t="e">
        <f t="shared" si="50"/>
        <v>#VALUE!</v>
      </c>
      <c r="N101" s="789" t="e">
        <f t="shared" si="50"/>
        <v>#VALUE!</v>
      </c>
      <c r="O101" s="790">
        <v>5.5</v>
      </c>
      <c r="P101" s="790">
        <v>1.8</v>
      </c>
      <c r="Q101" s="789" t="e">
        <f t="shared" ref="Q101:Z101" si="51">IF($E101&lt;=$E97,Q97,IF(AND($E101&gt;$E97,$E101&lt;=$E98),Q97+(Q98-Q97)/($E98-$E97)*($E101-$E97),IF($E101&gt;$E98,Q98)))</f>
        <v>#VALUE!</v>
      </c>
      <c r="R101" s="789" t="e">
        <f t="shared" si="51"/>
        <v>#VALUE!</v>
      </c>
      <c r="S101" s="789" t="e">
        <f t="shared" si="51"/>
        <v>#VALUE!</v>
      </c>
      <c r="T101" s="789" t="e">
        <f t="shared" si="51"/>
        <v>#VALUE!</v>
      </c>
      <c r="U101" s="789" t="e">
        <f t="shared" si="51"/>
        <v>#VALUE!</v>
      </c>
      <c r="V101" s="789" t="e">
        <f t="shared" si="51"/>
        <v>#VALUE!</v>
      </c>
      <c r="W101" s="789" t="e">
        <f t="shared" si="51"/>
        <v>#VALUE!</v>
      </c>
      <c r="X101" s="789" t="e">
        <f t="shared" si="51"/>
        <v>#VALUE!</v>
      </c>
      <c r="Y101" s="789" t="e">
        <f t="shared" si="51"/>
        <v>#VALUE!</v>
      </c>
      <c r="Z101" s="789" t="e">
        <f t="shared" si="51"/>
        <v>#VALUE!</v>
      </c>
      <c r="AA101" s="791" t="e">
        <f>+Z101*6.25</f>
        <v>#VALUE!</v>
      </c>
      <c r="AB101" s="789" t="e">
        <f>IF($E101&lt;=$E97,AB97,IF(AND($E101&gt;$E97,$E101&lt;=$E98),AB97+(AB98-AB97)/($E98-$E97)*($E101-$E97),IF($E101&gt;$E98,AB98)))</f>
        <v>#VALUE!</v>
      </c>
      <c r="AC101" s="791" t="e">
        <f>+AB101*6.25</f>
        <v>#VALUE!</v>
      </c>
      <c r="AD101" s="789" t="e">
        <f>IF($E101&lt;=$E97,AD97,IF(AND($E101&gt;$E97,$E101&lt;=$E98),AD97+(AD98-AD97)/($E98-$E97)*($E101-$E97),IF($E101&gt;$E98,AD98)))</f>
        <v>#VALUE!</v>
      </c>
      <c r="AE101" s="791" t="e">
        <f>+AD101*6.25</f>
        <v>#VALUE!</v>
      </c>
      <c r="AF101" s="791" t="e">
        <f>365/((D101-C101)/E101*1000)</f>
        <v>#VALUE!</v>
      </c>
      <c r="AG101" s="789" t="e">
        <f>IF($E101&lt;=$E97,AG97,IF(AND($E101&gt;$E97,$E101&lt;=$E98),AG97+(AG98-AG97)/($E98-$E97)*($E101-$E97),IF($E101&gt;$E98,AG98)))</f>
        <v>#VALUE!</v>
      </c>
      <c r="AH101" s="791" t="e">
        <f>+AG101/AF101</f>
        <v>#VALUE!</v>
      </c>
      <c r="AI101" s="791" t="e">
        <f>+CONCATENATE(ROUND(AH101/(D101-C101),1)," : 1")</f>
        <v>#VALUE!</v>
      </c>
      <c r="AJ101" s="789" t="e">
        <f>IF($E101&lt;=$E97,AJ97,IF(AND($E101&gt;$E97,$E101&lt;=$E98),AJ97+(AJ98-AJ97)/($E98-$E97)*($E101-$E97),IF($E101&gt;$E98,AJ98)))</f>
        <v>#VALUE!</v>
      </c>
      <c r="AK101" s="791" t="e">
        <f>+AJ101/2.291</f>
        <v>#VALUE!</v>
      </c>
      <c r="AL101" s="789" t="e">
        <f>IF($E101&lt;=$E97,AL97,IF(AND($E101&gt;$E97,$E101&lt;=$E98),AL97+(AL98-AL97)/($E98-$E97)*($E101-$E97),IF($E101&gt;$E98,AL98)))</f>
        <v>#VALUE!</v>
      </c>
      <c r="AM101" s="791" t="e">
        <f>+AL101/2.291</f>
        <v>#VALUE!</v>
      </c>
      <c r="AN101" s="789" t="e">
        <f>IF($E101&lt;=$E97,AN97,IF(AND($E101&gt;$E97,$E101&lt;=$E98),AN97+(AN98-AN97)/($E98-$E97)*($E101-$E97),IF($E101&gt;$E98,AN98)))</f>
        <v>#VALUE!</v>
      </c>
      <c r="AO101" s="791" t="e">
        <f>+AN101/2.291</f>
        <v>#VALUE!</v>
      </c>
      <c r="AR101" s="792">
        <v>105</v>
      </c>
      <c r="AS101" s="781">
        <f>IF(OR($C$12=$AR101,$D$12=$AR101),Schweine_Werte!$C101*0.5,IF(OR($C$12&gt;$AR101,$D$12&lt;$AR101),0,Schweine_Werte!$C101))</f>
        <v>0</v>
      </c>
      <c r="AT101" s="716">
        <f>IF(OR($C$24=$AR101,$D$24=$AR101),Schweine_Werte!$C101*0.5,IF(OR($C$24&gt;$AR101,$D$24&lt;$AR101),0,Schweine_Werte!$C101))</f>
        <v>0</v>
      </c>
      <c r="AU101" s="781">
        <f>IF(OR($C$36=$AR101,$D$36=$AR101),Schweine_Werte!$C101*0.5,IF(OR($C$36&gt;$AR101,$D$36&lt;$AR101),0,Schweine_Werte!$C101))</f>
        <v>0</v>
      </c>
      <c r="AV101" s="781">
        <f>IF(OR($C$48=$AR101,$D$48=$AR101),Schweine_Werte!$C101*0.5,IF(OR($C$48&gt;$AR101,$D$48&lt;$AR101),0,Schweine_Werte!$C101))</f>
        <v>0</v>
      </c>
      <c r="AW101" s="781">
        <f>IF(OR($C$60=$AR101,$D$60=$AR101),Schweine_Werte!$C101*0.5,IF(OR($C$60&gt;$AR101,$D$60&lt;$AR101),0,Schweine_Werte!$C101))</f>
        <v>0</v>
      </c>
      <c r="AX101" s="781">
        <f>IF(OR($C$12=$AR101,$D$12=$AR101),Schweine_Werte!$E101*0.5,IF(OR($C$12&gt;$AR101,$D$12&lt;$AR101),0,Schweine_Werte!$E101))</f>
        <v>0</v>
      </c>
      <c r="AY101" s="716">
        <f>IF(OR($C$24=$AR101,$D$24=$AR101),Schweine_Werte!$E101*0.5,IF(OR($C$24&gt;$AR101,$D$24&lt;$AR101),0,Schweine_Werte!$E101))</f>
        <v>0</v>
      </c>
      <c r="AZ101" s="716">
        <f>IF(OR($C$36=$AR101,$D$36=$AR101),Schweine_Werte!$E101*0.5,IF(OR($C$36&gt;$AR101,$D$36&lt;$AR101),0,Schweine_Werte!$E101))</f>
        <v>0</v>
      </c>
      <c r="BA101" s="716">
        <f>IF(OR($C$48=$AR101,$D$48=$AR101),Schweine_Werte!$E101*0.5,IF(OR($C$48&gt;$AR101,$D$48&lt;$AR101),0,Schweine_Werte!$E101))</f>
        <v>0</v>
      </c>
      <c r="BB101" s="716">
        <f>IF(OR($C$60=$AR101,$D$60=$AR101),Schweine_Werte!$E101*0.5,IF(OR($C$60&gt;$AR101,$D$60&lt;$AR101),0,Schweine_Werte!$E101))</f>
        <v>0</v>
      </c>
      <c r="BC101" s="781">
        <f>IF(OR($C$12=$AR101,$D$12=$AR101),Schweine_Werte!$G101*0.5,IF(OR($C$12&gt;$AR101,$D$12&lt;$AR101),0,Schweine_Werte!$G101))</f>
        <v>0</v>
      </c>
      <c r="BD101" s="716">
        <f>IF(OR($C$24=$AR101,$D$24=$AR101),Schweine_Werte!$G101*0.5,IF(OR($C$24&gt;$AR101,$D$24&lt;$AR101),0,Schweine_Werte!$G101))</f>
        <v>0</v>
      </c>
      <c r="BE101" s="716">
        <f>IF(OR($C$36=$AR101,$D$36=$AR101),Schweine_Werte!$G101*0.5,IF(OR($C$36&gt;$AR101,$D$36&lt;$AR101),0,Schweine_Werte!$G101))</f>
        <v>0</v>
      </c>
      <c r="BF101" s="716">
        <f>IF(OR($C$48=$AR101,$D$48=$AR101),Schweine_Werte!$G101*0.5,IF(OR($C$48&gt;$AR101,$D$48&lt;$AR101),0,Schweine_Werte!$G101))</f>
        <v>0</v>
      </c>
      <c r="BG101" s="716">
        <f>IF(OR($C$60=$AR101,$D$60=$AR101),Schweine_Werte!$G101*0.5,IF(OR($C$60&gt;$AR101,$D$60&lt;$AR101),0,Schweine_Werte!$G101))</f>
        <v>0</v>
      </c>
      <c r="BH101" s="781">
        <f>IF(OR($C$12=$AR101,$D$12=$AR101),Schweine_Werte!$I101*0.5,IF(OR($C$12&gt;$AR101,$D$12&lt;$AR101),0,Schweine_Werte!$I101))</f>
        <v>0</v>
      </c>
      <c r="BI101" s="716">
        <f>IF(OR($C$24=$AR101,$D$24=$AR101),Schweine_Werte!$I101*0.5,IF(OR($C$24&gt;$AR101,$D$24&lt;$AR101),0,Schweine_Werte!$I101))</f>
        <v>0</v>
      </c>
      <c r="BJ101" s="716">
        <f>IF(OR($C$36=$AR101,$D$36=$AR101),Schweine_Werte!$I101*0.5,IF(OR($C$36&gt;$AR101,$D$36&lt;$AR101),0,Schweine_Werte!$I101))</f>
        <v>0</v>
      </c>
      <c r="BK101" s="716">
        <f>IF(OR($C$48=$AR101,$D$48=$AR101),Schweine_Werte!$I101*0.5,IF(OR($C$48&gt;$AR101,$D$48&lt;$AR101),0,Schweine_Werte!$I101))</f>
        <v>0</v>
      </c>
      <c r="BL101" s="716">
        <f>IF(OR($C$60=$AR101,$D$60=$AR101),Schweine_Werte!$I101*0.5,IF(OR($C$60&gt;$AR101,$D$60&lt;$AR101),0,Schweine_Werte!$I101))</f>
        <v>0</v>
      </c>
      <c r="BM101" s="781"/>
      <c r="BN101" s="716"/>
      <c r="BO101" s="716"/>
      <c r="BP101" s="716"/>
      <c r="BQ101" s="716"/>
      <c r="BR101" s="781">
        <f>IF(OR($C$74=$AR101,$D$74=$AR101),Schweine_Werte!$M101*0.5,IF(OR($C$74&gt;$AR101,$D$74&lt;$AR101),0,Schweine_Werte!$M101))</f>
        <v>0</v>
      </c>
      <c r="BS101" s="781">
        <f>IF(OR($C$83=$AR101,$D$83=$AR101),Schweine_Werte!$M101*0.5,IF(OR($C$83&gt;$AR101,$D$83&lt;$AR101),0,Schweine_Werte!$M101))</f>
        <v>0</v>
      </c>
      <c r="BT101" s="783">
        <f>IF(OR($C$92=$AR101,$D$92=$AR101),Schweine_Werte!$M101*0.5,IF(OR($C$92&gt;$AR101,$D$92&lt;$AR101),0,Schweine_Werte!$M101))</f>
        <v>0</v>
      </c>
      <c r="BU101" s="783">
        <f>IF(OR($C$101=$AR101,$D$101=$AR101),Schweine_Werte!$M101*0.5,IF(OR($C$101&gt;$AR101,$D$101&lt;$AR101),0,Schweine_Werte!$M101))</f>
        <v>0</v>
      </c>
      <c r="BV101" s="783">
        <f>IF(OR($C$110=$AR101,$D$110=$AR101),Schweine_Werte!$M101*0.5,IF(OR($C$110&gt;$AR101,$D$110&lt;$AR101),0,Schweine_Werte!$M101))</f>
        <v>0</v>
      </c>
      <c r="BW101" s="783">
        <f>IF(OR(8=$AR101,$E$127=$AR101),Schweine_Werte!$M101*0.5,IF(OR(8&gt;$AR101,$E$127&lt;$AR101),0,Schweine_Werte!$M101))</f>
        <v>1.3355244584329835</v>
      </c>
      <c r="BX101" s="783">
        <f>IF(OR(8=$AR101,$E$145=$AR101),Schweine_Werte!$M101*0.5,IF(OR(8&gt;$AR101,$E$145&lt;$AR101),0,Schweine_Werte!$M101))</f>
        <v>1.3355244584329835</v>
      </c>
      <c r="BY101" s="781">
        <f>IF(OR($C$74=$AR101,$D$74=$AR101),Schweine_Werte!$O101*0.5,IF(OR($C$74&gt;$AR101,$D$74&lt;$AR101),0,Schweine_Werte!$O101))</f>
        <v>0</v>
      </c>
      <c r="BZ101" s="781">
        <f>IF(OR($C$83=$AR101,$D$83=$AR101),Schweine_Werte!$O101*0.5,IF(OR($C$83&gt;$AR101,$D$83&lt;$AR101),0,Schweine_Werte!$O101))</f>
        <v>0</v>
      </c>
      <c r="CA101" s="783">
        <f>IF(OR($C$92=$AR101,$D$92=$AR101),Schweine_Werte!$O101*0.5,IF(OR($C$92&gt;$AR101,$D$92&lt;$AR101),0,Schweine_Werte!$O101))</f>
        <v>0</v>
      </c>
      <c r="CB101" s="783">
        <f>IF(OR($C$101=$AR101,$D$101=$AR101),Schweine_Werte!$O101*0.5,IF(OR($C$101&gt;$AR101,$D$101&lt;$AR101),0,Schweine_Werte!$O101))</f>
        <v>0</v>
      </c>
      <c r="CC101" s="783">
        <f>IF(OR($C$110=$AR101,$D$110=$AR101),Schweine_Werte!$O101*0.5,IF(OR($C$110&gt;$AR101,$D$110&lt;$AR101),0,Schweine_Werte!$O101))</f>
        <v>0</v>
      </c>
    </row>
    <row r="102" spans="1:81" x14ac:dyDescent="0.2">
      <c r="AR102" s="792">
        <v>106</v>
      </c>
      <c r="AS102" s="781">
        <f>IF(OR($C$12=$AR102,$D$12=$AR102),Schweine_Werte!$C102*0.5,IF(OR($C$12&gt;$AR102,$D$12&lt;$AR102),0,Schweine_Werte!$C102))</f>
        <v>0</v>
      </c>
      <c r="AT102" s="716">
        <f>IF(OR($C$24=$AR102,$D$24=$AR102),Schweine_Werte!$C102*0.5,IF(OR($C$24&gt;$AR102,$D$24&lt;$AR102),0,Schweine_Werte!$C102))</f>
        <v>0</v>
      </c>
      <c r="AU102" s="781">
        <f>IF(OR($C$36=$AR102,$D$36=$AR102),Schweine_Werte!$C102*0.5,IF(OR($C$36&gt;$AR102,$D$36&lt;$AR102),0,Schweine_Werte!$C102))</f>
        <v>0</v>
      </c>
      <c r="AV102" s="781">
        <f>IF(OR($C$48=$AR102,$D$48=$AR102),Schweine_Werte!$C102*0.5,IF(OR($C$48&gt;$AR102,$D$48&lt;$AR102),0,Schweine_Werte!$C102))</f>
        <v>0</v>
      </c>
      <c r="AW102" s="781">
        <f>IF(OR($C$60=$AR102,$D$60=$AR102),Schweine_Werte!$C102*0.5,IF(OR($C$60&gt;$AR102,$D$60&lt;$AR102),0,Schweine_Werte!$C102))</f>
        <v>0</v>
      </c>
      <c r="AX102" s="781">
        <f>IF(OR($C$12=$AR102,$D$12=$AR102),Schweine_Werte!$E102*0.5,IF(OR($C$12&gt;$AR102,$D$12&lt;$AR102),0,Schweine_Werte!$E102))</f>
        <v>0</v>
      </c>
      <c r="AY102" s="716">
        <f>IF(OR($C$24=$AR102,$D$24=$AR102),Schweine_Werte!$E102*0.5,IF(OR($C$24&gt;$AR102,$D$24&lt;$AR102),0,Schweine_Werte!$E102))</f>
        <v>0</v>
      </c>
      <c r="AZ102" s="716">
        <f>IF(OR($C$36=$AR102,$D$36=$AR102),Schweine_Werte!$E102*0.5,IF(OR($C$36&gt;$AR102,$D$36&lt;$AR102),0,Schweine_Werte!$E102))</f>
        <v>0</v>
      </c>
      <c r="BA102" s="716">
        <f>IF(OR($C$48=$AR102,$D$48=$AR102),Schweine_Werte!$E102*0.5,IF(OR($C$48&gt;$AR102,$D$48&lt;$AR102),0,Schweine_Werte!$E102))</f>
        <v>0</v>
      </c>
      <c r="BB102" s="716">
        <f>IF(OR($C$60=$AR102,$D$60=$AR102),Schweine_Werte!$E102*0.5,IF(OR($C$60&gt;$AR102,$D$60&lt;$AR102),0,Schweine_Werte!$E102))</f>
        <v>0</v>
      </c>
      <c r="BC102" s="781">
        <f>IF(OR($C$12=$AR102,$D$12=$AR102),Schweine_Werte!$G102*0.5,IF(OR($C$12&gt;$AR102,$D$12&lt;$AR102),0,Schweine_Werte!$G102))</f>
        <v>0</v>
      </c>
      <c r="BD102" s="716">
        <f>IF(OR($C$24=$AR102,$D$24=$AR102),Schweine_Werte!$G102*0.5,IF(OR($C$24&gt;$AR102,$D$24&lt;$AR102),0,Schweine_Werte!$G102))</f>
        <v>0</v>
      </c>
      <c r="BE102" s="716">
        <f>IF(OR($C$36=$AR102,$D$36=$AR102),Schweine_Werte!$G102*0.5,IF(OR($C$36&gt;$AR102,$D$36&lt;$AR102),0,Schweine_Werte!$G102))</f>
        <v>0</v>
      </c>
      <c r="BF102" s="716">
        <f>IF(OR($C$48=$AR102,$D$48=$AR102),Schweine_Werte!$G102*0.5,IF(OR($C$48&gt;$AR102,$D$48&lt;$AR102),0,Schweine_Werte!$G102))</f>
        <v>0</v>
      </c>
      <c r="BG102" s="716">
        <f>IF(OR($C$60=$AR102,$D$60=$AR102),Schweine_Werte!$G102*0.5,IF(OR($C$60&gt;$AR102,$D$60&lt;$AR102),0,Schweine_Werte!$G102))</f>
        <v>0</v>
      </c>
      <c r="BH102" s="781">
        <f>IF(OR($C$12=$AR102,$D$12=$AR102),Schweine_Werte!$I102*0.5,IF(OR($C$12&gt;$AR102,$D$12&lt;$AR102),0,Schweine_Werte!$I102))</f>
        <v>0</v>
      </c>
      <c r="BI102" s="716">
        <f>IF(OR($C$24=$AR102,$D$24=$AR102),Schweine_Werte!$I102*0.5,IF(OR($C$24&gt;$AR102,$D$24&lt;$AR102),0,Schweine_Werte!$I102))</f>
        <v>0</v>
      </c>
      <c r="BJ102" s="716">
        <f>IF(OR($C$36=$AR102,$D$36=$AR102),Schweine_Werte!$I102*0.5,IF(OR($C$36&gt;$AR102,$D$36&lt;$AR102),0,Schweine_Werte!$I102))</f>
        <v>0</v>
      </c>
      <c r="BK102" s="716">
        <f>IF(OR($C$48=$AR102,$D$48=$AR102),Schweine_Werte!$I102*0.5,IF(OR($C$48&gt;$AR102,$D$48&lt;$AR102),0,Schweine_Werte!$I102))</f>
        <v>0</v>
      </c>
      <c r="BL102" s="716">
        <f>IF(OR($C$60=$AR102,$D$60=$AR102),Schweine_Werte!$I102*0.5,IF(OR($C$60&gt;$AR102,$D$60&lt;$AR102),0,Schweine_Werte!$I102))</f>
        <v>0</v>
      </c>
      <c r="BM102" s="781"/>
      <c r="BN102" s="716"/>
      <c r="BO102" s="716"/>
      <c r="BP102" s="716"/>
      <c r="BQ102" s="716"/>
      <c r="BR102" s="781">
        <f>IF(OR($C$74=$AR102,$D$74=$AR102),Schweine_Werte!$M102*0.5,IF(OR($C$74&gt;$AR102,$D$74&lt;$AR102),0,Schweine_Werte!$M102))</f>
        <v>0</v>
      </c>
      <c r="BS102" s="781">
        <f>IF(OR($C$83=$AR102,$D$83=$AR102),Schweine_Werte!$M102*0.5,IF(OR($C$83&gt;$AR102,$D$83&lt;$AR102),0,Schweine_Werte!$M102))</f>
        <v>0</v>
      </c>
      <c r="BT102" s="783">
        <f>IF(OR($C$92=$AR102,$D$92=$AR102),Schweine_Werte!$M102*0.5,IF(OR($C$92&gt;$AR102,$D$92&lt;$AR102),0,Schweine_Werte!$M102))</f>
        <v>0</v>
      </c>
      <c r="BU102" s="783">
        <f>IF(OR($C$101=$AR102,$D$101=$AR102),Schweine_Werte!$M102*0.5,IF(OR($C$101&gt;$AR102,$D$101&lt;$AR102),0,Schweine_Werte!$M102))</f>
        <v>0</v>
      </c>
      <c r="BV102" s="783">
        <f>IF(OR($C$110=$AR102,$D$110=$AR102),Schweine_Werte!$M102*0.5,IF(OR($C$110&gt;$AR102,$D$110&lt;$AR102),0,Schweine_Werte!$M102))</f>
        <v>0</v>
      </c>
      <c r="BW102" s="783">
        <f>IF(OR(8=$AR102,$E$127=$AR102),Schweine_Werte!$M102*0.5,IF(OR(8&gt;$AR102,$E$127&lt;$AR102),0,Schweine_Werte!$M102))</f>
        <v>1.3531217058610687</v>
      </c>
      <c r="BX102" s="783">
        <f>IF(OR(8=$AR102,$E$145=$AR102),Schweine_Werte!$M102*0.5,IF(OR(8&gt;$AR102,$E$145&lt;$AR102),0,Schweine_Werte!$M102))</f>
        <v>1.3531217058610687</v>
      </c>
      <c r="BY102" s="781">
        <f>IF(OR($C$74=$AR102,$D$74=$AR102),Schweine_Werte!$O102*0.5,IF(OR($C$74&gt;$AR102,$D$74&lt;$AR102),0,Schweine_Werte!$O102))</f>
        <v>0</v>
      </c>
      <c r="BZ102" s="781">
        <f>IF(OR($C$83=$AR102,$D$83=$AR102),Schweine_Werte!$O102*0.5,IF(OR($C$83&gt;$AR102,$D$83&lt;$AR102),0,Schweine_Werte!$O102))</f>
        <v>0</v>
      </c>
      <c r="CA102" s="783">
        <f>IF(OR($C$92=$AR102,$D$92=$AR102),Schweine_Werte!$O102*0.5,IF(OR($C$92&gt;$AR102,$D$92&lt;$AR102),0,Schweine_Werte!$O102))</f>
        <v>0</v>
      </c>
      <c r="CB102" s="783">
        <f>IF(OR($C$101=$AR102,$D$101=$AR102),Schweine_Werte!$O102*0.5,IF(OR($C$101&gt;$AR102,$D$101&lt;$AR102),0,Schweine_Werte!$O102))</f>
        <v>0</v>
      </c>
      <c r="CC102" s="783">
        <f>IF(OR($C$110=$AR102,$D$110=$AR102),Schweine_Werte!$O102*0.5,IF(OR($C$110&gt;$AR102,$D$110&lt;$AR102),0,Schweine_Werte!$O102))</f>
        <v>0</v>
      </c>
    </row>
    <row r="103" spans="1:81" x14ac:dyDescent="0.2">
      <c r="AR103" s="792">
        <v>107</v>
      </c>
      <c r="AS103" s="781">
        <f>IF(OR($C$12=$AR103,$D$12=$AR103),Schweine_Werte!$C103*0.5,IF(OR($C$12&gt;$AR103,$D$12&lt;$AR103),0,Schweine_Werte!$C103))</f>
        <v>0</v>
      </c>
      <c r="AT103" s="716">
        <f>IF(OR($C$24=$AR103,$D$24=$AR103),Schweine_Werte!$C103*0.5,IF(OR($C$24&gt;$AR103,$D$24&lt;$AR103),0,Schweine_Werte!$C103))</f>
        <v>0</v>
      </c>
      <c r="AU103" s="781">
        <f>IF(OR($C$36=$AR103,$D$36=$AR103),Schweine_Werte!$C103*0.5,IF(OR($C$36&gt;$AR103,$D$36&lt;$AR103),0,Schweine_Werte!$C103))</f>
        <v>0</v>
      </c>
      <c r="AV103" s="781">
        <f>IF(OR($C$48=$AR103,$D$48=$AR103),Schweine_Werte!$C103*0.5,IF(OR($C$48&gt;$AR103,$D$48&lt;$AR103),0,Schweine_Werte!$C103))</f>
        <v>0</v>
      </c>
      <c r="AW103" s="781">
        <f>IF(OR($C$60=$AR103,$D$60=$AR103),Schweine_Werte!$C103*0.5,IF(OR($C$60&gt;$AR103,$D$60&lt;$AR103),0,Schweine_Werte!$C103))</f>
        <v>0</v>
      </c>
      <c r="AX103" s="781">
        <f>IF(OR($C$12=$AR103,$D$12=$AR103),Schweine_Werte!$E103*0.5,IF(OR($C$12&gt;$AR103,$D$12&lt;$AR103),0,Schweine_Werte!$E103))</f>
        <v>0</v>
      </c>
      <c r="AY103" s="716">
        <f>IF(OR($C$24=$AR103,$D$24=$AR103),Schweine_Werte!$E103*0.5,IF(OR($C$24&gt;$AR103,$D$24&lt;$AR103),0,Schweine_Werte!$E103))</f>
        <v>0</v>
      </c>
      <c r="AZ103" s="716">
        <f>IF(OR($C$36=$AR103,$D$36=$AR103),Schweine_Werte!$E103*0.5,IF(OR($C$36&gt;$AR103,$D$36&lt;$AR103),0,Schweine_Werte!$E103))</f>
        <v>0</v>
      </c>
      <c r="BA103" s="716">
        <f>IF(OR($C$48=$AR103,$D$48=$AR103),Schweine_Werte!$E103*0.5,IF(OR($C$48&gt;$AR103,$D$48&lt;$AR103),0,Schweine_Werte!$E103))</f>
        <v>0</v>
      </c>
      <c r="BB103" s="716">
        <f>IF(OR($C$60=$AR103,$D$60=$AR103),Schweine_Werte!$E103*0.5,IF(OR($C$60&gt;$AR103,$D$60&lt;$AR103),0,Schweine_Werte!$E103))</f>
        <v>0</v>
      </c>
      <c r="BC103" s="781">
        <f>IF(OR($C$12=$AR103,$D$12=$AR103),Schweine_Werte!$G103*0.5,IF(OR($C$12&gt;$AR103,$D$12&lt;$AR103),0,Schweine_Werte!$G103))</f>
        <v>0</v>
      </c>
      <c r="BD103" s="716">
        <f>IF(OR($C$24=$AR103,$D$24=$AR103),Schweine_Werte!$G103*0.5,IF(OR($C$24&gt;$AR103,$D$24&lt;$AR103),0,Schweine_Werte!$G103))</f>
        <v>0</v>
      </c>
      <c r="BE103" s="716">
        <f>IF(OR($C$36=$AR103,$D$36=$AR103),Schweine_Werte!$G103*0.5,IF(OR($C$36&gt;$AR103,$D$36&lt;$AR103),0,Schweine_Werte!$G103))</f>
        <v>0</v>
      </c>
      <c r="BF103" s="716">
        <f>IF(OR($C$48=$AR103,$D$48=$AR103),Schweine_Werte!$G103*0.5,IF(OR($C$48&gt;$AR103,$D$48&lt;$AR103),0,Schweine_Werte!$G103))</f>
        <v>0</v>
      </c>
      <c r="BG103" s="716">
        <f>IF(OR($C$60=$AR103,$D$60=$AR103),Schweine_Werte!$G103*0.5,IF(OR($C$60&gt;$AR103,$D$60&lt;$AR103),0,Schweine_Werte!$G103))</f>
        <v>0</v>
      </c>
      <c r="BH103" s="781">
        <f>IF(OR($C$12=$AR103,$D$12=$AR103),Schweine_Werte!$I103*0.5,IF(OR($C$12&gt;$AR103,$D$12&lt;$AR103),0,Schweine_Werte!$I103))</f>
        <v>0</v>
      </c>
      <c r="BI103" s="716">
        <f>IF(OR($C$24=$AR103,$D$24=$AR103),Schweine_Werte!$I103*0.5,IF(OR($C$24&gt;$AR103,$D$24&lt;$AR103),0,Schweine_Werte!$I103))</f>
        <v>0</v>
      </c>
      <c r="BJ103" s="716">
        <f>IF(OR($C$36=$AR103,$D$36=$AR103),Schweine_Werte!$I103*0.5,IF(OR($C$36&gt;$AR103,$D$36&lt;$AR103),0,Schweine_Werte!$I103))</f>
        <v>0</v>
      </c>
      <c r="BK103" s="716">
        <f>IF(OR($C$48=$AR103,$D$48=$AR103),Schweine_Werte!$I103*0.5,IF(OR($C$48&gt;$AR103,$D$48&lt;$AR103),0,Schweine_Werte!$I103))</f>
        <v>0</v>
      </c>
      <c r="BL103" s="716">
        <f>IF(OR($C$60=$AR103,$D$60=$AR103),Schweine_Werte!$I103*0.5,IF(OR($C$60&gt;$AR103,$D$60&lt;$AR103),0,Schweine_Werte!$I103))</f>
        <v>0</v>
      </c>
      <c r="BM103" s="781"/>
      <c r="BN103" s="716"/>
      <c r="BO103" s="716"/>
      <c r="BP103" s="716"/>
      <c r="BQ103" s="716"/>
      <c r="BR103" s="781">
        <f>IF(OR($C$74=$AR103,$D$74=$AR103),Schweine_Werte!$M103*0.5,IF(OR($C$74&gt;$AR103,$D$74&lt;$AR103),0,Schweine_Werte!$M103))</f>
        <v>0</v>
      </c>
      <c r="BS103" s="781">
        <f>IF(OR($C$83=$AR103,$D$83=$AR103),Schweine_Werte!$M103*0.5,IF(OR($C$83&gt;$AR103,$D$83&lt;$AR103),0,Schweine_Werte!$M103))</f>
        <v>0</v>
      </c>
      <c r="BT103" s="783">
        <f>IF(OR($C$92=$AR103,$D$92=$AR103),Schweine_Werte!$M103*0.5,IF(OR($C$92&gt;$AR103,$D$92&lt;$AR103),0,Schweine_Werte!$M103))</f>
        <v>0</v>
      </c>
      <c r="BU103" s="783">
        <f>IF(OR($C$101=$AR103,$D$101=$AR103),Schweine_Werte!$M103*0.5,IF(OR($C$101&gt;$AR103,$D$101&lt;$AR103),0,Schweine_Werte!$M103))</f>
        <v>0</v>
      </c>
      <c r="BV103" s="783">
        <f>IF(OR($C$110=$AR103,$D$110=$AR103),Schweine_Werte!$M103*0.5,IF(OR($C$110&gt;$AR103,$D$110&lt;$AR103),0,Schweine_Werte!$M103))</f>
        <v>0</v>
      </c>
      <c r="BW103" s="783">
        <f>IF(OR(8=$AR103,$E$127=$AR103),Schweine_Werte!$M103*0.5,IF(OR(8&gt;$AR103,$E$127&lt;$AR103),0,Schweine_Werte!$M103))</f>
        <v>1.3717350969782129</v>
      </c>
      <c r="BX103" s="783">
        <f>IF(OR(8=$AR103,$E$145=$AR103),Schweine_Werte!$M103*0.5,IF(OR(8&gt;$AR103,$E$145&lt;$AR103),0,Schweine_Werte!$M103))</f>
        <v>1.3717350969782129</v>
      </c>
      <c r="BY103" s="781">
        <f>IF(OR($C$74=$AR103,$D$74=$AR103),Schweine_Werte!$O103*0.5,IF(OR($C$74&gt;$AR103,$D$74&lt;$AR103),0,Schweine_Werte!$O103))</f>
        <v>0</v>
      </c>
      <c r="BZ103" s="781">
        <f>IF(OR($C$83=$AR103,$D$83=$AR103),Schweine_Werte!$O103*0.5,IF(OR($C$83&gt;$AR103,$D$83&lt;$AR103),0,Schweine_Werte!$O103))</f>
        <v>0</v>
      </c>
      <c r="CA103" s="783">
        <f>IF(OR($C$92=$AR103,$D$92=$AR103),Schweine_Werte!$O103*0.5,IF(OR($C$92&gt;$AR103,$D$92&lt;$AR103),0,Schweine_Werte!$O103))</f>
        <v>0</v>
      </c>
      <c r="CB103" s="783">
        <f>IF(OR($C$101=$AR103,$D$101=$AR103),Schweine_Werte!$O103*0.5,IF(OR($C$101&gt;$AR103,$D$101&lt;$AR103),0,Schweine_Werte!$O103))</f>
        <v>0</v>
      </c>
      <c r="CC103" s="783">
        <f>IF(OR($C$110=$AR103,$D$110=$AR103),Schweine_Werte!$O103*0.5,IF(OR($C$110&gt;$AR103,$D$110&lt;$AR103),0,Schweine_Werte!$O103))</f>
        <v>0</v>
      </c>
    </row>
    <row r="104" spans="1:81" x14ac:dyDescent="0.2">
      <c r="Q104" s="1587" t="s">
        <v>7768</v>
      </c>
      <c r="R104" s="1587"/>
      <c r="S104" s="1587"/>
      <c r="T104" s="1587" t="s">
        <v>7769</v>
      </c>
      <c r="U104" s="1587"/>
      <c r="V104" s="1587"/>
      <c r="W104" s="975" t="s">
        <v>7662</v>
      </c>
      <c r="X104" s="975"/>
      <c r="Y104" s="975"/>
      <c r="AR104" s="792">
        <v>108</v>
      </c>
      <c r="AS104" s="781">
        <f>IF(OR($C$12=$AR104,$D$12=$AR104),Schweine_Werte!$C104*0.5,IF(OR($C$12&gt;$AR104,$D$12&lt;$AR104),0,Schweine_Werte!$C104))</f>
        <v>0</v>
      </c>
      <c r="AT104" s="716">
        <f>IF(OR($C$24=$AR104,$D$24=$AR104),Schweine_Werte!$C104*0.5,IF(OR($C$24&gt;$AR104,$D$24&lt;$AR104),0,Schweine_Werte!$C104))</f>
        <v>0</v>
      </c>
      <c r="AU104" s="781">
        <f>IF(OR($C$36=$AR104,$D$36=$AR104),Schweine_Werte!$C104*0.5,IF(OR($C$36&gt;$AR104,$D$36&lt;$AR104),0,Schweine_Werte!$C104))</f>
        <v>0</v>
      </c>
      <c r="AV104" s="781">
        <f>IF(OR($C$48=$AR104,$D$48=$AR104),Schweine_Werte!$C104*0.5,IF(OR($C$48&gt;$AR104,$D$48&lt;$AR104),0,Schweine_Werte!$C104))</f>
        <v>0</v>
      </c>
      <c r="AW104" s="781">
        <f>IF(OR($C$60=$AR104,$D$60=$AR104),Schweine_Werte!$C104*0.5,IF(OR($C$60&gt;$AR104,$D$60&lt;$AR104),0,Schweine_Werte!$C104))</f>
        <v>0</v>
      </c>
      <c r="AX104" s="781">
        <f>IF(OR($C$12=$AR104,$D$12=$AR104),Schweine_Werte!$E104*0.5,IF(OR($C$12&gt;$AR104,$D$12&lt;$AR104),0,Schweine_Werte!$E104))</f>
        <v>0</v>
      </c>
      <c r="AY104" s="716">
        <f>IF(OR($C$24=$AR104,$D$24=$AR104),Schweine_Werte!$E104*0.5,IF(OR($C$24&gt;$AR104,$D$24&lt;$AR104),0,Schweine_Werte!$E104))</f>
        <v>0</v>
      </c>
      <c r="AZ104" s="716">
        <f>IF(OR($C$36=$AR104,$D$36=$AR104),Schweine_Werte!$E104*0.5,IF(OR($C$36&gt;$AR104,$D$36&lt;$AR104),0,Schweine_Werte!$E104))</f>
        <v>0</v>
      </c>
      <c r="BA104" s="716">
        <f>IF(OR($C$48=$AR104,$D$48=$AR104),Schweine_Werte!$E104*0.5,IF(OR($C$48&gt;$AR104,$D$48&lt;$AR104),0,Schweine_Werte!$E104))</f>
        <v>0</v>
      </c>
      <c r="BB104" s="716">
        <f>IF(OR($C$60=$AR104,$D$60=$AR104),Schweine_Werte!$E104*0.5,IF(OR($C$60&gt;$AR104,$D$60&lt;$AR104),0,Schweine_Werte!$E104))</f>
        <v>0</v>
      </c>
      <c r="BC104" s="781">
        <f>IF(OR($C$12=$AR104,$D$12=$AR104),Schweine_Werte!$G104*0.5,IF(OR($C$12&gt;$AR104,$D$12&lt;$AR104),0,Schweine_Werte!$G104))</f>
        <v>0</v>
      </c>
      <c r="BD104" s="716">
        <f>IF(OR($C$24=$AR104,$D$24=$AR104),Schweine_Werte!$G104*0.5,IF(OR($C$24&gt;$AR104,$D$24&lt;$AR104),0,Schweine_Werte!$G104))</f>
        <v>0</v>
      </c>
      <c r="BE104" s="716">
        <f>IF(OR($C$36=$AR104,$D$36=$AR104),Schweine_Werte!$G104*0.5,IF(OR($C$36&gt;$AR104,$D$36&lt;$AR104),0,Schweine_Werte!$G104))</f>
        <v>0</v>
      </c>
      <c r="BF104" s="716">
        <f>IF(OR($C$48=$AR104,$D$48=$AR104),Schweine_Werte!$G104*0.5,IF(OR($C$48&gt;$AR104,$D$48&lt;$AR104),0,Schweine_Werte!$G104))</f>
        <v>0</v>
      </c>
      <c r="BG104" s="716">
        <f>IF(OR($C$60=$AR104,$D$60=$AR104),Schweine_Werte!$G104*0.5,IF(OR($C$60&gt;$AR104,$D$60&lt;$AR104),0,Schweine_Werte!$G104))</f>
        <v>0</v>
      </c>
      <c r="BH104" s="781">
        <f>IF(OR($C$12=$AR104,$D$12=$AR104),Schweine_Werte!$I104*0.5,IF(OR($C$12&gt;$AR104,$D$12&lt;$AR104),0,Schweine_Werte!$I104))</f>
        <v>0</v>
      </c>
      <c r="BI104" s="716">
        <f>IF(OR($C$24=$AR104,$D$24=$AR104),Schweine_Werte!$I104*0.5,IF(OR($C$24&gt;$AR104,$D$24&lt;$AR104),0,Schweine_Werte!$I104))</f>
        <v>0</v>
      </c>
      <c r="BJ104" s="716">
        <f>IF(OR($C$36=$AR104,$D$36=$AR104),Schweine_Werte!$I104*0.5,IF(OR($C$36&gt;$AR104,$D$36&lt;$AR104),0,Schweine_Werte!$I104))</f>
        <v>0</v>
      </c>
      <c r="BK104" s="716">
        <f>IF(OR($C$48=$AR104,$D$48=$AR104),Schweine_Werte!$I104*0.5,IF(OR($C$48&gt;$AR104,$D$48&lt;$AR104),0,Schweine_Werte!$I104))</f>
        <v>0</v>
      </c>
      <c r="BL104" s="716">
        <f>IF(OR($C$60=$AR104,$D$60=$AR104),Schweine_Werte!$I104*0.5,IF(OR($C$60&gt;$AR104,$D$60&lt;$AR104),0,Schweine_Werte!$I104))</f>
        <v>0</v>
      </c>
      <c r="BM104" s="781"/>
      <c r="BN104" s="716"/>
      <c r="BO104" s="716"/>
      <c r="BP104" s="716"/>
      <c r="BQ104" s="716"/>
      <c r="BR104" s="781">
        <f>IF(OR($C$74=$AR104,$D$74=$AR104),Schweine_Werte!$M104*0.5,IF(OR($C$74&gt;$AR104,$D$74&lt;$AR104),0,Schweine_Werte!$M104))</f>
        <v>0</v>
      </c>
      <c r="BS104" s="781">
        <f>IF(OR($C$83=$AR104,$D$83=$AR104),Schweine_Werte!$M104*0.5,IF(OR($C$83&gt;$AR104,$D$83&lt;$AR104),0,Schweine_Werte!$M104))</f>
        <v>0</v>
      </c>
      <c r="BT104" s="783">
        <f>IF(OR($C$92=$AR104,$D$92=$AR104),Schweine_Werte!$M104*0.5,IF(OR($C$92&gt;$AR104,$D$92&lt;$AR104),0,Schweine_Werte!$M104))</f>
        <v>0</v>
      </c>
      <c r="BU104" s="783">
        <f>IF(OR($C$101=$AR104,$D$101=$AR104),Schweine_Werte!$M104*0.5,IF(OR($C$101&gt;$AR104,$D$101&lt;$AR104),0,Schweine_Werte!$M104))</f>
        <v>0</v>
      </c>
      <c r="BV104" s="783">
        <f>IF(OR($C$110=$AR104,$D$110=$AR104),Schweine_Werte!$M104*0.5,IF(OR($C$110&gt;$AR104,$D$110&lt;$AR104),0,Schweine_Werte!$M104))</f>
        <v>0</v>
      </c>
      <c r="BW104" s="783">
        <f>IF(OR(8=$AR104,$E$127=$AR104),Schweine_Werte!$M104*0.5,IF(OR(8&gt;$AR104,$E$127&lt;$AR104),0,Schweine_Werte!$M104))</f>
        <v>1.3914289652940333</v>
      </c>
      <c r="BX104" s="783">
        <f>IF(OR(8=$AR104,$E$145=$AR104),Schweine_Werte!$M104*0.5,IF(OR(8&gt;$AR104,$E$145&lt;$AR104),0,Schweine_Werte!$M104))</f>
        <v>1.3914289652940333</v>
      </c>
      <c r="BY104" s="781">
        <f>IF(OR($C$74=$AR104,$D$74=$AR104),Schweine_Werte!$O104*0.5,IF(OR($C$74&gt;$AR104,$D$74&lt;$AR104),0,Schweine_Werte!$O104))</f>
        <v>0</v>
      </c>
      <c r="BZ104" s="781">
        <f>IF(OR($C$83=$AR104,$D$83=$AR104),Schweine_Werte!$O104*0.5,IF(OR($C$83&gt;$AR104,$D$83&lt;$AR104),0,Schweine_Werte!$O104))</f>
        <v>0</v>
      </c>
      <c r="CA104" s="783">
        <f>IF(OR($C$92=$AR104,$D$92=$AR104),Schweine_Werte!$O104*0.5,IF(OR($C$92&gt;$AR104,$D$92&lt;$AR104),0,Schweine_Werte!$O104))</f>
        <v>0</v>
      </c>
      <c r="CB104" s="783">
        <f>IF(OR($C$101=$AR104,$D$101=$AR104),Schweine_Werte!$O104*0.5,IF(OR($C$101&gt;$AR104,$D$101&lt;$AR104),0,Schweine_Werte!$O104))</f>
        <v>0</v>
      </c>
      <c r="CC104" s="783">
        <f>IF(OR($C$110=$AR104,$D$110=$AR104),Schweine_Werte!$O104*0.5,IF(OR($C$110&gt;$AR104,$D$110&lt;$AR104),0,Schweine_Werte!$O104))</f>
        <v>0</v>
      </c>
    </row>
    <row r="105" spans="1:81" x14ac:dyDescent="0.2">
      <c r="B105" t="s">
        <v>7712</v>
      </c>
      <c r="E105" t="s">
        <v>7688</v>
      </c>
      <c r="F105" t="s">
        <v>196</v>
      </c>
      <c r="G105" t="s">
        <v>7689</v>
      </c>
      <c r="H105" t="s">
        <v>7690</v>
      </c>
      <c r="I105" t="s">
        <v>7691</v>
      </c>
      <c r="J105" t="s">
        <v>589</v>
      </c>
      <c r="K105" t="s">
        <v>7692</v>
      </c>
      <c r="L105" t="s">
        <v>7693</v>
      </c>
      <c r="M105" t="s">
        <v>7694</v>
      </c>
      <c r="N105" t="s">
        <v>7695</v>
      </c>
      <c r="O105" t="s">
        <v>7696</v>
      </c>
      <c r="P105" t="s">
        <v>7697</v>
      </c>
      <c r="Q105" t="s">
        <v>39</v>
      </c>
      <c r="R105" t="s">
        <v>40</v>
      </c>
      <c r="S105" t="s">
        <v>41</v>
      </c>
      <c r="T105" t="s">
        <v>39</v>
      </c>
      <c r="U105" t="s">
        <v>40</v>
      </c>
      <c r="V105" t="s">
        <v>41</v>
      </c>
      <c r="W105" t="s">
        <v>7675</v>
      </c>
      <c r="X105" t="s">
        <v>7676</v>
      </c>
      <c r="Y105" t="s">
        <v>7677</v>
      </c>
      <c r="AR105" s="792">
        <v>109</v>
      </c>
      <c r="AS105" s="781">
        <f>IF(OR($C$12=$AR105,$D$12=$AR105),Schweine_Werte!$C105*0.5,IF(OR($C$12&gt;$AR105,$D$12&lt;$AR105),0,Schweine_Werte!$C105))</f>
        <v>0</v>
      </c>
      <c r="AT105" s="716">
        <f>IF(OR($C$24=$AR105,$D$24=$AR105),Schweine_Werte!$C105*0.5,IF(OR($C$24&gt;$AR105,$D$24&lt;$AR105),0,Schweine_Werte!$C105))</f>
        <v>0</v>
      </c>
      <c r="AU105" s="781">
        <f>IF(OR($C$36=$AR105,$D$36=$AR105),Schweine_Werte!$C105*0.5,IF(OR($C$36&gt;$AR105,$D$36&lt;$AR105),0,Schweine_Werte!$C105))</f>
        <v>0</v>
      </c>
      <c r="AV105" s="781">
        <f>IF(OR($C$48=$AR105,$D$48=$AR105),Schweine_Werte!$C105*0.5,IF(OR($C$48&gt;$AR105,$D$48&lt;$AR105),0,Schweine_Werte!$C105))</f>
        <v>0</v>
      </c>
      <c r="AW105" s="781">
        <f>IF(OR($C$60=$AR105,$D$60=$AR105),Schweine_Werte!$C105*0.5,IF(OR($C$60&gt;$AR105,$D$60&lt;$AR105),0,Schweine_Werte!$C105))</f>
        <v>0</v>
      </c>
      <c r="AX105" s="781">
        <f>IF(OR($C$12=$AR105,$D$12=$AR105),Schweine_Werte!$E105*0.5,IF(OR($C$12&gt;$AR105,$D$12&lt;$AR105),0,Schweine_Werte!$E105))</f>
        <v>0</v>
      </c>
      <c r="AY105" s="716">
        <f>IF(OR($C$24=$AR105,$D$24=$AR105),Schweine_Werte!$E105*0.5,IF(OR($C$24&gt;$AR105,$D$24&lt;$AR105),0,Schweine_Werte!$E105))</f>
        <v>0</v>
      </c>
      <c r="AZ105" s="716">
        <f>IF(OR($C$36=$AR105,$D$36=$AR105),Schweine_Werte!$E105*0.5,IF(OR($C$36&gt;$AR105,$D$36&lt;$AR105),0,Schweine_Werte!$E105))</f>
        <v>0</v>
      </c>
      <c r="BA105" s="716">
        <f>IF(OR($C$48=$AR105,$D$48=$AR105),Schweine_Werte!$E105*0.5,IF(OR($C$48&gt;$AR105,$D$48&lt;$AR105),0,Schweine_Werte!$E105))</f>
        <v>0</v>
      </c>
      <c r="BB105" s="716">
        <f>IF(OR($C$60=$AR105,$D$60=$AR105),Schweine_Werte!$E105*0.5,IF(OR($C$60&gt;$AR105,$D$60&lt;$AR105),0,Schweine_Werte!$E105))</f>
        <v>0</v>
      </c>
      <c r="BC105" s="781">
        <f>IF(OR($C$12=$AR105,$D$12=$AR105),Schweine_Werte!$G105*0.5,IF(OR($C$12&gt;$AR105,$D$12&lt;$AR105),0,Schweine_Werte!$G105))</f>
        <v>0</v>
      </c>
      <c r="BD105" s="716">
        <f>IF(OR($C$24=$AR105,$D$24=$AR105),Schweine_Werte!$G105*0.5,IF(OR($C$24&gt;$AR105,$D$24&lt;$AR105),0,Schweine_Werte!$G105))</f>
        <v>0</v>
      </c>
      <c r="BE105" s="716">
        <f>IF(OR($C$36=$AR105,$D$36=$AR105),Schweine_Werte!$G105*0.5,IF(OR($C$36&gt;$AR105,$D$36&lt;$AR105),0,Schweine_Werte!$G105))</f>
        <v>0</v>
      </c>
      <c r="BF105" s="716">
        <f>IF(OR($C$48=$AR105,$D$48=$AR105),Schweine_Werte!$G105*0.5,IF(OR($C$48&gt;$AR105,$D$48&lt;$AR105),0,Schweine_Werte!$G105))</f>
        <v>0</v>
      </c>
      <c r="BG105" s="716">
        <f>IF(OR($C$60=$AR105,$D$60=$AR105),Schweine_Werte!$G105*0.5,IF(OR($C$60&gt;$AR105,$D$60&lt;$AR105),0,Schweine_Werte!$G105))</f>
        <v>0</v>
      </c>
      <c r="BH105" s="781">
        <f>IF(OR($C$12=$AR105,$D$12=$AR105),Schweine_Werte!$I105*0.5,IF(OR($C$12&gt;$AR105,$D$12&lt;$AR105),0,Schweine_Werte!$I105))</f>
        <v>0</v>
      </c>
      <c r="BI105" s="716">
        <f>IF(OR($C$24=$AR105,$D$24=$AR105),Schweine_Werte!$I105*0.5,IF(OR($C$24&gt;$AR105,$D$24&lt;$AR105),0,Schweine_Werte!$I105))</f>
        <v>0</v>
      </c>
      <c r="BJ105" s="716">
        <f>IF(OR($C$36=$AR105,$D$36=$AR105),Schweine_Werte!$I105*0.5,IF(OR($C$36&gt;$AR105,$D$36&lt;$AR105),0,Schweine_Werte!$I105))</f>
        <v>0</v>
      </c>
      <c r="BK105" s="716">
        <f>IF(OR($C$48=$AR105,$D$48=$AR105),Schweine_Werte!$I105*0.5,IF(OR($C$48&gt;$AR105,$D$48&lt;$AR105),0,Schweine_Werte!$I105))</f>
        <v>0</v>
      </c>
      <c r="BL105" s="716">
        <f>IF(OR($C$60=$AR105,$D$60=$AR105),Schweine_Werte!$I105*0.5,IF(OR($C$60&gt;$AR105,$D$60&lt;$AR105),0,Schweine_Werte!$I105))</f>
        <v>0</v>
      </c>
      <c r="BM105" s="781"/>
      <c r="BN105" s="716"/>
      <c r="BO105" s="716"/>
      <c r="BP105" s="716"/>
      <c r="BQ105" s="716"/>
      <c r="BR105" s="781">
        <f>IF(OR($C$74=$AR105,$D$74=$AR105),Schweine_Werte!$M105*0.5,IF(OR($C$74&gt;$AR105,$D$74&lt;$AR105),0,Schweine_Werte!$M105))</f>
        <v>0</v>
      </c>
      <c r="BS105" s="781">
        <f>IF(OR($C$83=$AR105,$D$83=$AR105),Schweine_Werte!$M105*0.5,IF(OR($C$83&gt;$AR105,$D$83&lt;$AR105),0,Schweine_Werte!$M105))</f>
        <v>0</v>
      </c>
      <c r="BT105" s="783">
        <f>IF(OR($C$92=$AR105,$D$92=$AR105),Schweine_Werte!$M105*0.5,IF(OR($C$92&gt;$AR105,$D$92&lt;$AR105),0,Schweine_Werte!$M105))</f>
        <v>0</v>
      </c>
      <c r="BU105" s="783">
        <f>IF(OR($C$101=$AR105,$D$101=$AR105),Schweine_Werte!$M105*0.5,IF(OR($C$101&gt;$AR105,$D$101&lt;$AR105),0,Schweine_Werte!$M105))</f>
        <v>0</v>
      </c>
      <c r="BV105" s="783">
        <f>IF(OR($C$110=$AR105,$D$110=$AR105),Schweine_Werte!$M105*0.5,IF(OR($C$110&gt;$AR105,$D$110&lt;$AR105),0,Schweine_Werte!$M105))</f>
        <v>0</v>
      </c>
      <c r="BW105" s="783">
        <f>IF(OR(8=$AR105,$E$127=$AR105),Schweine_Werte!$M105*0.5,IF(OR(8&gt;$AR105,$E$127&lt;$AR105),0,Schweine_Werte!$M105))</f>
        <v>1.4122739315207109</v>
      </c>
      <c r="BX105" s="783">
        <f>IF(OR(8=$AR105,$E$145=$AR105),Schweine_Werte!$M105*0.5,IF(OR(8&gt;$AR105,$E$145&lt;$AR105),0,Schweine_Werte!$M105))</f>
        <v>1.4122739315207109</v>
      </c>
      <c r="BY105" s="781">
        <f>IF(OR($C$74=$AR105,$D$74=$AR105),Schweine_Werte!$O105*0.5,IF(OR($C$74&gt;$AR105,$D$74&lt;$AR105),0,Schweine_Werte!$O105))</f>
        <v>0</v>
      </c>
      <c r="BZ105" s="781">
        <f>IF(OR($C$83=$AR105,$D$83=$AR105),Schweine_Werte!$O105*0.5,IF(OR($C$83&gt;$AR105,$D$83&lt;$AR105),0,Schweine_Werte!$O105))</f>
        <v>0</v>
      </c>
      <c r="CA105" s="783">
        <f>IF(OR($C$92=$AR105,$D$92=$AR105),Schweine_Werte!$O105*0.5,IF(OR($C$92&gt;$AR105,$D$92&lt;$AR105),0,Schweine_Werte!$O105))</f>
        <v>0</v>
      </c>
      <c r="CB105" s="783">
        <f>IF(OR($C$101=$AR105,$D$101=$AR105),Schweine_Werte!$O105*0.5,IF(OR($C$101&gt;$AR105,$D$101&lt;$AR105),0,Schweine_Werte!$O105))</f>
        <v>0</v>
      </c>
      <c r="CC105" s="783">
        <f>IF(OR($C$110=$AR105,$D$110=$AR105),Schweine_Werte!$O105*0.5,IF(OR($C$110&gt;$AR105,$D$110&lt;$AR105),0,Schweine_Werte!$O105))</f>
        <v>0</v>
      </c>
    </row>
    <row r="106" spans="1:81" x14ac:dyDescent="0.2">
      <c r="B106">
        <v>450</v>
      </c>
      <c r="D106" s="716"/>
      <c r="E106" t="e">
        <f>($D110-$C110)*1000/SUM($BV$4:$BV$31)</f>
        <v>#VALUE!</v>
      </c>
      <c r="F106" s="716" t="e">
        <f>SUMPRODUCT($BV$4:$BV$31,Schweine_Werte!$V$4:$V$31)/SUM($BV$4:$BV$31)</f>
        <v>#DIV/0!</v>
      </c>
      <c r="G106" s="716" t="e">
        <f>IF($B110=$A$8,SUMPRODUCT($BV$4:$BV$31,Schweine_Werte!HE$4:HE$31)/SUM($BV$4:$BV$31),IF($B110=$A$7,SUMPRODUCT($BV$4:$BV$31,Schweine_Werte!GQ$4:GQ$31)/SUM($BV$4:$BV$31),IF($B110=$A$6,SUMPRODUCT($BV$4:$BV$31,Schweine_Werte!GC$4:GC$31)/SUM($BV$4:$BV$31),SUMPRODUCT($BV$4:$BV$31,Schweine_Werte!FO$4:FO$31)/SUM($BV$4:$BV$31))))</f>
        <v>#DIV/0!</v>
      </c>
      <c r="H106" s="716" t="e">
        <f>IF($B110=$A$8,SUMPRODUCT($BV$4:$BV$31,Schweine_Werte!HF$4:HF$31)/SUM($BV$4:$BV$31),IF($B110=$A$7,SUMPRODUCT($BV$4:$BV$31,Schweine_Werte!GR$4:GR$31)/SUM($BV$4:$BV$31),IF($B110=$A$6,SUMPRODUCT($BV$4:$BV$31,Schweine_Werte!GD$4:GD$31)/SUM($BV$4:$BV$31),SUMPRODUCT($BV$4:$BV$31,Schweine_Werte!FP$4:FP$31)/SUM($BV$4:$BV$31))))</f>
        <v>#DIV/0!</v>
      </c>
      <c r="I106" s="716" t="e">
        <f>IF($B110=$A$8,SUMPRODUCT($BV$4:$BV$31,Schweine_Werte!HG$4:HG$31)/SUM($BV$4:$BV$31),IF($B110=$A$7,SUMPRODUCT($BV$4:$BV$31,Schweine_Werte!GS$4:GS$31)/SUM($BV$4:$BV$31),IF($B110=$A$6,SUMPRODUCT($BV$4:$BV$31,Schweine_Werte!GE$4:GE$31)/SUM($BV$4:$BV$31),SUMPRODUCT($BV$4:$BV$31,Schweine_Werte!FQ$4:FQ$31)/SUM($BV$4:$BV$31))))</f>
        <v>#DIV/0!</v>
      </c>
      <c r="J106" s="716" t="e">
        <f>SUMPRODUCT($BV$4:$BV$31,Schweine_Werte!$AD$4:$AD$31)/SUM($BV$4:$BV$31)</f>
        <v>#DIV/0!</v>
      </c>
      <c r="K106" s="716" t="e">
        <f>SUMPRODUCT($BV$4:$BV$31,Schweine_Werte!$AL$4:$AL$31)/SUM($BV$4:$BV$31)</f>
        <v>#DIV/0!</v>
      </c>
      <c r="L106" s="716" t="e">
        <f>T106*$F106*365/1000+$J106-$K106</f>
        <v>#DIV/0!</v>
      </c>
      <c r="M106" s="716" t="e">
        <f>U106*$F106*365/1000+$J106-$K106/2</f>
        <v>#DIV/0!</v>
      </c>
      <c r="N106" s="716" t="e">
        <f>V106*$F106*365/1000+$J106</f>
        <v>#DIV/0!</v>
      </c>
      <c r="O106" s="716">
        <f>IF($C110&lt;28,SUM($BV$4:$BV$23)+IF($D110&gt;28,$BV$24*0.5,$BV$24),0)</f>
        <v>0</v>
      </c>
      <c r="P106" s="716">
        <f>IF($D110&gt;28,SUM($BV$25:$BV$31)+IF($C110&lt;28,$BV$24*0.5,$BV$24),0)</f>
        <v>0</v>
      </c>
      <c r="Q106" s="716" t="e">
        <f t="shared" ref="Q106:S107" si="52">+T106*$F106</f>
        <v>#DIV/0!</v>
      </c>
      <c r="R106" s="716" t="e">
        <f t="shared" si="52"/>
        <v>#DIV/0!</v>
      </c>
      <c r="S106" s="716" t="e">
        <f t="shared" si="52"/>
        <v>#DIV/0!</v>
      </c>
      <c r="T106" s="716" t="e">
        <f>+($O106*Schweine_Werte!$HT$15+$P106*Schweine_Werte!$HU$15)/SUM($O106:$P106)</f>
        <v>#DIV/0!</v>
      </c>
      <c r="U106" s="716" t="e">
        <f>+($O106*Schweine_Werte!$HV$15+$P106*Schweine_Werte!$HW$15)/SUM($O106:$P106)</f>
        <v>#DIV/0!</v>
      </c>
      <c r="V106" s="716" t="e">
        <f>+($O106*Schweine_Werte!$HX$15+$P106*Schweine_Werte!$HY$15)/SUM($O106:$P106)</f>
        <v>#DIV/0!</v>
      </c>
      <c r="W106" s="771" t="e">
        <f>($J106*0.055+T106*0.365*0.86*$F106-$K106*0.018)/L106*100</f>
        <v>#DIV/0!</v>
      </c>
      <c r="X106" s="771" t="e">
        <f>($J106*0.055+U106*0.365*0.86*$F106-$K106*0.018/2)/M106*100</f>
        <v>#DIV/0!</v>
      </c>
      <c r="Y106" s="716" t="e">
        <f>($J106*0.055+V106*0.365*0.86*$F106)/N106*100</f>
        <v>#DIV/0!</v>
      </c>
      <c r="Z106" s="716"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16"/>
      <c r="AB106" s="716">
        <f>IF($B110=$A$8,SUMIF(Schweine_Werte!$AO$4:$AO$31,$C110,Schweine_Werte!$HI$4:$HI$31),IF($B110=$A$7,SUMIF(Schweine_Werte!$AO$4:$AO$31,$C110,Schweine_Werte!$GU$4:$GU$31),IF($B110=$A$6,SUMIF(Schweine_Werte!$AO$4:$AO$31,$C110,Schweine_Werte!$GG$4:$GG$31),SUMIF(Schweine_Werte!$AO$4:$AO$31,$C110,Schweine_Werte!$FS$4:$FS$31))))</f>
        <v>0</v>
      </c>
      <c r="AC106" s="716"/>
      <c r="AD106" s="716">
        <f>IF($B110=$A$8,SUMIF(Schweine_Werte!$AO$4:$AO$31,$D110,Schweine_Werte!$HI$4:$HI$31),IF($B110=$A$7,SUMIF(Schweine_Werte!$AO$4:$AO$31,$D110,Schweine_Werte!$GU$4:$GU$31),IF($B110=$A$6,SUMIF(Schweine_Werte!$AO$4:$AO$31,$D110,Schweine_Werte!$GG$4:$GG$31),SUMIF(Schweine_Werte!$AO$4:$AO$31,$D110,Schweine_Werte!$FS$4:$FS$31))))</f>
        <v>0</v>
      </c>
      <c r="AE106" s="716"/>
      <c r="AF106" s="716"/>
      <c r="AG106" s="716" t="e">
        <f>IF($B110=$A$8,SUMPRODUCT($BV$4:$BV$31,Schweine_Werte!$HH$4:$HH$31)/SUM($BV$4:$BV$31),IF($B110=$A$7,SUMPRODUCT($BV$4:$BV$31,Schweine_Werte!$GT$4:$GT$31)/SUM($BV$4:$BV$31),IF($B110=$A$6,SUMPRODUCT($BV$4:$BV$31,Schweine_Werte!$GF$4:$GF$31)/SUM($BV$4:$BV$31),SUMPRODUCT($BV$4:$BV$31,Schweine_Werte!$FR$4:$FR$31)/SUM($BV$4:$BV$31))))</f>
        <v>#DIV/0!</v>
      </c>
      <c r="AH106" s="716"/>
      <c r="AI106" s="716"/>
      <c r="AJ106" s="716"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16"/>
      <c r="AL106" s="716">
        <f>IF($B110=$A$8,SUMIF(Schweine_Werte!$AO$4:$AO$31,$C110,Schweine_Werte!$HJ$4:$HJ$31),IF($B110=$A$7,SUMIF(Schweine_Werte!$AO$4:$AO$31,$C110,Schweine_Werte!$GV$4:$GV$31),IF($B110=$A$6,SUMIF(Schweine_Werte!$AO$4:$AO$31,$C110,Schweine_Werte!$GH$4:$GH$31),SUMIF(Schweine_Werte!$AO$4:$AO$31,$C110,Schweine_Werte!$FT$4:$FT$31))))</f>
        <v>0</v>
      </c>
      <c r="AM106" s="716"/>
      <c r="AN106" s="716">
        <f>IF($B110=$A$8,SUMIF(Schweine_Werte!$AO$4:$AO$31,$D110,Schweine_Werte!$HJ$4:$HJ$31),IF($B110=$A$7,SUMIF(Schweine_Werte!$AO$4:$AO$31,$D110,Schweine_Werte!$GV$4:$GV$31),IF($B110=$A$6,SUMIF(Schweine_Werte!$AO$4:$AO$31,$D110,Schweine_Werte!$GH$4:$GH$31),SUMIF(Schweine_Werte!$AO$4:$AO$31,$D110,Schweine_Werte!$FT$4:$FT$31))))</f>
        <v>0</v>
      </c>
      <c r="AR106" s="792">
        <v>110</v>
      </c>
      <c r="AS106" s="781">
        <f>IF(OR($C$12=$AR106,$D$12=$AR106),Schweine_Werte!$C106*0.5,IF(OR($C$12&gt;$AR106,$D$12&lt;$AR106),0,Schweine_Werte!$C106))</f>
        <v>0</v>
      </c>
      <c r="AT106" s="716">
        <f>IF(OR($C$24=$AR106,$D$24=$AR106),Schweine_Werte!$C106*0.5,IF(OR($C$24&gt;$AR106,$D$24&lt;$AR106),0,Schweine_Werte!$C106))</f>
        <v>0</v>
      </c>
      <c r="AU106" s="781">
        <f>IF(OR($C$36=$AR106,$D$36=$AR106),Schweine_Werte!$C106*0.5,IF(OR($C$36&gt;$AR106,$D$36&lt;$AR106),0,Schweine_Werte!$C106))</f>
        <v>0</v>
      </c>
      <c r="AV106" s="781">
        <f>IF(OR($C$48=$AR106,$D$48=$AR106),Schweine_Werte!$C106*0.5,IF(OR($C$48&gt;$AR106,$D$48&lt;$AR106),0,Schweine_Werte!$C106))</f>
        <v>0</v>
      </c>
      <c r="AW106" s="781">
        <f>IF(OR($C$60=$AR106,$D$60=$AR106),Schweine_Werte!$C106*0.5,IF(OR($C$60&gt;$AR106,$D$60&lt;$AR106),0,Schweine_Werte!$C106))</f>
        <v>0</v>
      </c>
      <c r="AX106" s="781">
        <f>IF(OR($C$12=$AR106,$D$12=$AR106),Schweine_Werte!$E106*0.5,IF(OR($C$12&gt;$AR106,$D$12&lt;$AR106),0,Schweine_Werte!$E106))</f>
        <v>0</v>
      </c>
      <c r="AY106" s="716">
        <f>IF(OR($C$24=$AR106,$D$24=$AR106),Schweine_Werte!$E106*0.5,IF(OR($C$24&gt;$AR106,$D$24&lt;$AR106),0,Schweine_Werte!$E106))</f>
        <v>0</v>
      </c>
      <c r="AZ106" s="716">
        <f>IF(OR($C$36=$AR106,$D$36=$AR106),Schweine_Werte!$E106*0.5,IF(OR($C$36&gt;$AR106,$D$36&lt;$AR106),0,Schweine_Werte!$E106))</f>
        <v>0</v>
      </c>
      <c r="BA106" s="716">
        <f>IF(OR($C$48=$AR106,$D$48=$AR106),Schweine_Werte!$E106*0.5,IF(OR($C$48&gt;$AR106,$D$48&lt;$AR106),0,Schweine_Werte!$E106))</f>
        <v>0</v>
      </c>
      <c r="BB106" s="716">
        <f>IF(OR($C$60=$AR106,$D$60=$AR106),Schweine_Werte!$E106*0.5,IF(OR($C$60&gt;$AR106,$D$60&lt;$AR106),0,Schweine_Werte!$E106))</f>
        <v>0</v>
      </c>
      <c r="BC106" s="781">
        <f>IF(OR($C$12=$AR106,$D$12=$AR106),Schweine_Werte!$G106*0.5,IF(OR($C$12&gt;$AR106,$D$12&lt;$AR106),0,Schweine_Werte!$G106))</f>
        <v>0</v>
      </c>
      <c r="BD106" s="716">
        <f>IF(OR($C$24=$AR106,$D$24=$AR106),Schweine_Werte!$G106*0.5,IF(OR($C$24&gt;$AR106,$D$24&lt;$AR106),0,Schweine_Werte!$G106))</f>
        <v>0</v>
      </c>
      <c r="BE106" s="716">
        <f>IF(OR($C$36=$AR106,$D$36=$AR106),Schweine_Werte!$G106*0.5,IF(OR($C$36&gt;$AR106,$D$36&lt;$AR106),0,Schweine_Werte!$G106))</f>
        <v>0</v>
      </c>
      <c r="BF106" s="716">
        <f>IF(OR($C$48=$AR106,$D$48=$AR106),Schweine_Werte!$G106*0.5,IF(OR($C$48&gt;$AR106,$D$48&lt;$AR106),0,Schweine_Werte!$G106))</f>
        <v>0</v>
      </c>
      <c r="BG106" s="716">
        <f>IF(OR($C$60=$AR106,$D$60=$AR106),Schweine_Werte!$G106*0.5,IF(OR($C$60&gt;$AR106,$D$60&lt;$AR106),0,Schweine_Werte!$G106))</f>
        <v>0</v>
      </c>
      <c r="BH106" s="781">
        <f>IF(OR($C$12=$AR106,$D$12=$AR106),Schweine_Werte!$I106*0.5,IF(OR($C$12&gt;$AR106,$D$12&lt;$AR106),0,Schweine_Werte!$I106))</f>
        <v>0</v>
      </c>
      <c r="BI106" s="716">
        <f>IF(OR($C$24=$AR106,$D$24=$AR106),Schweine_Werte!$I106*0.5,IF(OR($C$24&gt;$AR106,$D$24&lt;$AR106),0,Schweine_Werte!$I106))</f>
        <v>0</v>
      </c>
      <c r="BJ106" s="716">
        <f>IF(OR($C$36=$AR106,$D$36=$AR106),Schweine_Werte!$I106*0.5,IF(OR($C$36&gt;$AR106,$D$36&lt;$AR106),0,Schweine_Werte!$I106))</f>
        <v>0</v>
      </c>
      <c r="BK106" s="716">
        <f>IF(OR($C$48=$AR106,$D$48=$AR106),Schweine_Werte!$I106*0.5,IF(OR($C$48&gt;$AR106,$D$48&lt;$AR106),0,Schweine_Werte!$I106))</f>
        <v>0</v>
      </c>
      <c r="BL106" s="716">
        <f>IF(OR($C$60=$AR106,$D$60=$AR106),Schweine_Werte!$I106*0.5,IF(OR($C$60&gt;$AR106,$D$60&lt;$AR106),0,Schweine_Werte!$I106))</f>
        <v>0</v>
      </c>
      <c r="BM106" s="781"/>
      <c r="BN106" s="716"/>
      <c r="BO106" s="716"/>
      <c r="BP106" s="716"/>
      <c r="BQ106" s="716"/>
      <c r="BR106" s="781">
        <f>IF(OR($C$74=$AR106,$D$74=$AR106),Schweine_Werte!$M106*0.5,IF(OR($C$74&gt;$AR106,$D$74&lt;$AR106),0,Schweine_Werte!$M106))</f>
        <v>0</v>
      </c>
      <c r="BS106" s="781">
        <f>IF(OR($C$83=$AR106,$D$83=$AR106),Schweine_Werte!$M106*0.5,IF(OR($C$83&gt;$AR106,$D$83&lt;$AR106),0,Schweine_Werte!$M106))</f>
        <v>0</v>
      </c>
      <c r="BT106" s="783">
        <f>IF(OR($C$92=$AR106,$D$92=$AR106),Schweine_Werte!$M106*0.5,IF(OR($C$92&gt;$AR106,$D$92&lt;$AR106),0,Schweine_Werte!$M106))</f>
        <v>0</v>
      </c>
      <c r="BU106" s="783">
        <f>IF(OR($C$101=$AR106,$D$101=$AR106),Schweine_Werte!$M106*0.5,IF(OR($C$101&gt;$AR106,$D$101&lt;$AR106),0,Schweine_Werte!$M106))</f>
        <v>0</v>
      </c>
      <c r="BV106" s="783">
        <f>IF(OR($C$110=$AR106,$D$110=$AR106),Schweine_Werte!$M106*0.5,IF(OR($C$110&gt;$AR106,$D$110&lt;$AR106),0,Schweine_Werte!$M106))</f>
        <v>0</v>
      </c>
      <c r="BW106" s="783">
        <f>IF(OR(8=$AR106,$E$127=$AR106),Schweine_Werte!$M106*0.5,IF(OR(8&gt;$AR106,$E$127&lt;$AR106),0,Schweine_Werte!$M106))</f>
        <v>1.4343476543437557</v>
      </c>
      <c r="BX106" s="783">
        <f>IF(OR(8=$AR106,$E$145=$AR106),Schweine_Werte!$M106*0.5,IF(OR(8&gt;$AR106,$E$145&lt;$AR106),0,Schweine_Werte!$M106))</f>
        <v>1.4343476543437557</v>
      </c>
      <c r="BY106" s="781">
        <f>IF(OR($C$74=$AR106,$D$74=$AR106),Schweine_Werte!$O106*0.5,IF(OR($C$74&gt;$AR106,$D$74&lt;$AR106),0,Schweine_Werte!$O106))</f>
        <v>0</v>
      </c>
      <c r="BZ106" s="781">
        <f>IF(OR($C$83=$AR106,$D$83=$AR106),Schweine_Werte!$O106*0.5,IF(OR($C$83&gt;$AR106,$D$83&lt;$AR106),0,Schweine_Werte!$O106))</f>
        <v>0</v>
      </c>
      <c r="CA106" s="783">
        <f>IF(OR($C$92=$AR106,$D$92=$AR106),Schweine_Werte!$O106*0.5,IF(OR($C$92&gt;$AR106,$D$92&lt;$AR106),0,Schweine_Werte!$O106))</f>
        <v>0</v>
      </c>
      <c r="CB106" s="783">
        <f>IF(OR($C$101=$AR106,$D$101=$AR106),Schweine_Werte!$O106*0.5,IF(OR($C$101&gt;$AR106,$D$101&lt;$AR106),0,Schweine_Werte!$O106))</f>
        <v>0</v>
      </c>
      <c r="CC106" s="783">
        <f>IF(OR($C$110=$AR106,$D$110=$AR106),Schweine_Werte!$O106*0.5,IF(OR($C$110&gt;$AR106,$D$110&lt;$AR106),0,Schweine_Werte!$O106))</f>
        <v>0</v>
      </c>
    </row>
    <row r="107" spans="1:81" x14ac:dyDescent="0.2">
      <c r="B107">
        <v>500</v>
      </c>
      <c r="D107" s="716"/>
      <c r="E107" t="e">
        <f>($D110-$C110)*1000/SUM($CC$4:$CC$31)</f>
        <v>#VALUE!</v>
      </c>
      <c r="F107" s="716" t="e">
        <f>SUMPRODUCT($CC$4:$CC$31,Schweine_Werte!$W$4:$W$31)/SUM($CC$4:$CC$31)</f>
        <v>#DIV/0!</v>
      </c>
      <c r="G107" s="716" t="e">
        <f>IF($B110=$A$8,SUMPRODUCT($CC$4:$CC$31,Schweine_Werte!HK$4:HK$31)/SUM($CC$4:$CC$31),IF($B110=$A$7,SUMPRODUCT($CC$4:$CC$31,Schweine_Werte!GW$4:GW$31)/SUM($CC$4:$CC$31),IF($B110=$A$6,SUMPRODUCT($CC$4:$CC$31,Schweine_Werte!GI$4:GI$31)/SUM($CC$4:$CC$31),SUMPRODUCT($CC$4:$CC$31,Schweine_Werte!FU$4:FU$31)/SUM($CC$4:$CC$31))))</f>
        <v>#DIV/0!</v>
      </c>
      <c r="H107" s="716" t="e">
        <f>IF($B110=$A$8,SUMPRODUCT($CC$4:$CC$31,Schweine_Werte!HL$4:HL$31)/SUM($CC$4:$CC$31),IF($B110=$A$7,SUMPRODUCT($CC$4:$CC$31,Schweine_Werte!GX$4:GX$31)/SUM($CC$4:$CC$31),IF($B110=$A$6,SUMPRODUCT($CC$4:$CC$31,Schweine_Werte!GJ$4:GJ$31)/SUM($CC$4:$CC$31),SUMPRODUCT($CC$4:$CC$31,Schweine_Werte!FV$4:FV$31)/SUM($CC$4:$CC$31))))</f>
        <v>#DIV/0!</v>
      </c>
      <c r="I107" s="716" t="e">
        <f>IF($B110=$A$8,SUMPRODUCT($CC$4:$CC$31,Schweine_Werte!HM$4:HM$31)/SUM($CC$4:$CC$31),IF($B110=$A$7,SUMPRODUCT($CC$4:$CC$31,Schweine_Werte!GY$4:GY$31)/SUM($CC$4:$CC$31),IF($B110=$A$6,SUMPRODUCT($CC$4:$CC$31,Schweine_Werte!GK$4:GK$31)/SUM($CC$4:$CC$31),SUMPRODUCT($CC$4:$CC$31,Schweine_Werte!FW$4:FW$31)/SUM($CC$4:$CC$31))))</f>
        <v>#DIV/0!</v>
      </c>
      <c r="J107" s="716" t="e">
        <f>SUMPRODUCT($CC$4:$CC$31,Schweine_Werte!$AE$4:$AE$31)/SUM($CC$4:$CC$31)</f>
        <v>#DIV/0!</v>
      </c>
      <c r="K107" s="716" t="e">
        <f>SUMPRODUCT($CC$4:$CC$31,Schweine_Werte!$AM$4:$AM$31)/SUM($CC$4:$CC$31)</f>
        <v>#DIV/0!</v>
      </c>
      <c r="L107" s="716" t="e">
        <f>T107*$F107*365/1000+$J107-$K107</f>
        <v>#DIV/0!</v>
      </c>
      <c r="M107" s="716" t="e">
        <f>U107*$F107*365/1000+$J107-$K107/2</f>
        <v>#DIV/0!</v>
      </c>
      <c r="N107" s="716" t="e">
        <f>V107*$F107*365/1000+$J107</f>
        <v>#DIV/0!</v>
      </c>
      <c r="O107" s="716">
        <f>IF($C110&lt;28,SUM($CC$4:$CC$23)+IF($D110&gt;28,$CC$24*0.5,$CC$24),0)</f>
        <v>0</v>
      </c>
      <c r="P107" s="716">
        <f>IF($D110&gt;28,SUM($CC$25:$CC$31)+IF($C110&lt;28,$CC$24*0.5,$CC$24),0)</f>
        <v>0</v>
      </c>
      <c r="Q107" s="716" t="e">
        <f t="shared" si="52"/>
        <v>#DIV/0!</v>
      </c>
      <c r="R107" s="716" t="e">
        <f t="shared" si="52"/>
        <v>#DIV/0!</v>
      </c>
      <c r="S107" s="716" t="e">
        <f t="shared" si="52"/>
        <v>#DIV/0!</v>
      </c>
      <c r="T107" s="716" t="e">
        <f>+($O107*Schweine_Werte!$HT$16+$P107*Schweine_Werte!$HU$16)/SUM($O107:$P107)</f>
        <v>#DIV/0!</v>
      </c>
      <c r="U107" s="716" t="e">
        <f>+($O107*Schweine_Werte!$HV$16+$P107*Schweine_Werte!$HW$16)/SUM($O107:$P107)</f>
        <v>#DIV/0!</v>
      </c>
      <c r="V107" s="716" t="e">
        <f>+($O107*Schweine_Werte!$HX$16+$P107*Schweine_Werte!$HY$16)/SUM($O107:$P107)</f>
        <v>#DIV/0!</v>
      </c>
      <c r="W107" s="716" t="e">
        <f>($J107*0.055+T107*0.365*0.86*$F107-$K107*0.018)/L107*100</f>
        <v>#DIV/0!</v>
      </c>
      <c r="X107" s="716" t="e">
        <f>($J107*0.055+U107*0.365*0.86*$F107-$K107*0.018/2)/M107*100</f>
        <v>#DIV/0!</v>
      </c>
      <c r="Y107" s="716" t="e">
        <f>($J107*0.055+V107*0.365*0.86*$F107)/N107*100</f>
        <v>#DIV/0!</v>
      </c>
      <c r="Z107" s="716"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16"/>
      <c r="AB107" s="716">
        <f>IF($B110=$A$8,SUMIF(Schweine_Werte!$AO$4:$AO$31,$C110,Schweine_Werte!$HO$4:$HO$31),IF($B110=$A$7,SUMIF(Schweine_Werte!$AO$4:$AO$31,$C110,Schweine_Werte!$HA$4:$HA$31),IF($B110=$A$6,SUMIF(Schweine_Werte!$AO$4:$AO$31,$C110,Schweine_Werte!$GM$4:$GM$31),SUMIF(Schweine_Werte!$AO$4:$AO$31,$C110,Schweine_Werte!$FY$4:$FY$31))))</f>
        <v>0</v>
      </c>
      <c r="AC107" s="716"/>
      <c r="AD107" s="716">
        <f>IF($B110=$A$8,SUMIF(Schweine_Werte!$AO$4:$AO$31,$D110,Schweine_Werte!$HO$4:$HO$31),IF($B110=$A$7,SUMIF(Schweine_Werte!$AO$4:$AO$31,$D110,Schweine_Werte!$HA$4:$HA$31),IF($B110=$A$6,SUMIF(Schweine_Werte!$AO$4:$AO$31,$D110,Schweine_Werte!$GM$4:$GM$31),SUMIF(Schweine_Werte!$AO$4:$AO$31,$D110,Schweine_Werte!$FY$4:$FY$31))))</f>
        <v>0</v>
      </c>
      <c r="AE107" s="716"/>
      <c r="AF107" s="716"/>
      <c r="AG107" s="716" t="e">
        <f>IF($B110=$A$8,SUMPRODUCT($CC$4:$CC$31,Schweine_Werte!$HN$4:$HN$31)/SUM($CC$4:$CC$31),IF($B110=$A$7,SUMPRODUCT($CC$4:$CC$31,Schweine_Werte!$GZ$4:$GZ$31)/SUM($CC$4:$CC$31),IF($B110=$A$6,SUMPRODUCT($CC$4:$CC$31,Schweine_Werte!$GL$4:$GL$31)/SUM($CC$4:$CC$31),SUMPRODUCT($CC$4:$CC$31,Schweine_Werte!$FX$4:$FX$31)/SUM($CC$4:$CC$31))))</f>
        <v>#DIV/0!</v>
      </c>
      <c r="AH107" s="716"/>
      <c r="AI107" s="716"/>
      <c r="AJ107" s="716"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16"/>
      <c r="AL107" s="716">
        <f>IF($B110=$A$8,SUMIF(Schweine_Werte!$AO$4:$AO$31,$C110,Schweine_Werte!$HP$4:$HP$31),IF($B110=$A$7,SUMIF(Schweine_Werte!$AO$4:$AO$31,$C110,Schweine_Werte!$HB$4:$HB$31),IF($B110=$A$6,SUMIF(Schweine_Werte!$AO$4:$AO$31,$C110,Schweine_Werte!$GN$4:$GN$31),SUMIF(Schweine_Werte!$AO$4:$AO$31,$C110,Schweine_Werte!$FZ$4:$FZ$31))))</f>
        <v>0</v>
      </c>
      <c r="AM107" s="716"/>
      <c r="AN107" s="716">
        <f>IF($B110=$A$8,SUMIF(Schweine_Werte!$AO$4:$AO$31,$D110,Schweine_Werte!$HP$4:$HP$31),IF($B110=$A$7,SUMIF(Schweine_Werte!$AO$4:$AO$31,$D110,Schweine_Werte!$HB$4:$HB$31),IF($B110=$A$6,SUMIF(Schweine_Werte!$AO$4:$AO$31,$D110,Schweine_Werte!$GN$4:$GN$31),SUMIF(Schweine_Werte!$AO$4:$AO$31,$D110,Schweine_Werte!$FZ$4:$FZ$31))))</f>
        <v>0</v>
      </c>
      <c r="AR107" s="792">
        <v>111</v>
      </c>
      <c r="AS107" s="781">
        <f>IF(OR($C$12=$AR107,$D$12=$AR107),Schweine_Werte!$C107*0.5,IF(OR($C$12&gt;$AR107,$D$12&lt;$AR107),0,Schweine_Werte!$C107))</f>
        <v>0</v>
      </c>
      <c r="AT107" s="716">
        <f>IF(OR($C$24=$AR107,$D$24=$AR107),Schweine_Werte!$C107*0.5,IF(OR($C$24&gt;$AR107,$D$24&lt;$AR107),0,Schweine_Werte!$C107))</f>
        <v>0</v>
      </c>
      <c r="AU107" s="781">
        <f>IF(OR($C$36=$AR107,$D$36=$AR107),Schweine_Werte!$C107*0.5,IF(OR($C$36&gt;$AR107,$D$36&lt;$AR107),0,Schweine_Werte!$C107))</f>
        <v>0</v>
      </c>
      <c r="AV107" s="781">
        <f>IF(OR($C$48=$AR107,$D$48=$AR107),Schweine_Werte!$C107*0.5,IF(OR($C$48&gt;$AR107,$D$48&lt;$AR107),0,Schweine_Werte!$C107))</f>
        <v>0</v>
      </c>
      <c r="AW107" s="781">
        <f>IF(OR($C$60=$AR107,$D$60=$AR107),Schweine_Werte!$C107*0.5,IF(OR($C$60&gt;$AR107,$D$60&lt;$AR107),0,Schweine_Werte!$C107))</f>
        <v>0</v>
      </c>
      <c r="AX107" s="781">
        <f>IF(OR($C$12=$AR107,$D$12=$AR107),Schweine_Werte!$E107*0.5,IF(OR($C$12&gt;$AR107,$D$12&lt;$AR107),0,Schweine_Werte!$E107))</f>
        <v>0</v>
      </c>
      <c r="AY107" s="716">
        <f>IF(OR($C$24=$AR107,$D$24=$AR107),Schweine_Werte!$E107*0.5,IF(OR($C$24&gt;$AR107,$D$24&lt;$AR107),0,Schweine_Werte!$E107))</f>
        <v>0</v>
      </c>
      <c r="AZ107" s="716">
        <f>IF(OR($C$36=$AR107,$D$36=$AR107),Schweine_Werte!$E107*0.5,IF(OR($C$36&gt;$AR107,$D$36&lt;$AR107),0,Schweine_Werte!$E107))</f>
        <v>0</v>
      </c>
      <c r="BA107" s="716">
        <f>IF(OR($C$48=$AR107,$D$48=$AR107),Schweine_Werte!$E107*0.5,IF(OR($C$48&gt;$AR107,$D$48&lt;$AR107),0,Schweine_Werte!$E107))</f>
        <v>0</v>
      </c>
      <c r="BB107" s="716">
        <f>IF(OR($C$60=$AR107,$D$60=$AR107),Schweine_Werte!$E107*0.5,IF(OR($C$60&gt;$AR107,$D$60&lt;$AR107),0,Schweine_Werte!$E107))</f>
        <v>0</v>
      </c>
      <c r="BC107" s="781">
        <f>IF(OR($C$12=$AR107,$D$12=$AR107),Schweine_Werte!$G107*0.5,IF(OR($C$12&gt;$AR107,$D$12&lt;$AR107),0,Schweine_Werte!$G107))</f>
        <v>0</v>
      </c>
      <c r="BD107" s="716">
        <f>IF(OR($C$24=$AR107,$D$24=$AR107),Schweine_Werte!$G107*0.5,IF(OR($C$24&gt;$AR107,$D$24&lt;$AR107),0,Schweine_Werte!$G107))</f>
        <v>0</v>
      </c>
      <c r="BE107" s="716">
        <f>IF(OR($C$36=$AR107,$D$36=$AR107),Schweine_Werte!$G107*0.5,IF(OR($C$36&gt;$AR107,$D$36&lt;$AR107),0,Schweine_Werte!$G107))</f>
        <v>0</v>
      </c>
      <c r="BF107" s="716">
        <f>IF(OR($C$48=$AR107,$D$48=$AR107),Schweine_Werte!$G107*0.5,IF(OR($C$48&gt;$AR107,$D$48&lt;$AR107),0,Schweine_Werte!$G107))</f>
        <v>0</v>
      </c>
      <c r="BG107" s="716">
        <f>IF(OR($C$60=$AR107,$D$60=$AR107),Schweine_Werte!$G107*0.5,IF(OR($C$60&gt;$AR107,$D$60&lt;$AR107),0,Schweine_Werte!$G107))</f>
        <v>0</v>
      </c>
      <c r="BH107" s="781">
        <f>IF(OR($C$12=$AR107,$D$12=$AR107),Schweine_Werte!$I107*0.5,IF(OR($C$12&gt;$AR107,$D$12&lt;$AR107),0,Schweine_Werte!$I107))</f>
        <v>0</v>
      </c>
      <c r="BI107" s="716">
        <f>IF(OR($C$24=$AR107,$D$24=$AR107),Schweine_Werte!$I107*0.5,IF(OR($C$24&gt;$AR107,$D$24&lt;$AR107),0,Schweine_Werte!$I107))</f>
        <v>0</v>
      </c>
      <c r="BJ107" s="716">
        <f>IF(OR($C$36=$AR107,$D$36=$AR107),Schweine_Werte!$I107*0.5,IF(OR($C$36&gt;$AR107,$D$36&lt;$AR107),0,Schweine_Werte!$I107))</f>
        <v>0</v>
      </c>
      <c r="BK107" s="716">
        <f>IF(OR($C$48=$AR107,$D$48=$AR107),Schweine_Werte!$I107*0.5,IF(OR($C$48&gt;$AR107,$D$48&lt;$AR107),0,Schweine_Werte!$I107))</f>
        <v>0</v>
      </c>
      <c r="BL107" s="716">
        <f>IF(OR($C$60=$AR107,$D$60=$AR107),Schweine_Werte!$I107*0.5,IF(OR($C$60&gt;$AR107,$D$60&lt;$AR107),0,Schweine_Werte!$I107))</f>
        <v>0</v>
      </c>
      <c r="BM107" s="781"/>
      <c r="BN107" s="716"/>
      <c r="BO107" s="716"/>
      <c r="BP107" s="716"/>
      <c r="BQ107" s="716"/>
      <c r="BR107" s="781">
        <f>IF(OR($C$74=$AR107,$D$74=$AR107),Schweine_Werte!$M107*0.5,IF(OR($C$74&gt;$AR107,$D$74&lt;$AR107),0,Schweine_Werte!$M107))</f>
        <v>0</v>
      </c>
      <c r="BS107" s="781">
        <f>IF(OR($C$83=$AR107,$D$83=$AR107),Schweine_Werte!$M107*0.5,IF(OR($C$83&gt;$AR107,$D$83&lt;$AR107),0,Schweine_Werte!$M107))</f>
        <v>0</v>
      </c>
      <c r="BT107" s="783">
        <f>IF(OR($C$92=$AR107,$D$92=$AR107),Schweine_Werte!$M107*0.5,IF(OR($C$92&gt;$AR107,$D$92&lt;$AR107),0,Schweine_Werte!$M107))</f>
        <v>0</v>
      </c>
      <c r="BU107" s="783">
        <f>IF(OR($C$101=$AR107,$D$101=$AR107),Schweine_Werte!$M107*0.5,IF(OR($C$101&gt;$AR107,$D$101&lt;$AR107),0,Schweine_Werte!$M107))</f>
        <v>0</v>
      </c>
      <c r="BV107" s="783">
        <f>IF(OR($C$110=$AR107,$D$110=$AR107),Schweine_Werte!$M107*0.5,IF(OR($C$110&gt;$AR107,$D$110&lt;$AR107),0,Schweine_Werte!$M107))</f>
        <v>0</v>
      </c>
      <c r="BW107" s="783">
        <f>IF(OR(8=$AR107,$E$127=$AR107),Schweine_Werte!$M107*0.5,IF(OR(8&gt;$AR107,$E$127&lt;$AR107),0,Schweine_Werte!$M107))</f>
        <v>1.4477278921508818</v>
      </c>
      <c r="BX107" s="783">
        <f>IF(OR(8=$AR107,$E$145=$AR107),Schweine_Werte!$M107*0.5,IF(OR(8&gt;$AR107,$E$145&lt;$AR107),0,Schweine_Werte!$M107))</f>
        <v>1.4477278921508818</v>
      </c>
      <c r="BY107" s="781">
        <f>IF(OR($C$74=$AR107,$D$74=$AR107),Schweine_Werte!$O107*0.5,IF(OR($C$74&gt;$AR107,$D$74&lt;$AR107),0,Schweine_Werte!$O107))</f>
        <v>0</v>
      </c>
      <c r="BZ107" s="781">
        <f>IF(OR($C$83=$AR107,$D$83=$AR107),Schweine_Werte!$O107*0.5,IF(OR($C$83&gt;$AR107,$D$83&lt;$AR107),0,Schweine_Werte!$O107))</f>
        <v>0</v>
      </c>
      <c r="CA107" s="783">
        <f>IF(OR($C$92=$AR107,$D$92=$AR107),Schweine_Werte!$O107*0.5,IF(OR($C$92&gt;$AR107,$D$92&lt;$AR107),0,Schweine_Werte!$O107))</f>
        <v>0</v>
      </c>
      <c r="CB107" s="783">
        <f>IF(OR($C$101=$AR107,$D$101=$AR107),Schweine_Werte!$O107*0.5,IF(OR($C$101&gt;$AR107,$D$101&lt;$AR107),0,Schweine_Werte!$O107))</f>
        <v>0</v>
      </c>
      <c r="CC107" s="783">
        <f>IF(OR($C$110=$AR107,$D$110=$AR107),Schweine_Werte!$O107*0.5,IF(OR($C$110&gt;$AR107,$D$110&lt;$AR107),0,Schweine_Werte!$O107))</f>
        <v>0</v>
      </c>
    </row>
    <row r="108" spans="1:81" ht="15.75" x14ac:dyDescent="0.25">
      <c r="F108" s="352"/>
      <c r="G108" s="1588" t="s">
        <v>7701</v>
      </c>
      <c r="H108" s="1589"/>
      <c r="I108" s="1590"/>
      <c r="J108" s="973" t="s">
        <v>589</v>
      </c>
      <c r="K108" s="973" t="s">
        <v>224</v>
      </c>
      <c r="L108" s="1591" t="s">
        <v>7702</v>
      </c>
      <c r="M108" s="1592"/>
      <c r="N108" s="1593"/>
      <c r="O108" s="1591" t="s">
        <v>7703</v>
      </c>
      <c r="P108" s="1593"/>
      <c r="Q108" s="1591" t="s">
        <v>7758</v>
      </c>
      <c r="R108" s="1592"/>
      <c r="S108" s="1593"/>
      <c r="T108" s="1591" t="s">
        <v>7704</v>
      </c>
      <c r="U108" s="1592"/>
      <c r="V108" s="1593"/>
      <c r="W108" s="1591" t="s">
        <v>7785</v>
      </c>
      <c r="X108" s="1592"/>
      <c r="Y108" s="1593"/>
      <c r="Z108" s="1596" t="s">
        <v>7786</v>
      </c>
      <c r="AA108" s="1597"/>
      <c r="AB108" s="1596" t="s">
        <v>7787</v>
      </c>
      <c r="AC108" s="1597"/>
      <c r="AD108" s="1596" t="s">
        <v>7788</v>
      </c>
      <c r="AE108" s="1597"/>
      <c r="AF108" s="974" t="s">
        <v>7888</v>
      </c>
      <c r="AG108" s="1598" t="s">
        <v>7791</v>
      </c>
      <c r="AH108" s="1599"/>
      <c r="AI108" s="1081" t="s">
        <v>7889</v>
      </c>
      <c r="AJ108" s="1596" t="s">
        <v>7786</v>
      </c>
      <c r="AK108" s="1597"/>
      <c r="AL108" s="1596" t="s">
        <v>7787</v>
      </c>
      <c r="AM108" s="1597"/>
      <c r="AN108" s="1596" t="s">
        <v>7788</v>
      </c>
      <c r="AO108" s="1597"/>
      <c r="AR108" s="792">
        <v>112</v>
      </c>
      <c r="AS108" s="781">
        <f>IF(OR($C$12=$AR108,$D$12=$AR108),Schweine_Werte!$C108*0.5,IF(OR($C$12&gt;$AR108,$D$12&lt;$AR108),0,Schweine_Werte!$C108))</f>
        <v>0</v>
      </c>
      <c r="AT108" s="716">
        <f>IF(OR($C$24=$AR108,$D$24=$AR108),Schweine_Werte!$C108*0.5,IF(OR($C$24&gt;$AR108,$D$24&lt;$AR108),0,Schweine_Werte!$C108))</f>
        <v>0</v>
      </c>
      <c r="AU108" s="781">
        <f>IF(OR($C$36=$AR108,$D$36=$AR108),Schweine_Werte!$C108*0.5,IF(OR($C$36&gt;$AR108,$D$36&lt;$AR108),0,Schweine_Werte!$C108))</f>
        <v>0</v>
      </c>
      <c r="AV108" s="781">
        <f>IF(OR($C$48=$AR108,$D$48=$AR108),Schweine_Werte!$C108*0.5,IF(OR($C$48&gt;$AR108,$D$48&lt;$AR108),0,Schweine_Werte!$C108))</f>
        <v>0</v>
      </c>
      <c r="AW108" s="781">
        <f>IF(OR($C$60=$AR108,$D$60=$AR108),Schweine_Werte!$C108*0.5,IF(OR($C$60&gt;$AR108,$D$60&lt;$AR108),0,Schweine_Werte!$C108))</f>
        <v>0</v>
      </c>
      <c r="AX108" s="781">
        <f>IF(OR($C$12=$AR108,$D$12=$AR108),Schweine_Werte!$E108*0.5,IF(OR($C$12&gt;$AR108,$D$12&lt;$AR108),0,Schweine_Werte!$E108))</f>
        <v>0</v>
      </c>
      <c r="AY108" s="716">
        <f>IF(OR($C$24=$AR108,$D$24=$AR108),Schweine_Werte!$E108*0.5,IF(OR($C$24&gt;$AR108,$D$24&lt;$AR108),0,Schweine_Werte!$E108))</f>
        <v>0</v>
      </c>
      <c r="AZ108" s="716">
        <f>IF(OR($C$36=$AR108,$D$36=$AR108),Schweine_Werte!$E108*0.5,IF(OR($C$36&gt;$AR108,$D$36&lt;$AR108),0,Schweine_Werte!$E108))</f>
        <v>0</v>
      </c>
      <c r="BA108" s="716">
        <f>IF(OR($C$48=$AR108,$D$48=$AR108),Schweine_Werte!$E108*0.5,IF(OR($C$48&gt;$AR108,$D$48&lt;$AR108),0,Schweine_Werte!$E108))</f>
        <v>0</v>
      </c>
      <c r="BB108" s="716">
        <f>IF(OR($C$60=$AR108,$D$60=$AR108),Schweine_Werte!$E108*0.5,IF(OR($C$60&gt;$AR108,$D$60&lt;$AR108),0,Schweine_Werte!$E108))</f>
        <v>0</v>
      </c>
      <c r="BC108" s="781">
        <f>IF(OR($C$12=$AR108,$D$12=$AR108),Schweine_Werte!$G108*0.5,IF(OR($C$12&gt;$AR108,$D$12&lt;$AR108),0,Schweine_Werte!$G108))</f>
        <v>0</v>
      </c>
      <c r="BD108" s="716">
        <f>IF(OR($C$24=$AR108,$D$24=$AR108),Schweine_Werte!$G108*0.5,IF(OR($C$24&gt;$AR108,$D$24&lt;$AR108),0,Schweine_Werte!$G108))</f>
        <v>0</v>
      </c>
      <c r="BE108" s="716">
        <f>IF(OR($C$36=$AR108,$D$36=$AR108),Schweine_Werte!$G108*0.5,IF(OR($C$36&gt;$AR108,$D$36&lt;$AR108),0,Schweine_Werte!$G108))</f>
        <v>0</v>
      </c>
      <c r="BF108" s="716">
        <f>IF(OR($C$48=$AR108,$D$48=$AR108),Schweine_Werte!$G108*0.5,IF(OR($C$48&gt;$AR108,$D$48&lt;$AR108),0,Schweine_Werte!$G108))</f>
        <v>0</v>
      </c>
      <c r="BG108" s="716">
        <f>IF(OR($C$60=$AR108,$D$60=$AR108),Schweine_Werte!$G108*0.5,IF(OR($C$60&gt;$AR108,$D$60&lt;$AR108),0,Schweine_Werte!$G108))</f>
        <v>0</v>
      </c>
      <c r="BH108" s="781">
        <f>IF(OR($C$12=$AR108,$D$12=$AR108),Schweine_Werte!$I108*0.5,IF(OR($C$12&gt;$AR108,$D$12&lt;$AR108),0,Schweine_Werte!$I108))</f>
        <v>0</v>
      </c>
      <c r="BI108" s="716">
        <f>IF(OR($C$24=$AR108,$D$24=$AR108),Schweine_Werte!$I108*0.5,IF(OR($C$24&gt;$AR108,$D$24&lt;$AR108),0,Schweine_Werte!$I108))</f>
        <v>0</v>
      </c>
      <c r="BJ108" s="716">
        <f>IF(OR($C$36=$AR108,$D$36=$AR108),Schweine_Werte!$I108*0.5,IF(OR($C$36&gt;$AR108,$D$36&lt;$AR108),0,Schweine_Werte!$I108))</f>
        <v>0</v>
      </c>
      <c r="BK108" s="716">
        <f>IF(OR($C$48=$AR108,$D$48=$AR108),Schweine_Werte!$I108*0.5,IF(OR($C$48&gt;$AR108,$D$48&lt;$AR108),0,Schweine_Werte!$I108))</f>
        <v>0</v>
      </c>
      <c r="BL108" s="716">
        <f>IF(OR($C$60=$AR108,$D$60=$AR108),Schweine_Werte!$I108*0.5,IF(OR($C$60&gt;$AR108,$D$60&lt;$AR108),0,Schweine_Werte!$I108))</f>
        <v>0</v>
      </c>
      <c r="BM108" s="781"/>
      <c r="BN108" s="716"/>
      <c r="BO108" s="716"/>
      <c r="BP108" s="716"/>
      <c r="BQ108" s="716"/>
      <c r="BR108" s="781">
        <f>IF(OR($C$74=$AR108,$D$74=$AR108),Schweine_Werte!$M108*0.5,IF(OR($C$74&gt;$AR108,$D$74&lt;$AR108),0,Schweine_Werte!$M108))</f>
        <v>0</v>
      </c>
      <c r="BS108" s="781">
        <f>IF(OR($C$83=$AR108,$D$83=$AR108),Schweine_Werte!$M108*0.5,IF(OR($C$83&gt;$AR108,$D$83&lt;$AR108),0,Schweine_Werte!$M108))</f>
        <v>0</v>
      </c>
      <c r="BT108" s="783">
        <f>IF(OR($C$92=$AR108,$D$92=$AR108),Schweine_Werte!$M108*0.5,IF(OR($C$92&gt;$AR108,$D$92&lt;$AR108),0,Schweine_Werte!$M108))</f>
        <v>0</v>
      </c>
      <c r="BU108" s="783">
        <f>IF(OR($C$101=$AR108,$D$101=$AR108),Schweine_Werte!$M108*0.5,IF(OR($C$101&gt;$AR108,$D$101&lt;$AR108),0,Schweine_Werte!$M108))</f>
        <v>0</v>
      </c>
      <c r="BV108" s="783">
        <f>IF(OR($C$110=$AR108,$D$110=$AR108),Schweine_Werte!$M108*0.5,IF(OR($C$110&gt;$AR108,$D$110&lt;$AR108),0,Schweine_Werte!$M108))</f>
        <v>0</v>
      </c>
      <c r="BW108" s="783">
        <f>IF(OR(8=$AR108,$E$127=$AR108),Schweine_Werte!$M108*0.5,IF(OR(8&gt;$AR108,$E$127&lt;$AR108),0,Schweine_Werte!$M108))</f>
        <v>1.4477278921508818</v>
      </c>
      <c r="BX108" s="783">
        <f>IF(OR(8=$AR108,$E$145=$AR108),Schweine_Werte!$M108*0.5,IF(OR(8&gt;$AR108,$E$145&lt;$AR108),0,Schweine_Werte!$M108))</f>
        <v>1.4477278921508818</v>
      </c>
      <c r="BY108" s="781">
        <f>IF(OR($C$74=$AR108,$D$74=$AR108),Schweine_Werte!$O108*0.5,IF(OR($C$74&gt;$AR108,$D$74&lt;$AR108),0,Schweine_Werte!$O108))</f>
        <v>0</v>
      </c>
      <c r="BZ108" s="781">
        <f>IF(OR($C$83=$AR108,$D$83=$AR108),Schweine_Werte!$O108*0.5,IF(OR($C$83&gt;$AR108,$D$83&lt;$AR108),0,Schweine_Werte!$O108))</f>
        <v>0</v>
      </c>
      <c r="CA108" s="783">
        <f>IF(OR($C$92=$AR108,$D$92=$AR108),Schweine_Werte!$O108*0.5,IF(OR($C$92&gt;$AR108,$D$92&lt;$AR108),0,Schweine_Werte!$O108))</f>
        <v>0</v>
      </c>
      <c r="CB108" s="783">
        <f>IF(OR($C$101=$AR108,$D$101=$AR108),Schweine_Werte!$O108*0.5,IF(OR($C$101&gt;$AR108,$D$101&lt;$AR108),0,Schweine_Werte!$O108))</f>
        <v>0</v>
      </c>
      <c r="CC108" s="783">
        <f>IF(OR($C$110=$AR108,$D$110=$AR108),Schweine_Werte!$O108*0.5,IF(OR($C$110&gt;$AR108,$D$110&lt;$AR108),0,Schweine_Werte!$O108))</f>
        <v>0</v>
      </c>
    </row>
    <row r="109" spans="1:81" ht="18.75" x14ac:dyDescent="0.2">
      <c r="B109" s="786" t="s">
        <v>7705</v>
      </c>
      <c r="C109" s="787" t="s">
        <v>7645</v>
      </c>
      <c r="D109" s="787" t="s">
        <v>7706</v>
      </c>
      <c r="E109" s="787" t="s">
        <v>7647</v>
      </c>
      <c r="F109" s="733" t="s">
        <v>196</v>
      </c>
      <c r="G109" s="662" t="s">
        <v>4</v>
      </c>
      <c r="H109" s="662" t="s">
        <v>7707</v>
      </c>
      <c r="I109" s="662" t="s">
        <v>7708</v>
      </c>
      <c r="J109" s="663" t="s">
        <v>7709</v>
      </c>
      <c r="K109" s="663" t="s">
        <v>7709</v>
      </c>
      <c r="L109" s="664" t="s">
        <v>39</v>
      </c>
      <c r="M109" s="664" t="s">
        <v>7710</v>
      </c>
      <c r="N109" s="664" t="s">
        <v>41</v>
      </c>
      <c r="O109" s="665" t="s">
        <v>0</v>
      </c>
      <c r="P109" s="665" t="s">
        <v>8</v>
      </c>
      <c r="Q109" s="664" t="s">
        <v>39</v>
      </c>
      <c r="R109" s="664" t="s">
        <v>40</v>
      </c>
      <c r="S109" s="664" t="s">
        <v>41</v>
      </c>
      <c r="T109" s="664" t="s">
        <v>39</v>
      </c>
      <c r="U109" s="664" t="s">
        <v>40</v>
      </c>
      <c r="V109" s="664" t="s">
        <v>41</v>
      </c>
      <c r="W109" s="663" t="s">
        <v>7684</v>
      </c>
      <c r="X109" s="663" t="s">
        <v>7685</v>
      </c>
      <c r="Y109" s="663" t="s">
        <v>7686</v>
      </c>
      <c r="Z109" s="788" t="s">
        <v>7789</v>
      </c>
      <c r="AA109" s="788" t="s">
        <v>7790</v>
      </c>
      <c r="AB109" s="788" t="s">
        <v>7789</v>
      </c>
      <c r="AC109" s="788" t="s">
        <v>7790</v>
      </c>
      <c r="AD109" s="788" t="s">
        <v>7789</v>
      </c>
      <c r="AE109" s="788" t="s">
        <v>7790</v>
      </c>
      <c r="AF109" s="788" t="s">
        <v>7890</v>
      </c>
      <c r="AG109" s="983" t="s">
        <v>7891</v>
      </c>
      <c r="AH109" s="788" t="s">
        <v>7892</v>
      </c>
      <c r="AI109" s="788"/>
      <c r="AJ109" s="788" t="s">
        <v>7765</v>
      </c>
      <c r="AK109" s="788" t="s">
        <v>7792</v>
      </c>
      <c r="AL109" s="788" t="s">
        <v>7793</v>
      </c>
      <c r="AM109" s="788" t="s">
        <v>7794</v>
      </c>
      <c r="AN109" s="788" t="s">
        <v>7793</v>
      </c>
      <c r="AO109" s="788" t="s">
        <v>7795</v>
      </c>
      <c r="AR109" s="792">
        <v>113</v>
      </c>
      <c r="AS109" s="781">
        <f>IF(OR($C$12=$AR109,$D$12=$AR109),Schweine_Werte!$C109*0.5,IF(OR($C$12&gt;$AR109,$D$12&lt;$AR109),0,Schweine_Werte!$C109))</f>
        <v>0</v>
      </c>
      <c r="AT109" s="716">
        <f>IF(OR($C$24=$AR109,$D$24=$AR109),Schweine_Werte!$C109*0.5,IF(OR($C$24&gt;$AR109,$D$24&lt;$AR109),0,Schweine_Werte!$C109))</f>
        <v>0</v>
      </c>
      <c r="AU109" s="781">
        <f>IF(OR($C$36=$AR109,$D$36=$AR109),Schweine_Werte!$C109*0.5,IF(OR($C$36&gt;$AR109,$D$36&lt;$AR109),0,Schweine_Werte!$C109))</f>
        <v>0</v>
      </c>
      <c r="AV109" s="781">
        <f>IF(OR($C$48=$AR109,$D$48=$AR109),Schweine_Werte!$C109*0.5,IF(OR($C$48&gt;$AR109,$D$48&lt;$AR109),0,Schweine_Werte!$C109))</f>
        <v>0</v>
      </c>
      <c r="AW109" s="781">
        <f>IF(OR($C$60=$AR109,$D$60=$AR109),Schweine_Werte!$C109*0.5,IF(OR($C$60&gt;$AR109,$D$60&lt;$AR109),0,Schweine_Werte!$C109))</f>
        <v>0</v>
      </c>
      <c r="AX109" s="781">
        <f>IF(OR($C$12=$AR109,$D$12=$AR109),Schweine_Werte!$E109*0.5,IF(OR($C$12&gt;$AR109,$D$12&lt;$AR109),0,Schweine_Werte!$E109))</f>
        <v>0</v>
      </c>
      <c r="AY109" s="716">
        <f>IF(OR($C$24=$AR109,$D$24=$AR109),Schweine_Werte!$E109*0.5,IF(OR($C$24&gt;$AR109,$D$24&lt;$AR109),0,Schweine_Werte!$E109))</f>
        <v>0</v>
      </c>
      <c r="AZ109" s="716">
        <f>IF(OR($C$36=$AR109,$D$36=$AR109),Schweine_Werte!$E109*0.5,IF(OR($C$36&gt;$AR109,$D$36&lt;$AR109),0,Schweine_Werte!$E109))</f>
        <v>0</v>
      </c>
      <c r="BA109" s="716">
        <f>IF(OR($C$48=$AR109,$D$48=$AR109),Schweine_Werte!$E109*0.5,IF(OR($C$48&gt;$AR109,$D$48&lt;$AR109),0,Schweine_Werte!$E109))</f>
        <v>0</v>
      </c>
      <c r="BB109" s="716">
        <f>IF(OR($C$60=$AR109,$D$60=$AR109),Schweine_Werte!$E109*0.5,IF(OR($C$60&gt;$AR109,$D$60&lt;$AR109),0,Schweine_Werte!$E109))</f>
        <v>0</v>
      </c>
      <c r="BC109" s="781">
        <f>IF(OR($C$12=$AR109,$D$12=$AR109),Schweine_Werte!$G109*0.5,IF(OR($C$12&gt;$AR109,$D$12&lt;$AR109),0,Schweine_Werte!$G109))</f>
        <v>0</v>
      </c>
      <c r="BD109" s="716">
        <f>IF(OR($C$24=$AR109,$D$24=$AR109),Schweine_Werte!$G109*0.5,IF(OR($C$24&gt;$AR109,$D$24&lt;$AR109),0,Schweine_Werte!$G109))</f>
        <v>0</v>
      </c>
      <c r="BE109" s="716">
        <f>IF(OR($C$36=$AR109,$D$36=$AR109),Schweine_Werte!$G109*0.5,IF(OR($C$36&gt;$AR109,$D$36&lt;$AR109),0,Schweine_Werte!$G109))</f>
        <v>0</v>
      </c>
      <c r="BF109" s="716">
        <f>IF(OR($C$48=$AR109,$D$48=$AR109),Schweine_Werte!$G109*0.5,IF(OR($C$48&gt;$AR109,$D$48&lt;$AR109),0,Schweine_Werte!$G109))</f>
        <v>0</v>
      </c>
      <c r="BG109" s="716">
        <f>IF(OR($C$60=$AR109,$D$60=$AR109),Schweine_Werte!$G109*0.5,IF(OR($C$60&gt;$AR109,$D$60&lt;$AR109),0,Schweine_Werte!$G109))</f>
        <v>0</v>
      </c>
      <c r="BH109" s="781">
        <f>IF(OR($C$12=$AR109,$D$12=$AR109),Schweine_Werte!$I109*0.5,IF(OR($C$12&gt;$AR109,$D$12&lt;$AR109),0,Schweine_Werte!$I109))</f>
        <v>0</v>
      </c>
      <c r="BI109" s="716">
        <f>IF(OR($C$24=$AR109,$D$24=$AR109),Schweine_Werte!$I109*0.5,IF(OR($C$24&gt;$AR109,$D$24&lt;$AR109),0,Schweine_Werte!$I109))</f>
        <v>0</v>
      </c>
      <c r="BJ109" s="716">
        <f>IF(OR($C$36=$AR109,$D$36=$AR109),Schweine_Werte!$I109*0.5,IF(OR($C$36&gt;$AR109,$D$36&lt;$AR109),0,Schweine_Werte!$I109))</f>
        <v>0</v>
      </c>
      <c r="BK109" s="716">
        <f>IF(OR($C$48=$AR109,$D$48=$AR109),Schweine_Werte!$I109*0.5,IF(OR($C$48&gt;$AR109,$D$48&lt;$AR109),0,Schweine_Werte!$I109))</f>
        <v>0</v>
      </c>
      <c r="BL109" s="716">
        <f>IF(OR($C$60=$AR109,$D$60=$AR109),Schweine_Werte!$I109*0.5,IF(OR($C$60&gt;$AR109,$D$60&lt;$AR109),0,Schweine_Werte!$I109))</f>
        <v>0</v>
      </c>
      <c r="BM109" s="781"/>
      <c r="BN109" s="716"/>
      <c r="BO109" s="716"/>
      <c r="BP109" s="716"/>
      <c r="BQ109" s="716"/>
      <c r="BR109" s="781">
        <f>IF(OR($C$74=$AR109,$D$74=$AR109),Schweine_Werte!$M109*0.5,IF(OR($C$74&gt;$AR109,$D$74&lt;$AR109),0,Schweine_Werte!$M109))</f>
        <v>0</v>
      </c>
      <c r="BS109" s="781">
        <f>IF(OR($C$83=$AR109,$D$83=$AR109),Schweine_Werte!$M109*0.5,IF(OR($C$83&gt;$AR109,$D$83&lt;$AR109),0,Schweine_Werte!$M109))</f>
        <v>0</v>
      </c>
      <c r="BT109" s="783">
        <f>IF(OR($C$92=$AR109,$D$92=$AR109),Schweine_Werte!$M109*0.5,IF(OR($C$92&gt;$AR109,$D$92&lt;$AR109),0,Schweine_Werte!$M109))</f>
        <v>0</v>
      </c>
      <c r="BU109" s="783">
        <f>IF(OR($C$101=$AR109,$D$101=$AR109),Schweine_Werte!$M109*0.5,IF(OR($C$101&gt;$AR109,$D$101&lt;$AR109),0,Schweine_Werte!$M109))</f>
        <v>0</v>
      </c>
      <c r="BV109" s="783">
        <f>IF(OR($C$110=$AR109,$D$110=$AR109),Schweine_Werte!$M109*0.5,IF(OR($C$110&gt;$AR109,$D$110&lt;$AR109),0,Schweine_Werte!$M109))</f>
        <v>0</v>
      </c>
      <c r="BW109" s="783">
        <f>IF(OR(8=$AR109,$E$127=$AR109),Schweine_Werte!$M109*0.5,IF(OR(8&gt;$AR109,$E$127&lt;$AR109),0,Schweine_Werte!$M109))</f>
        <v>1.4477278921508818</v>
      </c>
      <c r="BX109" s="783">
        <f>IF(OR(8=$AR109,$E$145=$AR109),Schweine_Werte!$M109*0.5,IF(OR(8&gt;$AR109,$E$145&lt;$AR109),0,Schweine_Werte!$M109))</f>
        <v>1.4477278921508818</v>
      </c>
      <c r="BY109" s="781">
        <f>IF(OR($C$74=$AR109,$D$74=$AR109),Schweine_Werte!$O109*0.5,IF(OR($C$74&gt;$AR109,$D$74&lt;$AR109),0,Schweine_Werte!$O109))</f>
        <v>0</v>
      </c>
      <c r="BZ109" s="781">
        <f>IF(OR($C$83=$AR109,$D$83=$AR109),Schweine_Werte!$O109*0.5,IF(OR($C$83&gt;$AR109,$D$83&lt;$AR109),0,Schweine_Werte!$O109))</f>
        <v>0</v>
      </c>
      <c r="CA109" s="783">
        <f>IF(OR($C$92=$AR109,$D$92=$AR109),Schweine_Werte!$O109*0.5,IF(OR($C$92&gt;$AR109,$D$92&lt;$AR109),0,Schweine_Werte!$O109))</f>
        <v>0</v>
      </c>
      <c r="CB109" s="783">
        <f>IF(OR($C$101=$AR109,$D$101=$AR109),Schweine_Werte!$O109*0.5,IF(OR($C$101&gt;$AR109,$D$101&lt;$AR109),0,Schweine_Werte!$O109))</f>
        <v>0</v>
      </c>
      <c r="CC109" s="783">
        <f>IF(OR($C$110=$AR109,$D$110=$AR109),Schweine_Werte!$O109*0.5,IF(OR($C$110&gt;$AR109,$D$110&lt;$AR109),0,Schweine_Werte!$O109))</f>
        <v>0</v>
      </c>
    </row>
    <row r="110" spans="1:81" ht="15.75" x14ac:dyDescent="0.25">
      <c r="A110" t="s">
        <v>7782</v>
      </c>
      <c r="B110" s="802" t="str">
        <f>IF('Abweichende Werte'!X9=1,'Abweichende Werte'!F9,"")</f>
        <v/>
      </c>
      <c r="C110" s="666" t="str">
        <f>IF('Abweichende Werte'!X9=1,'Abweichende Werte'!J9,"")</f>
        <v/>
      </c>
      <c r="D110" s="667" t="str">
        <f>IF('Abweichende Werte'!X9=1,'Abweichende Werte'!M9,"")</f>
        <v/>
      </c>
      <c r="E110" s="667" t="str">
        <f>IF('Abweichende Werte'!X9=1,'Abweichende Werte'!P9,"")</f>
        <v/>
      </c>
      <c r="F110" s="789" t="e">
        <f>IF($E110&lt;=$E106,F106,IF(AND($E110&gt;$E106,$E110&lt;=$E107),F106+(F107-F106)/($E107-$E106)*($E110-$E106),IF($E110&gt;$E107,F107)))</f>
        <v>#VALUE!</v>
      </c>
      <c r="G110" s="789" t="e">
        <f t="shared" ref="G110:N110" si="53">IF($E110&lt;=$E106,G106,IF(AND($E110&gt;$E106,$E110&lt;=$E107),G106+(G107-G106)/($E107-$E106)*($E110-$E106),IF($E110&gt;$E107,G107)))</f>
        <v>#VALUE!</v>
      </c>
      <c r="H110" s="789" t="e">
        <f t="shared" si="53"/>
        <v>#VALUE!</v>
      </c>
      <c r="I110" s="789" t="e">
        <f t="shared" si="53"/>
        <v>#VALUE!</v>
      </c>
      <c r="J110" s="789" t="e">
        <f t="shared" si="53"/>
        <v>#VALUE!</v>
      </c>
      <c r="K110" s="789" t="e">
        <f t="shared" si="53"/>
        <v>#VALUE!</v>
      </c>
      <c r="L110" s="789" t="e">
        <f t="shared" si="53"/>
        <v>#VALUE!</v>
      </c>
      <c r="M110" s="789" t="e">
        <f t="shared" si="53"/>
        <v>#VALUE!</v>
      </c>
      <c r="N110" s="789" t="e">
        <f t="shared" si="53"/>
        <v>#VALUE!</v>
      </c>
      <c r="O110" s="790">
        <v>5.5</v>
      </c>
      <c r="P110" s="790">
        <v>1.8</v>
      </c>
      <c r="Q110" s="789" t="e">
        <f t="shared" ref="Q110:Z110" si="54">IF($E110&lt;=$E106,Q106,IF(AND($E110&gt;$E106,$E110&lt;=$E107),Q106+(Q107-Q106)/($E107-$E106)*($E110-$E106),IF($E110&gt;$E107,Q107)))</f>
        <v>#VALUE!</v>
      </c>
      <c r="R110" s="789" t="e">
        <f t="shared" si="54"/>
        <v>#VALUE!</v>
      </c>
      <c r="S110" s="789" t="e">
        <f t="shared" si="54"/>
        <v>#VALUE!</v>
      </c>
      <c r="T110" s="789" t="e">
        <f t="shared" si="54"/>
        <v>#VALUE!</v>
      </c>
      <c r="U110" s="789" t="e">
        <f t="shared" si="54"/>
        <v>#VALUE!</v>
      </c>
      <c r="V110" s="789" t="e">
        <f t="shared" si="54"/>
        <v>#VALUE!</v>
      </c>
      <c r="W110" s="789" t="e">
        <f t="shared" si="54"/>
        <v>#VALUE!</v>
      </c>
      <c r="X110" s="789" t="e">
        <f t="shared" si="54"/>
        <v>#VALUE!</v>
      </c>
      <c r="Y110" s="789" t="e">
        <f t="shared" si="54"/>
        <v>#VALUE!</v>
      </c>
      <c r="Z110" s="789" t="e">
        <f t="shared" si="54"/>
        <v>#VALUE!</v>
      </c>
      <c r="AA110" s="791" t="e">
        <f>+Z110*6.25</f>
        <v>#VALUE!</v>
      </c>
      <c r="AB110" s="789" t="e">
        <f>IF($E110&lt;=$E106,AB106,IF(AND($E110&gt;$E106,$E110&lt;=$E107),AB106+(AB107-AB106)/($E107-$E106)*($E110-$E106),IF($E110&gt;$E107,AB107)))</f>
        <v>#VALUE!</v>
      </c>
      <c r="AC110" s="791" t="e">
        <f>+AB110*6.25</f>
        <v>#VALUE!</v>
      </c>
      <c r="AD110" s="789" t="e">
        <f>IF($E110&lt;=$E106,AD106,IF(AND($E110&gt;$E106,$E110&lt;=$E107),AD106+(AD107-AD106)/($E107-$E106)*($E110-$E106),IF($E110&gt;$E107,AD107)))</f>
        <v>#VALUE!</v>
      </c>
      <c r="AE110" s="791" t="e">
        <f>+AD110*6.25</f>
        <v>#VALUE!</v>
      </c>
      <c r="AF110" s="791" t="e">
        <f>365/((D110-C110)/E110*1000)</f>
        <v>#VALUE!</v>
      </c>
      <c r="AG110" s="789" t="e">
        <f>IF($E110&lt;=$E106,AG106,IF(AND($E110&gt;$E106,$E110&lt;=$E107),AG106+(AG107-AG106)/($E107-$E106)*($E110-$E106),IF($E110&gt;$E107,AG107)))</f>
        <v>#VALUE!</v>
      </c>
      <c r="AH110" s="791" t="e">
        <f>+AG110/AF110</f>
        <v>#VALUE!</v>
      </c>
      <c r="AI110" s="791" t="e">
        <f>+CONCATENATE(ROUND(AH110/(D110-C110),1)," : 1")</f>
        <v>#VALUE!</v>
      </c>
      <c r="AJ110" s="789" t="e">
        <f>IF($E110&lt;=$E106,AJ106,IF(AND($E110&gt;$E106,$E110&lt;=$E107),AJ106+(AJ107-AJ106)/($E107-$E106)*($E110-$E106),IF($E110&gt;$E107,AJ107)))</f>
        <v>#VALUE!</v>
      </c>
      <c r="AK110" s="791" t="e">
        <f>+AJ110/2.291</f>
        <v>#VALUE!</v>
      </c>
      <c r="AL110" s="789" t="e">
        <f>IF($E110&lt;=$E106,AL106,IF(AND($E110&gt;$E106,$E110&lt;=$E107),AL106+(AL107-AL106)/($E107-$E106)*($E110-$E106),IF($E110&gt;$E107,AL107)))</f>
        <v>#VALUE!</v>
      </c>
      <c r="AM110" s="791" t="e">
        <f>+AL110/2.291</f>
        <v>#VALUE!</v>
      </c>
      <c r="AN110" s="789" t="e">
        <f>IF($E110&lt;=$E106,AN106,IF(AND($E110&gt;$E106,$E110&lt;=$E107),AN106+(AN107-AN106)/($E107-$E106)*($E110-$E106),IF($E110&gt;$E107,AN107)))</f>
        <v>#VALUE!</v>
      </c>
      <c r="AO110" s="791" t="e">
        <f>+AN110/2.291</f>
        <v>#VALUE!</v>
      </c>
      <c r="AR110" s="792">
        <v>114</v>
      </c>
      <c r="AS110" s="781">
        <f>IF(OR($C$12=$AR110,$D$12=$AR110),Schweine_Werte!$C110*0.5,IF(OR($C$12&gt;$AR110,$D$12&lt;$AR110),0,Schweine_Werte!$C110))</f>
        <v>0</v>
      </c>
      <c r="AT110" s="716">
        <f>IF(OR($C$24=$AR110,$D$24=$AR110),Schweine_Werte!$C110*0.5,IF(OR($C$24&gt;$AR110,$D$24&lt;$AR110),0,Schweine_Werte!$C110))</f>
        <v>0</v>
      </c>
      <c r="AU110" s="781">
        <f>IF(OR($C$36=$AR110,$D$36=$AR110),Schweine_Werte!$C110*0.5,IF(OR($C$36&gt;$AR110,$D$36&lt;$AR110),0,Schweine_Werte!$C110))</f>
        <v>0</v>
      </c>
      <c r="AV110" s="781">
        <f>IF(OR($C$48=$AR110,$D$48=$AR110),Schweine_Werte!$C110*0.5,IF(OR($C$48&gt;$AR110,$D$48&lt;$AR110),0,Schweine_Werte!$C110))</f>
        <v>0</v>
      </c>
      <c r="AW110" s="781">
        <f>IF(OR($C$60=$AR110,$D$60=$AR110),Schweine_Werte!$C110*0.5,IF(OR($C$60&gt;$AR110,$D$60&lt;$AR110),0,Schweine_Werte!$C110))</f>
        <v>0</v>
      </c>
      <c r="AX110" s="781">
        <f>IF(OR($C$12=$AR110,$D$12=$AR110),Schweine_Werte!$E110*0.5,IF(OR($C$12&gt;$AR110,$D$12&lt;$AR110),0,Schweine_Werte!$E110))</f>
        <v>0</v>
      </c>
      <c r="AY110" s="716">
        <f>IF(OR($C$24=$AR110,$D$24=$AR110),Schweine_Werte!$E110*0.5,IF(OR($C$24&gt;$AR110,$D$24&lt;$AR110),0,Schweine_Werte!$E110))</f>
        <v>0</v>
      </c>
      <c r="AZ110" s="716">
        <f>IF(OR($C$36=$AR110,$D$36=$AR110),Schweine_Werte!$E110*0.5,IF(OR($C$36&gt;$AR110,$D$36&lt;$AR110),0,Schweine_Werte!$E110))</f>
        <v>0</v>
      </c>
      <c r="BA110" s="716">
        <f>IF(OR($C$48=$AR110,$D$48=$AR110),Schweine_Werte!$E110*0.5,IF(OR($C$48&gt;$AR110,$D$48&lt;$AR110),0,Schweine_Werte!$E110))</f>
        <v>0</v>
      </c>
      <c r="BB110" s="716">
        <f>IF(OR($C$60=$AR110,$D$60=$AR110),Schweine_Werte!$E110*0.5,IF(OR($C$60&gt;$AR110,$D$60&lt;$AR110),0,Schweine_Werte!$E110))</f>
        <v>0</v>
      </c>
      <c r="BC110" s="781">
        <f>IF(OR($C$12=$AR110,$D$12=$AR110),Schweine_Werte!$G110*0.5,IF(OR($C$12&gt;$AR110,$D$12&lt;$AR110),0,Schweine_Werte!$G110))</f>
        <v>0</v>
      </c>
      <c r="BD110" s="716">
        <f>IF(OR($C$24=$AR110,$D$24=$AR110),Schweine_Werte!$G110*0.5,IF(OR($C$24&gt;$AR110,$D$24&lt;$AR110),0,Schweine_Werte!$G110))</f>
        <v>0</v>
      </c>
      <c r="BE110" s="716">
        <f>IF(OR($C$36=$AR110,$D$36=$AR110),Schweine_Werte!$G110*0.5,IF(OR($C$36&gt;$AR110,$D$36&lt;$AR110),0,Schweine_Werte!$G110))</f>
        <v>0</v>
      </c>
      <c r="BF110" s="716">
        <f>IF(OR($C$48=$AR110,$D$48=$AR110),Schweine_Werte!$G110*0.5,IF(OR($C$48&gt;$AR110,$D$48&lt;$AR110),0,Schweine_Werte!$G110))</f>
        <v>0</v>
      </c>
      <c r="BG110" s="716">
        <f>IF(OR($C$60=$AR110,$D$60=$AR110),Schweine_Werte!$G110*0.5,IF(OR($C$60&gt;$AR110,$D$60&lt;$AR110),0,Schweine_Werte!$G110))</f>
        <v>0</v>
      </c>
      <c r="BH110" s="781">
        <f>IF(OR($C$12=$AR110,$D$12=$AR110),Schweine_Werte!$I110*0.5,IF(OR($C$12&gt;$AR110,$D$12&lt;$AR110),0,Schweine_Werte!$I110))</f>
        <v>0</v>
      </c>
      <c r="BI110" s="716">
        <f>IF(OR($C$24=$AR110,$D$24=$AR110),Schweine_Werte!$I110*0.5,IF(OR($C$24&gt;$AR110,$D$24&lt;$AR110),0,Schweine_Werte!$I110))</f>
        <v>0</v>
      </c>
      <c r="BJ110" s="716">
        <f>IF(OR($C$36=$AR110,$D$36=$AR110),Schweine_Werte!$I110*0.5,IF(OR($C$36&gt;$AR110,$D$36&lt;$AR110),0,Schweine_Werte!$I110))</f>
        <v>0</v>
      </c>
      <c r="BK110" s="716">
        <f>IF(OR($C$48=$AR110,$D$48=$AR110),Schweine_Werte!$I110*0.5,IF(OR($C$48&gt;$AR110,$D$48&lt;$AR110),0,Schweine_Werte!$I110))</f>
        <v>0</v>
      </c>
      <c r="BL110" s="716">
        <f>IF(OR($C$60=$AR110,$D$60=$AR110),Schweine_Werte!$I110*0.5,IF(OR($C$60&gt;$AR110,$D$60&lt;$AR110),0,Schweine_Werte!$I110))</f>
        <v>0</v>
      </c>
      <c r="BM110" s="781"/>
      <c r="BN110" s="716"/>
      <c r="BO110" s="716"/>
      <c r="BP110" s="716"/>
      <c r="BQ110" s="716"/>
      <c r="BR110" s="781">
        <f>IF(OR($C$74=$AR110,$D$74=$AR110),Schweine_Werte!$M110*0.5,IF(OR($C$74&gt;$AR110,$D$74&lt;$AR110),0,Schweine_Werte!$M110))</f>
        <v>0</v>
      </c>
      <c r="BS110" s="781">
        <f>IF(OR($C$83=$AR110,$D$83=$AR110),Schweine_Werte!$M110*0.5,IF(OR($C$83&gt;$AR110,$D$83&lt;$AR110),0,Schweine_Werte!$M110))</f>
        <v>0</v>
      </c>
      <c r="BT110" s="783">
        <f>IF(OR($C$92=$AR110,$D$92=$AR110),Schweine_Werte!$M110*0.5,IF(OR($C$92&gt;$AR110,$D$92&lt;$AR110),0,Schweine_Werte!$M110))</f>
        <v>0</v>
      </c>
      <c r="BU110" s="783">
        <f>IF(OR($C$101=$AR110,$D$101=$AR110),Schweine_Werte!$M110*0.5,IF(OR($C$101&gt;$AR110,$D$101&lt;$AR110),0,Schweine_Werte!$M110))</f>
        <v>0</v>
      </c>
      <c r="BV110" s="783">
        <f>IF(OR($C$110=$AR110,$D$110=$AR110),Schweine_Werte!$M110*0.5,IF(OR($C$110&gt;$AR110,$D$110&lt;$AR110),0,Schweine_Werte!$M110))</f>
        <v>0</v>
      </c>
      <c r="BW110" s="783">
        <f>IF(OR(8=$AR110,$E$127=$AR110),Schweine_Werte!$M110*0.5,IF(OR(8&gt;$AR110,$E$127&lt;$AR110),0,Schweine_Werte!$M110))</f>
        <v>1.4477278921508818</v>
      </c>
      <c r="BX110" s="783">
        <f>IF(OR(8=$AR110,$E$145=$AR110),Schweine_Werte!$M110*0.5,IF(OR(8&gt;$AR110,$E$145&lt;$AR110),0,Schweine_Werte!$M110))</f>
        <v>1.4477278921508818</v>
      </c>
      <c r="BY110" s="781">
        <f>IF(OR($C$74=$AR110,$D$74=$AR110),Schweine_Werte!$O110*0.5,IF(OR($C$74&gt;$AR110,$D$74&lt;$AR110),0,Schweine_Werte!$O110))</f>
        <v>0</v>
      </c>
      <c r="BZ110" s="781">
        <f>IF(OR($C$83=$AR110,$D$83=$AR110),Schweine_Werte!$O110*0.5,IF(OR($C$83&gt;$AR110,$D$83&lt;$AR110),0,Schweine_Werte!$O110))</f>
        <v>0</v>
      </c>
      <c r="CA110" s="783">
        <f>IF(OR($C$92=$AR110,$D$92=$AR110),Schweine_Werte!$O110*0.5,IF(OR($C$92&gt;$AR110,$D$92&lt;$AR110),0,Schweine_Werte!$O110))</f>
        <v>0</v>
      </c>
      <c r="CB110" s="783">
        <f>IF(OR($C$101=$AR110,$D$101=$AR110),Schweine_Werte!$O110*0.5,IF(OR($C$101&gt;$AR110,$D$101&lt;$AR110),0,Schweine_Werte!$O110))</f>
        <v>0</v>
      </c>
      <c r="CC110" s="783">
        <f>IF(OR($C$110=$AR110,$D$110=$AR110),Schweine_Werte!$O110*0.5,IF(OR($C$110&gt;$AR110,$D$110&lt;$AR110),0,Schweine_Werte!$O110))</f>
        <v>0</v>
      </c>
    </row>
    <row r="111" spans="1:81" x14ac:dyDescent="0.2">
      <c r="AR111" s="792">
        <v>115</v>
      </c>
      <c r="AS111" s="781">
        <f>IF(OR($C$12=$AR111,$D$12=$AR111),Schweine_Werte!$C111*0.5,IF(OR($C$12&gt;$AR111,$D$12&lt;$AR111),0,Schweine_Werte!$C111))</f>
        <v>0</v>
      </c>
      <c r="AT111" s="716">
        <f>IF(OR($C$24=$AR111,$D$24=$AR111),Schweine_Werte!$C111*0.5,IF(OR($C$24&gt;$AR111,$D$24&lt;$AR111),0,Schweine_Werte!$C111))</f>
        <v>0</v>
      </c>
      <c r="AU111" s="781">
        <f>IF(OR($C$36=$AR111,$D$36=$AR111),Schweine_Werte!$C111*0.5,IF(OR($C$36&gt;$AR111,$D$36&lt;$AR111),0,Schweine_Werte!$C111))</f>
        <v>0</v>
      </c>
      <c r="AV111" s="781">
        <f>IF(OR($C$48=$AR111,$D$48=$AR111),Schweine_Werte!$C111*0.5,IF(OR($C$48&gt;$AR111,$D$48&lt;$AR111),0,Schweine_Werte!$C111))</f>
        <v>0</v>
      </c>
      <c r="AW111" s="781">
        <f>IF(OR($C$60=$AR111,$D$60=$AR111),Schweine_Werte!$C111*0.5,IF(OR($C$60&gt;$AR111,$D$60&lt;$AR111),0,Schweine_Werte!$C111))</f>
        <v>0</v>
      </c>
      <c r="AX111" s="781">
        <f>IF(OR($C$12=$AR111,$D$12=$AR111),Schweine_Werte!$E111*0.5,IF(OR($C$12&gt;$AR111,$D$12&lt;$AR111),0,Schweine_Werte!$E111))</f>
        <v>0</v>
      </c>
      <c r="AY111" s="716">
        <f>IF(OR($C$24=$AR111,$D$24=$AR111),Schweine_Werte!$E111*0.5,IF(OR($C$24&gt;$AR111,$D$24&lt;$AR111),0,Schweine_Werte!$E111))</f>
        <v>0</v>
      </c>
      <c r="AZ111" s="716">
        <f>IF(OR($C$36=$AR111,$D$36=$AR111),Schweine_Werte!$E111*0.5,IF(OR($C$36&gt;$AR111,$D$36&lt;$AR111),0,Schweine_Werte!$E111))</f>
        <v>0</v>
      </c>
      <c r="BA111" s="716">
        <f>IF(OR($C$48=$AR111,$D$48=$AR111),Schweine_Werte!$E111*0.5,IF(OR($C$48&gt;$AR111,$D$48&lt;$AR111),0,Schweine_Werte!$E111))</f>
        <v>0</v>
      </c>
      <c r="BB111" s="716">
        <f>IF(OR($C$60=$AR111,$D$60=$AR111),Schweine_Werte!$E111*0.5,IF(OR($C$60&gt;$AR111,$D$60&lt;$AR111),0,Schweine_Werte!$E111))</f>
        <v>0</v>
      </c>
      <c r="BC111" s="781">
        <f>IF(OR($C$12=$AR111,$D$12=$AR111),Schweine_Werte!$G111*0.5,IF(OR($C$12&gt;$AR111,$D$12&lt;$AR111),0,Schweine_Werte!$G111))</f>
        <v>0</v>
      </c>
      <c r="BD111" s="716">
        <f>IF(OR($C$24=$AR111,$D$24=$AR111),Schweine_Werte!$G111*0.5,IF(OR($C$24&gt;$AR111,$D$24&lt;$AR111),0,Schweine_Werte!$G111))</f>
        <v>0</v>
      </c>
      <c r="BE111" s="716">
        <f>IF(OR($C$36=$AR111,$D$36=$AR111),Schweine_Werte!$G111*0.5,IF(OR($C$36&gt;$AR111,$D$36&lt;$AR111),0,Schweine_Werte!$G111))</f>
        <v>0</v>
      </c>
      <c r="BF111" s="716">
        <f>IF(OR($C$48=$AR111,$D$48=$AR111),Schweine_Werte!$G111*0.5,IF(OR($C$48&gt;$AR111,$D$48&lt;$AR111),0,Schweine_Werte!$G111))</f>
        <v>0</v>
      </c>
      <c r="BG111" s="716">
        <f>IF(OR($C$60=$AR111,$D$60=$AR111),Schweine_Werte!$G111*0.5,IF(OR($C$60&gt;$AR111,$D$60&lt;$AR111),0,Schweine_Werte!$G111))</f>
        <v>0</v>
      </c>
      <c r="BH111" s="781">
        <f>IF(OR($C$12=$AR111,$D$12=$AR111),Schweine_Werte!$I111*0.5,IF(OR($C$12&gt;$AR111,$D$12&lt;$AR111),0,Schweine_Werte!$I111))</f>
        <v>0</v>
      </c>
      <c r="BI111" s="716">
        <f>IF(OR($C$24=$AR111,$D$24=$AR111),Schweine_Werte!$I111*0.5,IF(OR($C$24&gt;$AR111,$D$24&lt;$AR111),0,Schweine_Werte!$I111))</f>
        <v>0</v>
      </c>
      <c r="BJ111" s="716">
        <f>IF(OR($C$36=$AR111,$D$36=$AR111),Schweine_Werte!$I111*0.5,IF(OR($C$36&gt;$AR111,$D$36&lt;$AR111),0,Schweine_Werte!$I111))</f>
        <v>0</v>
      </c>
      <c r="BK111" s="716">
        <f>IF(OR($C$48=$AR111,$D$48=$AR111),Schweine_Werte!$I111*0.5,IF(OR($C$48&gt;$AR111,$D$48&lt;$AR111),0,Schweine_Werte!$I111))</f>
        <v>0</v>
      </c>
      <c r="BL111" s="716">
        <f>IF(OR($C$60=$AR111,$D$60=$AR111),Schweine_Werte!$I111*0.5,IF(OR($C$60&gt;$AR111,$D$60&lt;$AR111),0,Schweine_Werte!$I111))</f>
        <v>0</v>
      </c>
      <c r="BM111" s="781"/>
      <c r="BN111" s="716"/>
      <c r="BO111" s="716"/>
      <c r="BP111" s="716"/>
      <c r="BQ111" s="716"/>
      <c r="BR111" s="781">
        <f>IF(OR($C$74=$AR111,$D$74=$AR111),Schweine_Werte!$M111*0.5,IF(OR($C$74&gt;$AR111,$D$74&lt;$AR111),0,Schweine_Werte!$M111))</f>
        <v>0</v>
      </c>
      <c r="BS111" s="781">
        <f>IF(OR($C$83=$AR111,$D$83=$AR111),Schweine_Werte!$M111*0.5,IF(OR($C$83&gt;$AR111,$D$83&lt;$AR111),0,Schweine_Werte!$M111))</f>
        <v>0</v>
      </c>
      <c r="BT111" s="783">
        <f>IF(OR($C$92=$AR111,$D$92=$AR111),Schweine_Werte!$M111*0.5,IF(OR($C$92&gt;$AR111,$D$92&lt;$AR111),0,Schweine_Werte!$M111))</f>
        <v>0</v>
      </c>
      <c r="BU111" s="783">
        <f>IF(OR($C$101=$AR111,$D$101=$AR111),Schweine_Werte!$M111*0.5,IF(OR($C$101&gt;$AR111,$D$101&lt;$AR111),0,Schweine_Werte!$M111))</f>
        <v>0</v>
      </c>
      <c r="BV111" s="783">
        <f>IF(OR($C$110=$AR111,$D$110=$AR111),Schweine_Werte!$M111*0.5,IF(OR($C$110&gt;$AR111,$D$110&lt;$AR111),0,Schweine_Werte!$M111))</f>
        <v>0</v>
      </c>
      <c r="BW111" s="783">
        <f>IF(OR(8=$AR111,$E$127=$AR111),Schweine_Werte!$M111*0.5,IF(OR(8&gt;$AR111,$E$127&lt;$AR111),0,Schweine_Werte!$M111))</f>
        <v>1.4477278921508818</v>
      </c>
      <c r="BX111" s="783">
        <f>IF(OR(8=$AR111,$E$145=$AR111),Schweine_Werte!$M111*0.5,IF(OR(8&gt;$AR111,$E$145&lt;$AR111),0,Schweine_Werte!$M111))</f>
        <v>1.4477278921508818</v>
      </c>
      <c r="BY111" s="781">
        <f>IF(OR($C$74=$AR111,$D$74=$AR111),Schweine_Werte!$O111*0.5,IF(OR($C$74&gt;$AR111,$D$74&lt;$AR111),0,Schweine_Werte!$O111))</f>
        <v>0</v>
      </c>
      <c r="BZ111" s="781">
        <f>IF(OR($C$83=$AR111,$D$83=$AR111),Schweine_Werte!$O111*0.5,IF(OR($C$83&gt;$AR111,$D$83&lt;$AR111),0,Schweine_Werte!$O111))</f>
        <v>0</v>
      </c>
      <c r="CA111" s="783">
        <f>IF(OR($C$92=$AR111,$D$92=$AR111),Schweine_Werte!$O111*0.5,IF(OR($C$92&gt;$AR111,$D$92&lt;$AR111),0,Schweine_Werte!$O111))</f>
        <v>0</v>
      </c>
      <c r="CB111" s="783">
        <f>IF(OR($C$101=$AR111,$D$101=$AR111),Schweine_Werte!$O111*0.5,IF(OR($C$101&gt;$AR111,$D$101&lt;$AR111),0,Schweine_Werte!$O111))</f>
        <v>0</v>
      </c>
      <c r="CC111" s="783">
        <f>IF(OR($C$110=$AR111,$D$110=$AR111),Schweine_Werte!$O111*0.5,IF(OR($C$110&gt;$AR111,$D$110&lt;$AR111),0,Schweine_Werte!$O111))</f>
        <v>0</v>
      </c>
    </row>
    <row r="112" spans="1:81" x14ac:dyDescent="0.2">
      <c r="AR112" s="792">
        <v>116</v>
      </c>
      <c r="AS112" s="781">
        <f>IF(OR($C$12=$AR112,$D$12=$AR112),Schweine_Werte!$C112*0.5,IF(OR($C$12&gt;$AR112,$D$12&lt;$AR112),0,Schweine_Werte!$C112))</f>
        <v>0</v>
      </c>
      <c r="AT112" s="716">
        <f>IF(OR($C$24=$AR112,$D$24=$AR112),Schweine_Werte!$C112*0.5,IF(OR($C$24&gt;$AR112,$D$24&lt;$AR112),0,Schweine_Werte!$C112))</f>
        <v>0</v>
      </c>
      <c r="AU112" s="781">
        <f>IF(OR($C$36=$AR112,$D$36=$AR112),Schweine_Werte!$C112*0.5,IF(OR($C$36&gt;$AR112,$D$36&lt;$AR112),0,Schweine_Werte!$C112))</f>
        <v>0</v>
      </c>
      <c r="AV112" s="781">
        <f>IF(OR($C$48=$AR112,$D$48=$AR112),Schweine_Werte!$C112*0.5,IF(OR($C$48&gt;$AR112,$D$48&lt;$AR112),0,Schweine_Werte!$C112))</f>
        <v>0</v>
      </c>
      <c r="AW112" s="781">
        <f>IF(OR($C$60=$AR112,$D$60=$AR112),Schweine_Werte!$C112*0.5,IF(OR($C$60&gt;$AR112,$D$60&lt;$AR112),0,Schweine_Werte!$C112))</f>
        <v>0</v>
      </c>
      <c r="AX112" s="781">
        <f>IF(OR($C$12=$AR112,$D$12=$AR112),Schweine_Werte!$E112*0.5,IF(OR($C$12&gt;$AR112,$D$12&lt;$AR112),0,Schweine_Werte!$E112))</f>
        <v>0</v>
      </c>
      <c r="AY112" s="716">
        <f>IF(OR($C$24=$AR112,$D$24=$AR112),Schweine_Werte!$E112*0.5,IF(OR($C$24&gt;$AR112,$D$24&lt;$AR112),0,Schweine_Werte!$E112))</f>
        <v>0</v>
      </c>
      <c r="AZ112" s="716">
        <f>IF(OR($C$36=$AR112,$D$36=$AR112),Schweine_Werte!$E112*0.5,IF(OR($C$36&gt;$AR112,$D$36&lt;$AR112),0,Schweine_Werte!$E112))</f>
        <v>0</v>
      </c>
      <c r="BA112" s="716">
        <f>IF(OR($C$48=$AR112,$D$48=$AR112),Schweine_Werte!$E112*0.5,IF(OR($C$48&gt;$AR112,$D$48&lt;$AR112),0,Schweine_Werte!$E112))</f>
        <v>0</v>
      </c>
      <c r="BB112" s="716">
        <f>IF(OR($C$60=$AR112,$D$60=$AR112),Schweine_Werte!$E112*0.5,IF(OR($C$60&gt;$AR112,$D$60&lt;$AR112),0,Schweine_Werte!$E112))</f>
        <v>0</v>
      </c>
      <c r="BC112" s="781">
        <f>IF(OR($C$12=$AR112,$D$12=$AR112),Schweine_Werte!$G112*0.5,IF(OR($C$12&gt;$AR112,$D$12&lt;$AR112),0,Schweine_Werte!$G112))</f>
        <v>0</v>
      </c>
      <c r="BD112" s="716">
        <f>IF(OR($C$24=$AR112,$D$24=$AR112),Schweine_Werte!$G112*0.5,IF(OR($C$24&gt;$AR112,$D$24&lt;$AR112),0,Schweine_Werte!$G112))</f>
        <v>0</v>
      </c>
      <c r="BE112" s="716">
        <f>IF(OR($C$36=$AR112,$D$36=$AR112),Schweine_Werte!$G112*0.5,IF(OR($C$36&gt;$AR112,$D$36&lt;$AR112),0,Schweine_Werte!$G112))</f>
        <v>0</v>
      </c>
      <c r="BF112" s="716">
        <f>IF(OR($C$48=$AR112,$D$48=$AR112),Schweine_Werte!$G112*0.5,IF(OR($C$48&gt;$AR112,$D$48&lt;$AR112),0,Schweine_Werte!$G112))</f>
        <v>0</v>
      </c>
      <c r="BG112" s="716">
        <f>IF(OR($C$60=$AR112,$D$60=$AR112),Schweine_Werte!$G112*0.5,IF(OR($C$60&gt;$AR112,$D$60&lt;$AR112),0,Schweine_Werte!$G112))</f>
        <v>0</v>
      </c>
      <c r="BH112" s="781">
        <f>IF(OR($C$12=$AR112,$D$12=$AR112),Schweine_Werte!$I112*0.5,IF(OR($C$12&gt;$AR112,$D$12&lt;$AR112),0,Schweine_Werte!$I112))</f>
        <v>0</v>
      </c>
      <c r="BI112" s="716">
        <f>IF(OR($C$24=$AR112,$D$24=$AR112),Schweine_Werte!$I112*0.5,IF(OR($C$24&gt;$AR112,$D$24&lt;$AR112),0,Schweine_Werte!$I112))</f>
        <v>0</v>
      </c>
      <c r="BJ112" s="716">
        <f>IF(OR($C$36=$AR112,$D$36=$AR112),Schweine_Werte!$I112*0.5,IF(OR($C$36&gt;$AR112,$D$36&lt;$AR112),0,Schweine_Werte!$I112))</f>
        <v>0</v>
      </c>
      <c r="BK112" s="716">
        <f>IF(OR($C$48=$AR112,$D$48=$AR112),Schweine_Werte!$I112*0.5,IF(OR($C$48&gt;$AR112,$D$48&lt;$AR112),0,Schweine_Werte!$I112))</f>
        <v>0</v>
      </c>
      <c r="BL112" s="716">
        <f>IF(OR($C$60=$AR112,$D$60=$AR112),Schweine_Werte!$I112*0.5,IF(OR($C$60&gt;$AR112,$D$60&lt;$AR112),0,Schweine_Werte!$I112))</f>
        <v>0</v>
      </c>
      <c r="BM112" s="781"/>
      <c r="BN112" s="716"/>
      <c r="BO112" s="716"/>
      <c r="BP112" s="716"/>
      <c r="BQ112" s="716"/>
      <c r="BR112" s="781">
        <f>IF(OR($C$74=$AR112,$D$74=$AR112),Schweine_Werte!$M112*0.5,IF(OR($C$74&gt;$AR112,$D$74&lt;$AR112),0,Schweine_Werte!$M112))</f>
        <v>0</v>
      </c>
      <c r="BS112" s="781">
        <f>IF(OR($C$83=$AR112,$D$83=$AR112),Schweine_Werte!$M112*0.5,IF(OR($C$83&gt;$AR112,$D$83&lt;$AR112),0,Schweine_Werte!$M112))</f>
        <v>0</v>
      </c>
      <c r="BT112" s="783">
        <f>IF(OR($C$92=$AR112,$D$92=$AR112),Schweine_Werte!$M112*0.5,IF(OR($C$92&gt;$AR112,$D$92&lt;$AR112),0,Schweine_Werte!$M112))</f>
        <v>0</v>
      </c>
      <c r="BU112" s="783">
        <f>IF(OR($C$101=$AR112,$D$101=$AR112),Schweine_Werte!$M112*0.5,IF(OR($C$101&gt;$AR112,$D$101&lt;$AR112),0,Schweine_Werte!$M112))</f>
        <v>0</v>
      </c>
      <c r="BV112" s="783">
        <f>IF(OR($C$110=$AR112,$D$110=$AR112),Schweine_Werte!$M112*0.5,IF(OR($C$110&gt;$AR112,$D$110&lt;$AR112),0,Schweine_Werte!$M112))</f>
        <v>0</v>
      </c>
      <c r="BW112" s="783">
        <f>IF(OR(8=$AR112,$E$127=$AR112),Schweine_Werte!$M112*0.5,IF(OR(8&gt;$AR112,$E$127&lt;$AR112),0,Schweine_Werte!$M112))</f>
        <v>1.4477278921508818</v>
      </c>
      <c r="BX112" s="783">
        <f>IF(OR(8=$AR112,$E$145=$AR112),Schweine_Werte!$M112*0.5,IF(OR(8&gt;$AR112,$E$145&lt;$AR112),0,Schweine_Werte!$M112))</f>
        <v>1.4477278921508818</v>
      </c>
      <c r="BY112" s="781">
        <f>IF(OR($C$74=$AR112,$D$74=$AR112),Schweine_Werte!$O112*0.5,IF(OR($C$74&gt;$AR112,$D$74&lt;$AR112),0,Schweine_Werte!$O112))</f>
        <v>0</v>
      </c>
      <c r="BZ112" s="781">
        <f>IF(OR($C$83=$AR112,$D$83=$AR112),Schweine_Werte!$O112*0.5,IF(OR($C$83&gt;$AR112,$D$83&lt;$AR112),0,Schweine_Werte!$O112))</f>
        <v>0</v>
      </c>
      <c r="CA112" s="783">
        <f>IF(OR($C$92=$AR112,$D$92=$AR112),Schweine_Werte!$O112*0.5,IF(OR($C$92&gt;$AR112,$D$92&lt;$AR112),0,Schweine_Werte!$O112))</f>
        <v>0</v>
      </c>
      <c r="CB112" s="783">
        <f>IF(OR($C$101=$AR112,$D$101=$AR112),Schweine_Werte!$O112*0.5,IF(OR($C$101&gt;$AR112,$D$101&lt;$AR112),0,Schweine_Werte!$O112))</f>
        <v>0</v>
      </c>
      <c r="CC112" s="783">
        <f>IF(OR($C$110=$AR112,$D$110=$AR112),Schweine_Werte!$O112*0.5,IF(OR($C$110&gt;$AR112,$D$110&lt;$AR112),0,Schweine_Werte!$O112))</f>
        <v>0</v>
      </c>
    </row>
    <row r="113" spans="1:81" x14ac:dyDescent="0.2">
      <c r="AR113" s="792">
        <v>117</v>
      </c>
      <c r="AS113" s="781">
        <f>IF(OR($C$12=$AR113,$D$12=$AR113),Schweine_Werte!$C113*0.5,IF(OR($C$12&gt;$AR113,$D$12&lt;$AR113),0,Schweine_Werte!$C113))</f>
        <v>0</v>
      </c>
      <c r="AT113" s="716">
        <f>IF(OR($C$24=$AR113,$D$24=$AR113),Schweine_Werte!$C113*0.5,IF(OR($C$24&gt;$AR113,$D$24&lt;$AR113),0,Schweine_Werte!$C113))</f>
        <v>0</v>
      </c>
      <c r="AU113" s="781">
        <f>IF(OR($C$36=$AR113,$D$36=$AR113),Schweine_Werte!$C113*0.5,IF(OR($C$36&gt;$AR113,$D$36&lt;$AR113),0,Schweine_Werte!$C113))</f>
        <v>0</v>
      </c>
      <c r="AV113" s="781">
        <f>IF(OR($C$48=$AR113,$D$48=$AR113),Schweine_Werte!$C113*0.5,IF(OR($C$48&gt;$AR113,$D$48&lt;$AR113),0,Schweine_Werte!$C113))</f>
        <v>0</v>
      </c>
      <c r="AW113" s="781">
        <f>IF(OR($C$60=$AR113,$D$60=$AR113),Schweine_Werte!$C113*0.5,IF(OR($C$60&gt;$AR113,$D$60&lt;$AR113),0,Schweine_Werte!$C113))</f>
        <v>0</v>
      </c>
      <c r="AX113" s="781">
        <f>IF(OR($C$12=$AR113,$D$12=$AR113),Schweine_Werte!$E113*0.5,IF(OR($C$12&gt;$AR113,$D$12&lt;$AR113),0,Schweine_Werte!$E113))</f>
        <v>0</v>
      </c>
      <c r="AY113" s="716">
        <f>IF(OR($C$24=$AR113,$D$24=$AR113),Schweine_Werte!$E113*0.5,IF(OR($C$24&gt;$AR113,$D$24&lt;$AR113),0,Schweine_Werte!$E113))</f>
        <v>0</v>
      </c>
      <c r="AZ113" s="716">
        <f>IF(OR($C$36=$AR113,$D$36=$AR113),Schweine_Werte!$E113*0.5,IF(OR($C$36&gt;$AR113,$D$36&lt;$AR113),0,Schweine_Werte!$E113))</f>
        <v>0</v>
      </c>
      <c r="BA113" s="716">
        <f>IF(OR($C$48=$AR113,$D$48=$AR113),Schweine_Werte!$E113*0.5,IF(OR($C$48&gt;$AR113,$D$48&lt;$AR113),0,Schweine_Werte!$E113))</f>
        <v>0</v>
      </c>
      <c r="BB113" s="716">
        <f>IF(OR($C$60=$AR113,$D$60=$AR113),Schweine_Werte!$E113*0.5,IF(OR($C$60&gt;$AR113,$D$60&lt;$AR113),0,Schweine_Werte!$E113))</f>
        <v>0</v>
      </c>
      <c r="BC113" s="781">
        <f>IF(OR($C$12=$AR113,$D$12=$AR113),Schweine_Werte!$G113*0.5,IF(OR($C$12&gt;$AR113,$D$12&lt;$AR113),0,Schweine_Werte!$G113))</f>
        <v>0</v>
      </c>
      <c r="BD113" s="716">
        <f>IF(OR($C$24=$AR113,$D$24=$AR113),Schweine_Werte!$G113*0.5,IF(OR($C$24&gt;$AR113,$D$24&lt;$AR113),0,Schweine_Werte!$G113))</f>
        <v>0</v>
      </c>
      <c r="BE113" s="716">
        <f>IF(OR($C$36=$AR113,$D$36=$AR113),Schweine_Werte!$G113*0.5,IF(OR($C$36&gt;$AR113,$D$36&lt;$AR113),0,Schweine_Werte!$G113))</f>
        <v>0</v>
      </c>
      <c r="BF113" s="716">
        <f>IF(OR($C$48=$AR113,$D$48=$AR113),Schweine_Werte!$G113*0.5,IF(OR($C$48&gt;$AR113,$D$48&lt;$AR113),0,Schweine_Werte!$G113))</f>
        <v>0</v>
      </c>
      <c r="BG113" s="716">
        <f>IF(OR($C$60=$AR113,$D$60=$AR113),Schweine_Werte!$G113*0.5,IF(OR($C$60&gt;$AR113,$D$60&lt;$AR113),0,Schweine_Werte!$G113))</f>
        <v>0</v>
      </c>
      <c r="BH113" s="781">
        <f>IF(OR($C$12=$AR113,$D$12=$AR113),Schweine_Werte!$I113*0.5,IF(OR($C$12&gt;$AR113,$D$12&lt;$AR113),0,Schweine_Werte!$I113))</f>
        <v>0</v>
      </c>
      <c r="BI113" s="716">
        <f>IF(OR($C$24=$AR113,$D$24=$AR113),Schweine_Werte!$I113*0.5,IF(OR($C$24&gt;$AR113,$D$24&lt;$AR113),0,Schweine_Werte!$I113))</f>
        <v>0</v>
      </c>
      <c r="BJ113" s="716">
        <f>IF(OR($C$36=$AR113,$D$36=$AR113),Schweine_Werte!$I113*0.5,IF(OR($C$36&gt;$AR113,$D$36&lt;$AR113),0,Schweine_Werte!$I113))</f>
        <v>0</v>
      </c>
      <c r="BK113" s="716">
        <f>IF(OR($C$48=$AR113,$D$48=$AR113),Schweine_Werte!$I113*0.5,IF(OR($C$48&gt;$AR113,$D$48&lt;$AR113),0,Schweine_Werte!$I113))</f>
        <v>0</v>
      </c>
      <c r="BL113" s="716">
        <f>IF(OR($C$60=$AR113,$D$60=$AR113),Schweine_Werte!$I113*0.5,IF(OR($C$60&gt;$AR113,$D$60&lt;$AR113),0,Schweine_Werte!$I113))</f>
        <v>0</v>
      </c>
      <c r="BM113" s="781"/>
      <c r="BN113" s="716"/>
      <c r="BO113" s="716"/>
      <c r="BP113" s="716"/>
      <c r="BQ113" s="716"/>
      <c r="BR113" s="781">
        <f>IF(OR($C$74=$AR113,$D$74=$AR113),Schweine_Werte!$M113*0.5,IF(OR($C$74&gt;$AR113,$D$74&lt;$AR113),0,Schweine_Werte!$M113))</f>
        <v>0</v>
      </c>
      <c r="BS113" s="781">
        <f>IF(OR($C$83=$AR113,$D$83=$AR113),Schweine_Werte!$M113*0.5,IF(OR($C$83&gt;$AR113,$D$83&lt;$AR113),0,Schweine_Werte!$M113))</f>
        <v>0</v>
      </c>
      <c r="BT113" s="783">
        <f>IF(OR($C$92=$AR113,$D$92=$AR113),Schweine_Werte!$M113*0.5,IF(OR($C$92&gt;$AR113,$D$92&lt;$AR113),0,Schweine_Werte!$M113))</f>
        <v>0</v>
      </c>
      <c r="BU113" s="783">
        <f>IF(OR($C$101=$AR113,$D$101=$AR113),Schweine_Werte!$M113*0.5,IF(OR($C$101&gt;$AR113,$D$101&lt;$AR113),0,Schweine_Werte!$M113))</f>
        <v>0</v>
      </c>
      <c r="BV113" s="783">
        <f>IF(OR($C$110=$AR113,$D$110=$AR113),Schweine_Werte!$M113*0.5,IF(OR($C$110&gt;$AR113,$D$110&lt;$AR113),0,Schweine_Werte!$M113))</f>
        <v>0</v>
      </c>
      <c r="BW113" s="783">
        <f>IF(OR(8=$AR113,$E$127=$AR113),Schweine_Werte!$M113*0.5,IF(OR(8&gt;$AR113,$E$127&lt;$AR113),0,Schweine_Werte!$M113))</f>
        <v>1.4477278921508818</v>
      </c>
      <c r="BX113" s="783">
        <f>IF(OR(8=$AR113,$E$145=$AR113),Schweine_Werte!$M113*0.5,IF(OR(8&gt;$AR113,$E$145&lt;$AR113),0,Schweine_Werte!$M113))</f>
        <v>1.4477278921508818</v>
      </c>
      <c r="BY113" s="781">
        <f>IF(OR($C$74=$AR113,$D$74=$AR113),Schweine_Werte!$O113*0.5,IF(OR($C$74&gt;$AR113,$D$74&lt;$AR113),0,Schweine_Werte!$O113))</f>
        <v>0</v>
      </c>
      <c r="BZ113" s="781">
        <f>IF(OR($C$83=$AR113,$D$83=$AR113),Schweine_Werte!$O113*0.5,IF(OR($C$83&gt;$AR113,$D$83&lt;$AR113),0,Schweine_Werte!$O113))</f>
        <v>0</v>
      </c>
      <c r="CA113" s="783">
        <f>IF(OR($C$92=$AR113,$D$92=$AR113),Schweine_Werte!$O113*0.5,IF(OR($C$92&gt;$AR113,$D$92&lt;$AR113),0,Schweine_Werte!$O113))</f>
        <v>0</v>
      </c>
      <c r="CB113" s="783">
        <f>IF(OR($C$101=$AR113,$D$101=$AR113),Schweine_Werte!$O113*0.5,IF(OR($C$101&gt;$AR113,$D$101&lt;$AR113),0,Schweine_Werte!$O113))</f>
        <v>0</v>
      </c>
      <c r="CC113" s="783">
        <f>IF(OR($C$110=$AR113,$D$110=$AR113),Schweine_Werte!$O113*0.5,IF(OR($C$110&gt;$AR113,$D$110&lt;$AR113),0,Schweine_Werte!$O113))</f>
        <v>0</v>
      </c>
    </row>
    <row r="114" spans="1:81" x14ac:dyDescent="0.2">
      <c r="AR114" s="792">
        <v>118</v>
      </c>
      <c r="AS114" s="781">
        <f>IF(OR($C$12=$AR114,$D$12=$AR114),Schweine_Werte!$C114*0.5,IF(OR($C$12&gt;$AR114,$D$12&lt;$AR114),0,Schweine_Werte!$C114))</f>
        <v>0</v>
      </c>
      <c r="AT114" s="716">
        <f>IF(OR($C$24=$AR114,$D$24=$AR114),Schweine_Werte!$C114*0.5,IF(OR($C$24&gt;$AR114,$D$24&lt;$AR114),0,Schweine_Werte!$C114))</f>
        <v>0</v>
      </c>
      <c r="AU114" s="781">
        <f>IF(OR($C$36=$AR114,$D$36=$AR114),Schweine_Werte!$C114*0.5,IF(OR($C$36&gt;$AR114,$D$36&lt;$AR114),0,Schweine_Werte!$C114))</f>
        <v>0</v>
      </c>
      <c r="AV114" s="781">
        <f>IF(OR($C$48=$AR114,$D$48=$AR114),Schweine_Werte!$C114*0.5,IF(OR($C$48&gt;$AR114,$D$48&lt;$AR114),0,Schweine_Werte!$C114))</f>
        <v>0</v>
      </c>
      <c r="AW114" s="781">
        <f>IF(OR($C$60=$AR114,$D$60=$AR114),Schweine_Werte!$C114*0.5,IF(OR($C$60&gt;$AR114,$D$60&lt;$AR114),0,Schweine_Werte!$C114))</f>
        <v>0</v>
      </c>
      <c r="AX114" s="781">
        <f>IF(OR($C$12=$AR114,$D$12=$AR114),Schweine_Werte!$E114*0.5,IF(OR($C$12&gt;$AR114,$D$12&lt;$AR114),0,Schweine_Werte!$E114))</f>
        <v>0</v>
      </c>
      <c r="AY114" s="716">
        <f>IF(OR($C$24=$AR114,$D$24=$AR114),Schweine_Werte!$E114*0.5,IF(OR($C$24&gt;$AR114,$D$24&lt;$AR114),0,Schweine_Werte!$E114))</f>
        <v>0</v>
      </c>
      <c r="AZ114" s="716">
        <f>IF(OR($C$36=$AR114,$D$36=$AR114),Schweine_Werte!$E114*0.5,IF(OR($C$36&gt;$AR114,$D$36&lt;$AR114),0,Schweine_Werte!$E114))</f>
        <v>0</v>
      </c>
      <c r="BA114" s="716">
        <f>IF(OR($C$48=$AR114,$D$48=$AR114),Schweine_Werte!$E114*0.5,IF(OR($C$48&gt;$AR114,$D$48&lt;$AR114),0,Schweine_Werte!$E114))</f>
        <v>0</v>
      </c>
      <c r="BB114" s="716">
        <f>IF(OR($C$60=$AR114,$D$60=$AR114),Schweine_Werte!$E114*0.5,IF(OR($C$60&gt;$AR114,$D$60&lt;$AR114),0,Schweine_Werte!$E114))</f>
        <v>0</v>
      </c>
      <c r="BC114" s="781">
        <f>IF(OR($C$12=$AR114,$D$12=$AR114),Schweine_Werte!$G114*0.5,IF(OR($C$12&gt;$AR114,$D$12&lt;$AR114),0,Schweine_Werte!$G114))</f>
        <v>0</v>
      </c>
      <c r="BD114" s="716">
        <f>IF(OR($C$24=$AR114,$D$24=$AR114),Schweine_Werte!$G114*0.5,IF(OR($C$24&gt;$AR114,$D$24&lt;$AR114),0,Schweine_Werte!$G114))</f>
        <v>0</v>
      </c>
      <c r="BE114" s="716">
        <f>IF(OR($C$36=$AR114,$D$36=$AR114),Schweine_Werte!$G114*0.5,IF(OR($C$36&gt;$AR114,$D$36&lt;$AR114),0,Schweine_Werte!$G114))</f>
        <v>0</v>
      </c>
      <c r="BF114" s="716">
        <f>IF(OR($C$48=$AR114,$D$48=$AR114),Schweine_Werte!$G114*0.5,IF(OR($C$48&gt;$AR114,$D$48&lt;$AR114),0,Schweine_Werte!$G114))</f>
        <v>0</v>
      </c>
      <c r="BG114" s="716">
        <f>IF(OR($C$60=$AR114,$D$60=$AR114),Schweine_Werte!$G114*0.5,IF(OR($C$60&gt;$AR114,$D$60&lt;$AR114),0,Schweine_Werte!$G114))</f>
        <v>0</v>
      </c>
      <c r="BH114" s="781">
        <f>IF(OR($C$12=$AR114,$D$12=$AR114),Schweine_Werte!$I114*0.5,IF(OR($C$12&gt;$AR114,$D$12&lt;$AR114),0,Schweine_Werte!$I114))</f>
        <v>0</v>
      </c>
      <c r="BI114" s="716">
        <f>IF(OR($C$24=$AR114,$D$24=$AR114),Schweine_Werte!$I114*0.5,IF(OR($C$24&gt;$AR114,$D$24&lt;$AR114),0,Schweine_Werte!$I114))</f>
        <v>0</v>
      </c>
      <c r="BJ114" s="716">
        <f>IF(OR($C$36=$AR114,$D$36=$AR114),Schweine_Werte!$I114*0.5,IF(OR($C$36&gt;$AR114,$D$36&lt;$AR114),0,Schweine_Werte!$I114))</f>
        <v>0</v>
      </c>
      <c r="BK114" s="716">
        <f>IF(OR($C$48=$AR114,$D$48=$AR114),Schweine_Werte!$I114*0.5,IF(OR($C$48&gt;$AR114,$D$48&lt;$AR114),0,Schweine_Werte!$I114))</f>
        <v>0</v>
      </c>
      <c r="BL114" s="716">
        <f>IF(OR($C$60=$AR114,$D$60=$AR114),Schweine_Werte!$I114*0.5,IF(OR($C$60&gt;$AR114,$D$60&lt;$AR114),0,Schweine_Werte!$I114))</f>
        <v>0</v>
      </c>
      <c r="BM114" s="781"/>
      <c r="BN114" s="716"/>
      <c r="BO114" s="716"/>
      <c r="BP114" s="716"/>
      <c r="BQ114" s="716"/>
      <c r="BR114" s="781">
        <f>IF(OR($C$74=$AR114,$D$74=$AR114),Schweine_Werte!$M114*0.5,IF(OR($C$74&gt;$AR114,$D$74&lt;$AR114),0,Schweine_Werte!$M114))</f>
        <v>0</v>
      </c>
      <c r="BS114" s="781">
        <f>IF(OR($C$83=$AR114,$D$83=$AR114),Schweine_Werte!$M114*0.5,IF(OR($C$83&gt;$AR114,$D$83&lt;$AR114),0,Schweine_Werte!$M114))</f>
        <v>0</v>
      </c>
      <c r="BT114" s="783">
        <f>IF(OR($C$92=$AR114,$D$92=$AR114),Schweine_Werte!$M114*0.5,IF(OR($C$92&gt;$AR114,$D$92&lt;$AR114),0,Schweine_Werte!$M114))</f>
        <v>0</v>
      </c>
      <c r="BU114" s="783">
        <f>IF(OR($C$101=$AR114,$D$101=$AR114),Schweine_Werte!$M114*0.5,IF(OR($C$101&gt;$AR114,$D$101&lt;$AR114),0,Schweine_Werte!$M114))</f>
        <v>0</v>
      </c>
      <c r="BV114" s="783">
        <f>IF(OR($C$110=$AR114,$D$110=$AR114),Schweine_Werte!$M114*0.5,IF(OR($C$110&gt;$AR114,$D$110&lt;$AR114),0,Schweine_Werte!$M114))</f>
        <v>0</v>
      </c>
      <c r="BW114" s="783">
        <f>IF(OR(8=$AR114,$E$127=$AR114),Schweine_Werte!$M114*0.5,IF(OR(8&gt;$AR114,$E$127&lt;$AR114),0,Schweine_Werte!$M114))</f>
        <v>1.4477278921508818</v>
      </c>
      <c r="BX114" s="783">
        <f>IF(OR(8=$AR114,$E$145=$AR114),Schweine_Werte!$M114*0.5,IF(OR(8&gt;$AR114,$E$145&lt;$AR114),0,Schweine_Werte!$M114))</f>
        <v>1.4477278921508818</v>
      </c>
      <c r="BY114" s="781">
        <f>IF(OR($C$74=$AR114,$D$74=$AR114),Schweine_Werte!$O114*0.5,IF(OR($C$74&gt;$AR114,$D$74&lt;$AR114),0,Schweine_Werte!$O114))</f>
        <v>0</v>
      </c>
      <c r="BZ114" s="781">
        <f>IF(OR($C$83=$AR114,$D$83=$AR114),Schweine_Werte!$O114*0.5,IF(OR($C$83&gt;$AR114,$D$83&lt;$AR114),0,Schweine_Werte!$O114))</f>
        <v>0</v>
      </c>
      <c r="CA114" s="783">
        <f>IF(OR($C$92=$AR114,$D$92=$AR114),Schweine_Werte!$O114*0.5,IF(OR($C$92&gt;$AR114,$D$92&lt;$AR114),0,Schweine_Werte!$O114))</f>
        <v>0</v>
      </c>
      <c r="CB114" s="783">
        <f>IF(OR($C$101=$AR114,$D$101=$AR114),Schweine_Werte!$O114*0.5,IF(OR($C$101&gt;$AR114,$D$101&lt;$AR114),0,Schweine_Werte!$O114))</f>
        <v>0</v>
      </c>
      <c r="CC114" s="783">
        <f>IF(OR($C$110=$AR114,$D$110=$AR114),Schweine_Werte!$O114*0.5,IF(OR($C$110&gt;$AR114,$D$110&lt;$AR114),0,Schweine_Werte!$O114))</f>
        <v>0</v>
      </c>
    </row>
    <row r="115" spans="1:81" x14ac:dyDescent="0.2">
      <c r="AR115" s="792">
        <v>119</v>
      </c>
      <c r="AS115" s="781">
        <f>IF(OR($C$12=$AR115,$D$12=$AR115),Schweine_Werte!$C115*0.5,IF(OR($C$12&gt;$AR115,$D$12&lt;$AR115),0,Schweine_Werte!$C115))</f>
        <v>0</v>
      </c>
      <c r="AT115" s="716">
        <f>IF(OR($C$24=$AR115,$D$24=$AR115),Schweine_Werte!$C115*0.5,IF(OR($C$24&gt;$AR115,$D$24&lt;$AR115),0,Schweine_Werte!$C115))</f>
        <v>0</v>
      </c>
      <c r="AU115" s="781">
        <f>IF(OR($C$36=$AR115,$D$36=$AR115),Schweine_Werte!$C115*0.5,IF(OR($C$36&gt;$AR115,$D$36&lt;$AR115),0,Schweine_Werte!$C115))</f>
        <v>0</v>
      </c>
      <c r="AV115" s="781">
        <f>IF(OR($C$48=$AR115,$D$48=$AR115),Schweine_Werte!$C115*0.5,IF(OR($C$48&gt;$AR115,$D$48&lt;$AR115),0,Schweine_Werte!$C115))</f>
        <v>0</v>
      </c>
      <c r="AW115" s="781">
        <f>IF(OR($C$60=$AR115,$D$60=$AR115),Schweine_Werte!$C115*0.5,IF(OR($C$60&gt;$AR115,$D$60&lt;$AR115),0,Schweine_Werte!$C115))</f>
        <v>0</v>
      </c>
      <c r="AX115" s="781">
        <f>IF(OR($C$12=$AR115,$D$12=$AR115),Schweine_Werte!$E115*0.5,IF(OR($C$12&gt;$AR115,$D$12&lt;$AR115),0,Schweine_Werte!$E115))</f>
        <v>0</v>
      </c>
      <c r="AY115" s="716">
        <f>IF(OR($C$24=$AR115,$D$24=$AR115),Schweine_Werte!$E115*0.5,IF(OR($C$24&gt;$AR115,$D$24&lt;$AR115),0,Schweine_Werte!$E115))</f>
        <v>0</v>
      </c>
      <c r="AZ115" s="716">
        <f>IF(OR($C$36=$AR115,$D$36=$AR115),Schweine_Werte!$E115*0.5,IF(OR($C$36&gt;$AR115,$D$36&lt;$AR115),0,Schweine_Werte!$E115))</f>
        <v>0</v>
      </c>
      <c r="BA115" s="716">
        <f>IF(OR($C$48=$AR115,$D$48=$AR115),Schweine_Werte!$E115*0.5,IF(OR($C$48&gt;$AR115,$D$48&lt;$AR115),0,Schweine_Werte!$E115))</f>
        <v>0</v>
      </c>
      <c r="BB115" s="716">
        <f>IF(OR($C$60=$AR115,$D$60=$AR115),Schweine_Werte!$E115*0.5,IF(OR($C$60&gt;$AR115,$D$60&lt;$AR115),0,Schweine_Werte!$E115))</f>
        <v>0</v>
      </c>
      <c r="BC115" s="781">
        <f>IF(OR($C$12=$AR115,$D$12=$AR115),Schweine_Werte!$G115*0.5,IF(OR($C$12&gt;$AR115,$D$12&lt;$AR115),0,Schweine_Werte!$G115))</f>
        <v>0</v>
      </c>
      <c r="BD115" s="716">
        <f>IF(OR($C$24=$AR115,$D$24=$AR115),Schweine_Werte!$G115*0.5,IF(OR($C$24&gt;$AR115,$D$24&lt;$AR115),0,Schweine_Werte!$G115))</f>
        <v>0</v>
      </c>
      <c r="BE115" s="716">
        <f>IF(OR($C$36=$AR115,$D$36=$AR115),Schweine_Werte!$G115*0.5,IF(OR($C$36&gt;$AR115,$D$36&lt;$AR115),0,Schweine_Werte!$G115))</f>
        <v>0</v>
      </c>
      <c r="BF115" s="716">
        <f>IF(OR($C$48=$AR115,$D$48=$AR115),Schweine_Werte!$G115*0.5,IF(OR($C$48&gt;$AR115,$D$48&lt;$AR115),0,Schweine_Werte!$G115))</f>
        <v>0</v>
      </c>
      <c r="BG115" s="716">
        <f>IF(OR($C$60=$AR115,$D$60=$AR115),Schweine_Werte!$G115*0.5,IF(OR($C$60&gt;$AR115,$D$60&lt;$AR115),0,Schweine_Werte!$G115))</f>
        <v>0</v>
      </c>
      <c r="BH115" s="781">
        <f>IF(OR($C$12=$AR115,$D$12=$AR115),Schweine_Werte!$I115*0.5,IF(OR($C$12&gt;$AR115,$D$12&lt;$AR115),0,Schweine_Werte!$I115))</f>
        <v>0</v>
      </c>
      <c r="BI115" s="716">
        <f>IF(OR($C$24=$AR115,$D$24=$AR115),Schweine_Werte!$I115*0.5,IF(OR($C$24&gt;$AR115,$D$24&lt;$AR115),0,Schweine_Werte!$I115))</f>
        <v>0</v>
      </c>
      <c r="BJ115" s="716">
        <f>IF(OR($C$36=$AR115,$D$36=$AR115),Schweine_Werte!$I115*0.5,IF(OR($C$36&gt;$AR115,$D$36&lt;$AR115),0,Schweine_Werte!$I115))</f>
        <v>0</v>
      </c>
      <c r="BK115" s="716">
        <f>IF(OR($C$48=$AR115,$D$48=$AR115),Schweine_Werte!$I115*0.5,IF(OR($C$48&gt;$AR115,$D$48&lt;$AR115),0,Schweine_Werte!$I115))</f>
        <v>0</v>
      </c>
      <c r="BL115" s="716">
        <f>IF(OR($C$60=$AR115,$D$60=$AR115),Schweine_Werte!$I115*0.5,IF(OR($C$60&gt;$AR115,$D$60&lt;$AR115),0,Schweine_Werte!$I115))</f>
        <v>0</v>
      </c>
      <c r="BM115" s="781"/>
      <c r="BN115" s="716"/>
      <c r="BO115" s="716"/>
      <c r="BP115" s="716"/>
      <c r="BQ115" s="716"/>
      <c r="BR115" s="781">
        <f>IF(OR($C$74=$AR115,$D$74=$AR115),Schweine_Werte!$M115*0.5,IF(OR($C$74&gt;$AR115,$D$74&lt;$AR115),0,Schweine_Werte!$M115))</f>
        <v>0</v>
      </c>
      <c r="BS115" s="781">
        <f>IF(OR($C$83=$AR115,$D$83=$AR115),Schweine_Werte!$M115*0.5,IF(OR($C$83&gt;$AR115,$D$83&lt;$AR115),0,Schweine_Werte!$M115))</f>
        <v>0</v>
      </c>
      <c r="BT115" s="783">
        <f>IF(OR($C$92=$AR115,$D$92=$AR115),Schweine_Werte!$M115*0.5,IF(OR($C$92&gt;$AR115,$D$92&lt;$AR115),0,Schweine_Werte!$M115))</f>
        <v>0</v>
      </c>
      <c r="BU115" s="783">
        <f>IF(OR($C$101=$AR115,$D$101=$AR115),Schweine_Werte!$M115*0.5,IF(OR($C$101&gt;$AR115,$D$101&lt;$AR115),0,Schweine_Werte!$M115))</f>
        <v>0</v>
      </c>
      <c r="BV115" s="783">
        <f>IF(OR($C$110=$AR115,$D$110=$AR115),Schweine_Werte!$M115*0.5,IF(OR($C$110&gt;$AR115,$D$110&lt;$AR115),0,Schweine_Werte!$M115))</f>
        <v>0</v>
      </c>
      <c r="BW115" s="783">
        <f>IF(OR(8=$AR115,$E$127=$AR115),Schweine_Werte!$M115*0.5,IF(OR(8&gt;$AR115,$E$127&lt;$AR115),0,Schweine_Werte!$M115))</f>
        <v>1.4477278921508818</v>
      </c>
      <c r="BX115" s="783">
        <f>IF(OR(8=$AR115,$E$145=$AR115),Schweine_Werte!$M115*0.5,IF(OR(8&gt;$AR115,$E$145&lt;$AR115),0,Schweine_Werte!$M115))</f>
        <v>1.4477278921508818</v>
      </c>
      <c r="BY115" s="781">
        <f>IF(OR($C$74=$AR115,$D$74=$AR115),Schweine_Werte!$O115*0.5,IF(OR($C$74&gt;$AR115,$D$74&lt;$AR115),0,Schweine_Werte!$O115))</f>
        <v>0</v>
      </c>
      <c r="BZ115" s="781">
        <f>IF(OR($C$83=$AR115,$D$83=$AR115),Schweine_Werte!$O115*0.5,IF(OR($C$83&gt;$AR115,$D$83&lt;$AR115),0,Schweine_Werte!$O115))</f>
        <v>0</v>
      </c>
      <c r="CA115" s="783">
        <f>IF(OR($C$92=$AR115,$D$92=$AR115),Schweine_Werte!$O115*0.5,IF(OR($C$92&gt;$AR115,$D$92&lt;$AR115),0,Schweine_Werte!$O115))</f>
        <v>0</v>
      </c>
      <c r="CB115" s="783">
        <f>IF(OR($C$101=$AR115,$D$101=$AR115),Schweine_Werte!$O115*0.5,IF(OR($C$101&gt;$AR115,$D$101&lt;$AR115),0,Schweine_Werte!$O115))</f>
        <v>0</v>
      </c>
      <c r="CC115" s="783">
        <f>IF(OR($C$110=$AR115,$D$110=$AR115),Schweine_Werte!$O115*0.5,IF(OR($C$110&gt;$AR115,$D$110&lt;$AR115),0,Schweine_Werte!$O115))</f>
        <v>0</v>
      </c>
    </row>
    <row r="116" spans="1:81" ht="13.5" thickBot="1" x14ac:dyDescent="0.25">
      <c r="AR116" s="792">
        <v>120</v>
      </c>
      <c r="AS116" s="781">
        <f>IF(OR($C$12=$AR116,$D$12=$AR116),Schweine_Werte!$C116*0.5,IF(OR($C$12&gt;$AR116,$D$12&lt;$AR116),0,Schweine_Werte!$C116))</f>
        <v>0</v>
      </c>
      <c r="AT116" s="716">
        <f>IF(OR($C$24=$AR116,$D$24=$AR116),Schweine_Werte!$C116*0.5,IF(OR($C$24&gt;$AR116,$D$24&lt;$AR116),0,Schweine_Werte!$C116))</f>
        <v>0</v>
      </c>
      <c r="AU116" s="781">
        <f>IF(OR($C$36=$AR116,$D$36=$AR116),Schweine_Werte!$C116*0.5,IF(OR($C$36&gt;$AR116,$D$36&lt;$AR116),0,Schweine_Werte!$C116))</f>
        <v>0</v>
      </c>
      <c r="AV116" s="781">
        <f>IF(OR($C$48=$AR116,$D$48=$AR116),Schweine_Werte!$C116*0.5,IF(OR($C$48&gt;$AR116,$D$48&lt;$AR116),0,Schweine_Werte!$C116))</f>
        <v>0</v>
      </c>
      <c r="AW116" s="781">
        <f>IF(OR($C$60=$AR116,$D$60=$AR116),Schweine_Werte!$C116*0.5,IF(OR($C$60&gt;$AR116,$D$60&lt;$AR116),0,Schweine_Werte!$C116))</f>
        <v>0</v>
      </c>
      <c r="AX116" s="781">
        <f>IF(OR($C$12=$AR116,$D$12=$AR116),Schweine_Werte!$E116*0.5,IF(OR($C$12&gt;$AR116,$D$12&lt;$AR116),0,Schweine_Werte!$E116))</f>
        <v>0</v>
      </c>
      <c r="AY116" s="716">
        <f>IF(OR($C$24=$AR116,$D$24=$AR116),Schweine_Werte!$E116*0.5,IF(OR($C$24&gt;$AR116,$D$24&lt;$AR116),0,Schweine_Werte!$E116))</f>
        <v>0</v>
      </c>
      <c r="AZ116" s="716">
        <f>IF(OR($C$36=$AR116,$D$36=$AR116),Schweine_Werte!$E116*0.5,IF(OR($C$36&gt;$AR116,$D$36&lt;$AR116),0,Schweine_Werte!$E116))</f>
        <v>0</v>
      </c>
      <c r="BA116" s="716">
        <f>IF(OR($C$48=$AR116,$D$48=$AR116),Schweine_Werte!$E116*0.5,IF(OR($C$48&gt;$AR116,$D$48&lt;$AR116),0,Schweine_Werte!$E116))</f>
        <v>0</v>
      </c>
      <c r="BB116" s="716">
        <f>IF(OR($C$60=$AR116,$D$60=$AR116),Schweine_Werte!$E116*0.5,IF(OR($C$60&gt;$AR116,$D$60&lt;$AR116),0,Schweine_Werte!$E116))</f>
        <v>0</v>
      </c>
      <c r="BC116" s="781">
        <f>IF(OR($C$12=$AR116,$D$12=$AR116),Schweine_Werte!$G116*0.5,IF(OR($C$12&gt;$AR116,$D$12&lt;$AR116),0,Schweine_Werte!$G116))</f>
        <v>0</v>
      </c>
      <c r="BD116" s="716">
        <f>IF(OR($C$24=$AR116,$D$24=$AR116),Schweine_Werte!$G116*0.5,IF(OR($C$24&gt;$AR116,$D$24&lt;$AR116),0,Schweine_Werte!$G116))</f>
        <v>0</v>
      </c>
      <c r="BE116" s="716">
        <f>IF(OR($C$36=$AR116,$D$36=$AR116),Schweine_Werte!$G116*0.5,IF(OR($C$36&gt;$AR116,$D$36&lt;$AR116),0,Schweine_Werte!$G116))</f>
        <v>0</v>
      </c>
      <c r="BF116" s="716">
        <f>IF(OR($C$48=$AR116,$D$48=$AR116),Schweine_Werte!$G116*0.5,IF(OR($C$48&gt;$AR116,$D$48&lt;$AR116),0,Schweine_Werte!$G116))</f>
        <v>0</v>
      </c>
      <c r="BG116" s="716">
        <f>IF(OR($C$60=$AR116,$D$60=$AR116),Schweine_Werte!$G116*0.5,IF(OR($C$60&gt;$AR116,$D$60&lt;$AR116),0,Schweine_Werte!$G116))</f>
        <v>0</v>
      </c>
      <c r="BH116" s="781">
        <f>IF(OR($C$12=$AR116,$D$12=$AR116),Schweine_Werte!$I116*0.5,IF(OR($C$12&gt;$AR116,$D$12&lt;$AR116),0,Schweine_Werte!$I116))</f>
        <v>0</v>
      </c>
      <c r="BI116" s="716">
        <f>IF(OR($C$24=$AR116,$D$24=$AR116),Schweine_Werte!$I116*0.5,IF(OR($C$24&gt;$AR116,$D$24&lt;$AR116),0,Schweine_Werte!$I116))</f>
        <v>0</v>
      </c>
      <c r="BJ116" s="716">
        <f>IF(OR($C$36=$AR116,$D$36=$AR116),Schweine_Werte!$I116*0.5,IF(OR($C$36&gt;$AR116,$D$36&lt;$AR116),0,Schweine_Werte!$I116))</f>
        <v>0</v>
      </c>
      <c r="BK116" s="716">
        <f>IF(OR($C$48=$AR116,$D$48=$AR116),Schweine_Werte!$I116*0.5,IF(OR($C$48&gt;$AR116,$D$48&lt;$AR116),0,Schweine_Werte!$I116))</f>
        <v>0</v>
      </c>
      <c r="BL116" s="716">
        <f>IF(OR($C$60=$AR116,$D$60=$AR116),Schweine_Werte!$I116*0.5,IF(OR($C$60&gt;$AR116,$D$60&lt;$AR116),0,Schweine_Werte!$I116))</f>
        <v>0</v>
      </c>
      <c r="BM116" s="781"/>
      <c r="BN116" s="716"/>
      <c r="BO116" s="716"/>
      <c r="BP116" s="716"/>
      <c r="BQ116" s="716"/>
      <c r="BR116" s="781">
        <f>IF(OR($C$74=$AR116,$D$74=$AR116),Schweine_Werte!$M116*0.5,IF(OR($C$74&gt;$AR116,$D$74&lt;$AR116),0,Schweine_Werte!$M116))</f>
        <v>0</v>
      </c>
      <c r="BS116" s="781">
        <f>IF(OR($C$83=$AR116,$D$83=$AR116),Schweine_Werte!$M116*0.5,IF(OR($C$83&gt;$AR116,$D$83&lt;$AR116),0,Schweine_Werte!$M116))</f>
        <v>0</v>
      </c>
      <c r="BT116" s="783">
        <f>IF(OR($C$92=$AR116,$D$92=$AR116),Schweine_Werte!$M116*0.5,IF(OR($C$92&gt;$AR116,$D$92&lt;$AR116),0,Schweine_Werte!$M116))</f>
        <v>0</v>
      </c>
      <c r="BU116" s="783">
        <f>IF(OR($C$101=$AR116,$D$101=$AR116),Schweine_Werte!$M116*0.5,IF(OR($C$101&gt;$AR116,$D$101&lt;$AR116),0,Schweine_Werte!$M116))</f>
        <v>0</v>
      </c>
      <c r="BV116" s="783">
        <f>IF(OR($C$110=$AR116,$D$110=$AR116),Schweine_Werte!$M116*0.5,IF(OR($C$110&gt;$AR116,$D$110&lt;$AR116),0,Schweine_Werte!$M116))</f>
        <v>0</v>
      </c>
      <c r="BW116" s="783">
        <f>IF(OR(8=$AR116,$E$127=$AR116),Schweine_Werte!$M116*0.5,IF(OR(8&gt;$AR116,$E$127&lt;$AR116),0,Schweine_Werte!$M116))</f>
        <v>1.4477278921508818</v>
      </c>
      <c r="BX116" s="783">
        <f>IF(OR(8=$AR116,$E$145=$AR116),Schweine_Werte!$M116*0.5,IF(OR(8&gt;$AR116,$E$145&lt;$AR116),0,Schweine_Werte!$M116))</f>
        <v>1.4477278921508818</v>
      </c>
      <c r="BY116" s="781">
        <f>IF(OR($C$74=$AR116,$D$74=$AR116),Schweine_Werte!$O116*0.5,IF(OR($C$74&gt;$AR116,$D$74&lt;$AR116),0,Schweine_Werte!$O116))</f>
        <v>0</v>
      </c>
      <c r="BZ116" s="781">
        <f>IF(OR($C$83=$AR116,$D$83=$AR116),Schweine_Werte!$O116*0.5,IF(OR($C$83&gt;$AR116,$D$83&lt;$AR116),0,Schweine_Werte!$O116))</f>
        <v>0</v>
      </c>
      <c r="CA116" s="783">
        <f>IF(OR($C$92=$AR116,$D$92=$AR116),Schweine_Werte!$O116*0.5,IF(OR($C$92&gt;$AR116,$D$92&lt;$AR116),0,Schweine_Werte!$O116))</f>
        <v>0</v>
      </c>
      <c r="CB116" s="783">
        <f>IF(OR($C$101=$AR116,$D$101=$AR116),Schweine_Werte!$O116*0.5,IF(OR($C$101&gt;$AR116,$D$101&lt;$AR116),0,Schweine_Werte!$O116))</f>
        <v>0</v>
      </c>
      <c r="CC116" s="783">
        <f>IF(OR($C$110=$AR116,$D$110=$AR116),Schweine_Werte!$O116*0.5,IF(OR($C$110&gt;$AR116,$D$110&lt;$AR116),0,Schweine_Werte!$O116))</f>
        <v>0</v>
      </c>
    </row>
    <row r="117" spans="1:81" ht="18.75" x14ac:dyDescent="0.3">
      <c r="B117" s="1602" t="s">
        <v>7797</v>
      </c>
      <c r="C117" s="1603"/>
      <c r="D117" s="1603"/>
      <c r="E117" s="1603"/>
      <c r="F117" s="1603"/>
      <c r="G117" s="1604"/>
      <c r="H117" s="793"/>
      <c r="I117" s="770"/>
      <c r="J117" s="770"/>
      <c r="K117" s="770"/>
      <c r="L117" s="770"/>
      <c r="M117" s="770"/>
      <c r="N117" s="770"/>
      <c r="O117" s="770"/>
      <c r="P117" s="770"/>
      <c r="Q117" s="770"/>
      <c r="R117" s="770"/>
      <c r="S117" s="770"/>
      <c r="T117" s="770"/>
      <c r="U117" s="770"/>
      <c r="V117" s="770"/>
      <c r="W117" s="770"/>
      <c r="X117" s="770"/>
      <c r="Y117" s="770"/>
      <c r="AR117" s="792">
        <v>121</v>
      </c>
      <c r="AS117" s="781">
        <f>IF(OR($C$12=$AR117,$D$12=$AR117),Schweine_Werte!$C117*0.5,IF(OR($C$12&gt;$AR117,$D$12&lt;$AR117),0,Schweine_Werte!$C117))</f>
        <v>0</v>
      </c>
      <c r="AT117" s="716">
        <f>IF(OR($C$24=$AR117,$D$24=$AR117),Schweine_Werte!$C117*0.5,IF(OR($C$24&gt;$AR117,$D$24&lt;$AR117),0,Schweine_Werte!$C117))</f>
        <v>0</v>
      </c>
      <c r="AU117" s="781">
        <f>IF(OR($C$36=$AR117,$D$36=$AR117),Schweine_Werte!$C117*0.5,IF(OR($C$36&gt;$AR117,$D$36&lt;$AR117),0,Schweine_Werte!$C117))</f>
        <v>0</v>
      </c>
      <c r="AV117" s="781">
        <f>IF(OR($C$48=$AR117,$D$48=$AR117),Schweine_Werte!$C117*0.5,IF(OR($C$48&gt;$AR117,$D$48&lt;$AR117),0,Schweine_Werte!$C117))</f>
        <v>0</v>
      </c>
      <c r="AW117" s="781">
        <f>IF(OR($C$60=$AR117,$D$60=$AR117),Schweine_Werte!$C117*0.5,IF(OR($C$60&gt;$AR117,$D$60&lt;$AR117),0,Schweine_Werte!$C117))</f>
        <v>0</v>
      </c>
      <c r="AX117" s="781">
        <f>IF(OR($C$12=$AR117,$D$12=$AR117),Schweine_Werte!$E117*0.5,IF(OR($C$12&gt;$AR117,$D$12&lt;$AR117),0,Schweine_Werte!$E117))</f>
        <v>0</v>
      </c>
      <c r="AY117" s="716">
        <f>IF(OR($C$24=$AR117,$D$24=$AR117),Schweine_Werte!$E117*0.5,IF(OR($C$24&gt;$AR117,$D$24&lt;$AR117),0,Schweine_Werte!$E117))</f>
        <v>0</v>
      </c>
      <c r="AZ117" s="716">
        <f>IF(OR($C$36=$AR117,$D$36=$AR117),Schweine_Werte!$E117*0.5,IF(OR($C$36&gt;$AR117,$D$36&lt;$AR117),0,Schweine_Werte!$E117))</f>
        <v>0</v>
      </c>
      <c r="BA117" s="716">
        <f>IF(OR($C$48=$AR117,$D$48=$AR117),Schweine_Werte!$E117*0.5,IF(OR($C$48&gt;$AR117,$D$48&lt;$AR117),0,Schweine_Werte!$E117))</f>
        <v>0</v>
      </c>
      <c r="BB117" s="716">
        <f>IF(OR($C$60=$AR117,$D$60=$AR117),Schweine_Werte!$E117*0.5,IF(OR($C$60&gt;$AR117,$D$60&lt;$AR117),0,Schweine_Werte!$E117))</f>
        <v>0</v>
      </c>
      <c r="BC117" s="781">
        <f>IF(OR($C$12=$AR117,$D$12=$AR117),Schweine_Werte!$G117*0.5,IF(OR($C$12&gt;$AR117,$D$12&lt;$AR117),0,Schweine_Werte!$G117))</f>
        <v>0</v>
      </c>
      <c r="BD117" s="716">
        <f>IF(OR($C$24=$AR117,$D$24=$AR117),Schweine_Werte!$G117*0.5,IF(OR($C$24&gt;$AR117,$D$24&lt;$AR117),0,Schweine_Werte!$G117))</f>
        <v>0</v>
      </c>
      <c r="BE117" s="716">
        <f>IF(OR($C$36=$AR117,$D$36=$AR117),Schweine_Werte!$G117*0.5,IF(OR($C$36&gt;$AR117,$D$36&lt;$AR117),0,Schweine_Werte!$G117))</f>
        <v>0</v>
      </c>
      <c r="BF117" s="716">
        <f>IF(OR($C$48=$AR117,$D$48=$AR117),Schweine_Werte!$G117*0.5,IF(OR($C$48&gt;$AR117,$D$48&lt;$AR117),0,Schweine_Werte!$G117))</f>
        <v>0</v>
      </c>
      <c r="BG117" s="716">
        <f>IF(OR($C$60=$AR117,$D$60=$AR117),Schweine_Werte!$G117*0.5,IF(OR($C$60&gt;$AR117,$D$60&lt;$AR117),0,Schweine_Werte!$G117))</f>
        <v>0</v>
      </c>
      <c r="BH117" s="781">
        <f>IF(OR($C$12=$AR117,$D$12=$AR117),Schweine_Werte!$I117*0.5,IF(OR($C$12&gt;$AR117,$D$12&lt;$AR117),0,Schweine_Werte!$I117))</f>
        <v>0</v>
      </c>
      <c r="BI117" s="716">
        <f>IF(OR($C$24=$AR117,$D$24=$AR117),Schweine_Werte!$I117*0.5,IF(OR($C$24&gt;$AR117,$D$24&lt;$AR117),0,Schweine_Werte!$I117))</f>
        <v>0</v>
      </c>
      <c r="BJ117" s="716">
        <f>IF(OR($C$36=$AR117,$D$36=$AR117),Schweine_Werte!$I117*0.5,IF(OR($C$36&gt;$AR117,$D$36&lt;$AR117),0,Schweine_Werte!$I117))</f>
        <v>0</v>
      </c>
      <c r="BK117" s="716">
        <f>IF(OR($C$48=$AR117,$D$48=$AR117),Schweine_Werte!$I117*0.5,IF(OR($C$48&gt;$AR117,$D$48&lt;$AR117),0,Schweine_Werte!$I117))</f>
        <v>0</v>
      </c>
      <c r="BL117" s="716">
        <f>IF(OR($C$60=$AR117,$D$60=$AR117),Schweine_Werte!$I117*0.5,IF(OR($C$60&gt;$AR117,$D$60&lt;$AR117),0,Schweine_Werte!$I117))</f>
        <v>0</v>
      </c>
      <c r="BM117" s="781"/>
      <c r="BN117" s="716"/>
      <c r="BO117" s="716"/>
      <c r="BP117" s="716"/>
      <c r="BQ117" s="716"/>
      <c r="BR117" s="781">
        <f>IF(OR($C$74=$AR117,$D$74=$AR117),Schweine_Werte!$M117*0.5,IF(OR($C$74&gt;$AR117,$D$74&lt;$AR117),0,Schweine_Werte!$M117))</f>
        <v>0</v>
      </c>
      <c r="BS117" s="781">
        <f>IF(OR($C$83=$AR117,$D$83=$AR117),Schweine_Werte!$M117*0.5,IF(OR($C$83&gt;$AR117,$D$83&lt;$AR117),0,Schweine_Werte!$M117))</f>
        <v>0</v>
      </c>
      <c r="BT117" s="783">
        <f>IF(OR($C$92=$AR117,$D$92=$AR117),Schweine_Werte!$M117*0.5,IF(OR($C$92&gt;$AR117,$D$92&lt;$AR117),0,Schweine_Werte!$M117))</f>
        <v>0</v>
      </c>
      <c r="BU117" s="783">
        <f>IF(OR($C$101=$AR117,$D$101=$AR117),Schweine_Werte!$M117*0.5,IF(OR($C$101&gt;$AR117,$D$101&lt;$AR117),0,Schweine_Werte!$M117))</f>
        <v>0</v>
      </c>
      <c r="BV117" s="783">
        <f>IF(OR($C$110=$AR117,$D$110=$AR117),Schweine_Werte!$M117*0.5,IF(OR($C$110&gt;$AR117,$D$110&lt;$AR117),0,Schweine_Werte!$M117))</f>
        <v>0</v>
      </c>
      <c r="BW117" s="783">
        <f>IF(OR(8=$AR117,$E$127=$AR117),Schweine_Werte!$M117*0.5,IF(OR(8&gt;$AR117,$E$127&lt;$AR117),0,Schweine_Werte!$M117))</f>
        <v>1.4477278921508818</v>
      </c>
      <c r="BX117" s="783">
        <f>IF(OR(8=$AR117,$E$145=$AR117),Schweine_Werte!$M117*0.5,IF(OR(8&gt;$AR117,$E$145&lt;$AR117),0,Schweine_Werte!$M117))</f>
        <v>1.4477278921508818</v>
      </c>
      <c r="BY117" s="781">
        <f>IF(OR($C$74=$AR117,$D$74=$AR117),Schweine_Werte!$O117*0.5,IF(OR($C$74&gt;$AR117,$D$74&lt;$AR117),0,Schweine_Werte!$O117))</f>
        <v>0</v>
      </c>
      <c r="BZ117" s="781">
        <f>IF(OR($C$83=$AR117,$D$83=$AR117),Schweine_Werte!$O117*0.5,IF(OR($C$83&gt;$AR117,$D$83&lt;$AR117),0,Schweine_Werte!$O117))</f>
        <v>0</v>
      </c>
      <c r="CA117" s="783">
        <f>IF(OR($C$92=$AR117,$D$92=$AR117),Schweine_Werte!$O117*0.5,IF(OR($C$92&gt;$AR117,$D$92&lt;$AR117),0,Schweine_Werte!$O117))</f>
        <v>0</v>
      </c>
      <c r="CB117" s="783">
        <f>IF(OR($C$101=$AR117,$D$101=$AR117),Schweine_Werte!$O117*0.5,IF(OR($C$101&gt;$AR117,$D$101&lt;$AR117),0,Schweine_Werte!$O117))</f>
        <v>0</v>
      </c>
      <c r="CC117" s="783">
        <f>IF(OR($C$110=$AR117,$D$110=$AR117),Schweine_Werte!$O117*0.5,IF(OR($C$110&gt;$AR117,$D$110&lt;$AR117),0,Schweine_Werte!$O117))</f>
        <v>0</v>
      </c>
    </row>
    <row r="118" spans="1:81" ht="18.75" x14ac:dyDescent="0.3">
      <c r="B118" t="s">
        <v>7718</v>
      </c>
      <c r="D118" t="s">
        <v>7719</v>
      </c>
      <c r="G118" t="s">
        <v>7720</v>
      </c>
      <c r="H118" s="770"/>
      <c r="I118" s="770"/>
      <c r="J118" s="770"/>
      <c r="K118" s="770"/>
      <c r="L118" s="770"/>
      <c r="M118" s="770"/>
      <c r="N118" s="770"/>
      <c r="O118" t="s">
        <v>7730</v>
      </c>
      <c r="P118" s="716" t="s">
        <v>7731</v>
      </c>
      <c r="Q118" s="716"/>
      <c r="R118" s="716"/>
      <c r="S118" s="716"/>
      <c r="T118" s="770"/>
      <c r="U118" s="770"/>
      <c r="V118" s="770"/>
      <c r="AR118" s="792">
        <v>122</v>
      </c>
      <c r="AS118" s="781">
        <f>IF(OR($C$12=$AR118,$D$12=$AR118),Schweine_Werte!$C118*0.5,IF(OR($C$12&gt;$AR118,$D$12&lt;$AR118),0,Schweine_Werte!$C118))</f>
        <v>0</v>
      </c>
      <c r="AT118" s="716">
        <f>IF(OR($C$24=$AR118,$D$24=$AR118),Schweine_Werte!$C118*0.5,IF(OR($C$24&gt;$AR118,$D$24&lt;$AR118),0,Schweine_Werte!$C118))</f>
        <v>0</v>
      </c>
      <c r="AU118" s="781">
        <f>IF(OR($C$36=$AR118,$D$36=$AR118),Schweine_Werte!$C118*0.5,IF(OR($C$36&gt;$AR118,$D$36&lt;$AR118),0,Schweine_Werte!$C118))</f>
        <v>0</v>
      </c>
      <c r="AV118" s="781">
        <f>IF(OR($C$48=$AR118,$D$48=$AR118),Schweine_Werte!$C118*0.5,IF(OR($C$48&gt;$AR118,$D$48&lt;$AR118),0,Schweine_Werte!$C118))</f>
        <v>0</v>
      </c>
      <c r="AW118" s="781">
        <f>IF(OR($C$60=$AR118,$D$60=$AR118),Schweine_Werte!$C118*0.5,IF(OR($C$60&gt;$AR118,$D$60&lt;$AR118),0,Schweine_Werte!$C118))</f>
        <v>0</v>
      </c>
      <c r="AX118" s="781">
        <f>IF(OR($C$12=$AR118,$D$12=$AR118),Schweine_Werte!$E118*0.5,IF(OR($C$12&gt;$AR118,$D$12&lt;$AR118),0,Schweine_Werte!$E118))</f>
        <v>0</v>
      </c>
      <c r="AY118" s="716">
        <f>IF(OR($C$24=$AR118,$D$24=$AR118),Schweine_Werte!$E118*0.5,IF(OR($C$24&gt;$AR118,$D$24&lt;$AR118),0,Schweine_Werte!$E118))</f>
        <v>0</v>
      </c>
      <c r="AZ118" s="716">
        <f>IF(OR($C$36=$AR118,$D$36=$AR118),Schweine_Werte!$E118*0.5,IF(OR($C$36&gt;$AR118,$D$36&lt;$AR118),0,Schweine_Werte!$E118))</f>
        <v>0</v>
      </c>
      <c r="BA118" s="716">
        <f>IF(OR($C$48=$AR118,$D$48=$AR118),Schweine_Werte!$E118*0.5,IF(OR($C$48&gt;$AR118,$D$48&lt;$AR118),0,Schweine_Werte!$E118))</f>
        <v>0</v>
      </c>
      <c r="BB118" s="716">
        <f>IF(OR($C$60=$AR118,$D$60=$AR118),Schweine_Werte!$E118*0.5,IF(OR($C$60&gt;$AR118,$D$60&lt;$AR118),0,Schweine_Werte!$E118))</f>
        <v>0</v>
      </c>
      <c r="BC118" s="781">
        <f>IF(OR($C$12=$AR118,$D$12=$AR118),Schweine_Werte!$G118*0.5,IF(OR($C$12&gt;$AR118,$D$12&lt;$AR118),0,Schweine_Werte!$G118))</f>
        <v>0</v>
      </c>
      <c r="BD118" s="716">
        <f>IF(OR($C$24=$AR118,$D$24=$AR118),Schweine_Werte!$G118*0.5,IF(OR($C$24&gt;$AR118,$D$24&lt;$AR118),0,Schweine_Werte!$G118))</f>
        <v>0</v>
      </c>
      <c r="BE118" s="716">
        <f>IF(OR($C$36=$AR118,$D$36=$AR118),Schweine_Werte!$G118*0.5,IF(OR($C$36&gt;$AR118,$D$36&lt;$AR118),0,Schweine_Werte!$G118))</f>
        <v>0</v>
      </c>
      <c r="BF118" s="716">
        <f>IF(OR($C$48=$AR118,$D$48=$AR118),Schweine_Werte!$G118*0.5,IF(OR($C$48&gt;$AR118,$D$48&lt;$AR118),0,Schweine_Werte!$G118))</f>
        <v>0</v>
      </c>
      <c r="BG118" s="716">
        <f>IF(OR($C$60=$AR118,$D$60=$AR118),Schweine_Werte!$G118*0.5,IF(OR($C$60&gt;$AR118,$D$60&lt;$AR118),0,Schweine_Werte!$G118))</f>
        <v>0</v>
      </c>
      <c r="BH118" s="781">
        <f>IF(OR($C$12=$AR118,$D$12=$AR118),Schweine_Werte!$I118*0.5,IF(OR($C$12&gt;$AR118,$D$12&lt;$AR118),0,Schweine_Werte!$I118))</f>
        <v>0</v>
      </c>
      <c r="BI118" s="716">
        <f>IF(OR($C$24=$AR118,$D$24=$AR118),Schweine_Werte!$I118*0.5,IF(OR($C$24&gt;$AR118,$D$24&lt;$AR118),0,Schweine_Werte!$I118))</f>
        <v>0</v>
      </c>
      <c r="BJ118" s="716">
        <f>IF(OR($C$36=$AR118,$D$36=$AR118),Schweine_Werte!$I118*0.5,IF(OR($C$36&gt;$AR118,$D$36&lt;$AR118),0,Schweine_Werte!$I118))</f>
        <v>0</v>
      </c>
      <c r="BK118" s="716">
        <f>IF(OR($C$48=$AR118,$D$48=$AR118),Schweine_Werte!$I118*0.5,IF(OR($C$48&gt;$AR118,$D$48&lt;$AR118),0,Schweine_Werte!$I118))</f>
        <v>0</v>
      </c>
      <c r="BL118" s="716">
        <f>IF(OR($C$60=$AR118,$D$60=$AR118),Schweine_Werte!$I118*0.5,IF(OR($C$60&gt;$AR118,$D$60&lt;$AR118),0,Schweine_Werte!$I118))</f>
        <v>0</v>
      </c>
      <c r="BM118" s="781"/>
      <c r="BN118" s="716"/>
      <c r="BO118" s="716"/>
      <c r="BP118" s="716"/>
      <c r="BQ118" s="716"/>
      <c r="BR118" s="781">
        <f>IF(OR($C$74=$AR118,$D$74=$AR118),Schweine_Werte!$M118*0.5,IF(OR($C$74&gt;$AR118,$D$74&lt;$AR118),0,Schweine_Werte!$M118))</f>
        <v>0</v>
      </c>
      <c r="BS118" s="781">
        <f>IF(OR($C$83=$AR118,$D$83=$AR118),Schweine_Werte!$M118*0.5,IF(OR($C$83&gt;$AR118,$D$83&lt;$AR118),0,Schweine_Werte!$M118))</f>
        <v>0</v>
      </c>
      <c r="BT118" s="783">
        <f>IF(OR($C$92=$AR118,$D$92=$AR118),Schweine_Werte!$M118*0.5,IF(OR($C$92&gt;$AR118,$D$92&lt;$AR118),0,Schweine_Werte!$M118))</f>
        <v>0</v>
      </c>
      <c r="BU118" s="783">
        <f>IF(OR($C$101=$AR118,$D$101=$AR118),Schweine_Werte!$M118*0.5,IF(OR($C$101&gt;$AR118,$D$101&lt;$AR118),0,Schweine_Werte!$M118))</f>
        <v>0</v>
      </c>
      <c r="BV118" s="783">
        <f>IF(OR($C$110=$AR118,$D$110=$AR118),Schweine_Werte!$M118*0.5,IF(OR($C$110&gt;$AR118,$D$110&lt;$AR118),0,Schweine_Werte!$M118))</f>
        <v>0</v>
      </c>
      <c r="BW118" s="783">
        <f>IF(OR(8=$AR118,$E$127=$AR118),Schweine_Werte!$M118*0.5,IF(OR(8&gt;$AR118,$E$127&lt;$AR118),0,Schweine_Werte!$M118))</f>
        <v>1.4477278921508818</v>
      </c>
      <c r="BX118" s="783">
        <f>IF(OR(8=$AR118,$E$145=$AR118),Schweine_Werte!$M118*0.5,IF(OR(8&gt;$AR118,$E$145&lt;$AR118),0,Schweine_Werte!$M118))</f>
        <v>1.4477278921508818</v>
      </c>
      <c r="BY118" s="781">
        <f>IF(OR($C$74=$AR118,$D$74=$AR118),Schweine_Werte!$O118*0.5,IF(OR($C$74&gt;$AR118,$D$74&lt;$AR118),0,Schweine_Werte!$O118))</f>
        <v>0</v>
      </c>
      <c r="BZ118" s="781">
        <f>IF(OR($C$83=$AR118,$D$83=$AR118),Schweine_Werte!$O118*0.5,IF(OR($C$83&gt;$AR118,$D$83&lt;$AR118),0,Schweine_Werte!$O118))</f>
        <v>0</v>
      </c>
      <c r="CA118" s="783">
        <f>IF(OR($C$92=$AR118,$D$92=$AR118),Schweine_Werte!$O118*0.5,IF(OR($C$92&gt;$AR118,$D$92&lt;$AR118),0,Schweine_Werte!$O118))</f>
        <v>0</v>
      </c>
      <c r="CB118" s="783">
        <f>IF(OR($C$101=$AR118,$D$101=$AR118),Schweine_Werte!$O118*0.5,IF(OR($C$101&gt;$AR118,$D$101&lt;$AR118),0,Schweine_Werte!$O118))</f>
        <v>0</v>
      </c>
      <c r="CC118" s="783">
        <f>IF(OR($C$110=$AR118,$D$110=$AR118),Schweine_Werte!$O118*0.5,IF(OR($C$110&gt;$AR118,$D$110&lt;$AR118),0,Schweine_Werte!$O118))</f>
        <v>0</v>
      </c>
    </row>
    <row r="119" spans="1:81" x14ac:dyDescent="0.2">
      <c r="B119" t="e">
        <f>+(E127-8)/0.45</f>
        <v>#VALUE!</v>
      </c>
      <c r="C119" t="s">
        <v>7643</v>
      </c>
      <c r="F119" s="716" t="e">
        <f>IF($E127&lt;=8,0,$B122*SUMPRODUCT($BW$4:$BW$31,Schweine_Werte!$V$4:$V$31)/SUM($BW$4:$BW$31))</f>
        <v>#VALUE!</v>
      </c>
      <c r="G119" s="716" t="e">
        <f>IF($E127&lt;=8,0,IF($B127=$A$8,SUMPRODUCT($BW$4:$BW$31,Schweine_Werte!HE$4:HE$31)/SUM($BW$4:$BW$31),IF($B127=$A$7,SUMPRODUCT($BW$4:$BW$31,Schweine_Werte!GQ$4:GQ$31)/SUM($BW$4:$BW$31),IF($B127=$A$6,SUMPRODUCT($BW$4:$BW$31,Schweine_Werte!GC$4:GC$31)/SUM($BW$4:$BW$31),SUMPRODUCT($BW$4:$BW$31,Schweine_Werte!FO$4:FO$31)/SUM($BW$4:$BW$31))))*$B122)</f>
        <v>#VALUE!</v>
      </c>
      <c r="H119" s="716" t="e">
        <f>IF($E127&lt;=8,0,IF($B127=$A$8,SUMPRODUCT($BW$4:$BW$31,Schweine_Werte!HF$4:HF$31)/SUM($BW$4:$BW$31),IF($B127=$A$7,SUMPRODUCT($BW$4:$BW$31,Schweine_Werte!GR$4:GR$31)/SUM($BW$4:$BW$31),IF($B127=$A$6,SUMPRODUCT($BW$4:$BW$31,Schweine_Werte!GD$4:GD$31)/SUM($BW$4:$BW$31),SUMPRODUCT($BW$4:$BW$31,Schweine_Werte!FP$4:FP$31)/SUM($BW$4:$BW$31))))*$B122)</f>
        <v>#VALUE!</v>
      </c>
      <c r="I119" s="716" t="e">
        <f>IF($E127&lt;=8,0,IF($B127=$A$8,SUMPRODUCT($BW$4:$BW$31,Schweine_Werte!HG$4:HG$31)/SUM($BW$4:$BW$31),IF($B127=$A$7,SUMPRODUCT($BW$4:$BW$31,Schweine_Werte!GS$4:GS$31)/SUM($BW$4:$BW$31),IF($B127=$A$6,SUMPRODUCT($BW$4:$BW$31,Schweine_Werte!GE$4:GE$31)/SUM($BW$4:$BW$31),SUMPRODUCT($BW$4:$BW$31,Schweine_Werte!FQ$4:FQ$31)/SUM($BW$4:$BW$31))))*$B122)</f>
        <v>#VALUE!</v>
      </c>
      <c r="J119" s="716" t="e">
        <f>SUMPRODUCT($BW$4:$BW$31,Schweine_Werte!$AD$4:$AD$31)/SUM($BW$4:$BW$31)*$B122</f>
        <v>#VALUE!</v>
      </c>
      <c r="K119" s="716" t="e">
        <f>SUMPRODUCT($BW$4:$BW$31,Schweine_Werte!$AL$4:$AL$31)/SUM($BW$4:$BW$31)*$B122</f>
        <v>#VALUE!</v>
      </c>
      <c r="L119" s="716"/>
      <c r="M119" s="716"/>
      <c r="N119" s="716"/>
      <c r="O119" s="716">
        <f>SUM($BW$4:$BW$23)+IF($E127&gt;28,$BW$24*0.5,$BW$24)</f>
        <v>44.44444444444445</v>
      </c>
      <c r="P119" s="716">
        <f>IF($E127&gt;28,SUM($BW$25:$BW$31)+$BW$24*0.5,0)</f>
        <v>11.390271160403584</v>
      </c>
      <c r="Q119" s="716" t="e">
        <f t="shared" ref="Q119:S120" si="55">T119*$F119</f>
        <v>#VALUE!</v>
      </c>
      <c r="R119" s="716" t="e">
        <f t="shared" si="55"/>
        <v>#VALUE!</v>
      </c>
      <c r="S119" s="716" t="e">
        <f t="shared" si="55"/>
        <v>#VALUE!</v>
      </c>
      <c r="T119" s="716">
        <f>+IF($E127&lt;=8,0,($O119*Schweine_Werte!$HT$15+$P119*Schweine_Werte!$HU$15)/SUM($O119:$P119))</f>
        <v>7.0161806212562894</v>
      </c>
      <c r="U119" s="716">
        <f>IF(E127&lt;=8,0,($O119*Schweine_Werte!$HV$15+$P119*Schweine_Werte!$HW$15)/SUM($O119:$P119))</f>
        <v>7.5920003876794322</v>
      </c>
      <c r="V119" s="716">
        <f>IF(E127&lt;=8,0,($O119*Schweine_Werte!$HX$15+$P119*Schweine_Werte!$HY$15)/SUM($O119:$P119))</f>
        <v>11</v>
      </c>
      <c r="AR119" s="792">
        <v>123</v>
      </c>
      <c r="AS119" s="781">
        <f>IF(OR($C$12=$AR119,$D$12=$AR119),Schweine_Werte!$C119*0.5,IF(OR($C$12&gt;$AR119,$D$12&lt;$AR119),0,Schweine_Werte!$C119))</f>
        <v>0</v>
      </c>
      <c r="AT119" s="716">
        <f>IF(OR($C$24=$AR119,$D$24=$AR119),Schweine_Werte!$C119*0.5,IF(OR($C$24&gt;$AR119,$D$24&lt;$AR119),0,Schweine_Werte!$C119))</f>
        <v>0</v>
      </c>
      <c r="AU119" s="781">
        <f>IF(OR($C$36=$AR119,$D$36=$AR119),Schweine_Werte!$C119*0.5,IF(OR($C$36&gt;$AR119,$D$36&lt;$AR119),0,Schweine_Werte!$C119))</f>
        <v>0</v>
      </c>
      <c r="AV119" s="781">
        <f>IF(OR($C$48=$AR119,$D$48=$AR119),Schweine_Werte!$C119*0.5,IF(OR($C$48&gt;$AR119,$D$48&lt;$AR119),0,Schweine_Werte!$C119))</f>
        <v>0</v>
      </c>
      <c r="AW119" s="781">
        <f>IF(OR($C$60=$AR119,$D$60=$AR119),Schweine_Werte!$C119*0.5,IF(OR($C$60&gt;$AR119,$D$60&lt;$AR119),0,Schweine_Werte!$C119))</f>
        <v>0</v>
      </c>
      <c r="AX119" s="781">
        <f>IF(OR($C$12=$AR119,$D$12=$AR119),Schweine_Werte!$E119*0.5,IF(OR($C$12&gt;$AR119,$D$12&lt;$AR119),0,Schweine_Werte!$E119))</f>
        <v>0</v>
      </c>
      <c r="AY119" s="716">
        <f>IF(OR($C$24=$AR119,$D$24=$AR119),Schweine_Werte!$E119*0.5,IF(OR($C$24&gt;$AR119,$D$24&lt;$AR119),0,Schweine_Werte!$E119))</f>
        <v>0</v>
      </c>
      <c r="AZ119" s="716">
        <f>IF(OR($C$36=$AR119,$D$36=$AR119),Schweine_Werte!$E119*0.5,IF(OR($C$36&gt;$AR119,$D$36&lt;$AR119),0,Schweine_Werte!$E119))</f>
        <v>0</v>
      </c>
      <c r="BA119" s="716">
        <f>IF(OR($C$48=$AR119,$D$48=$AR119),Schweine_Werte!$E119*0.5,IF(OR($C$48&gt;$AR119,$D$48&lt;$AR119),0,Schweine_Werte!$E119))</f>
        <v>0</v>
      </c>
      <c r="BB119" s="716">
        <f>IF(OR($C$60=$AR119,$D$60=$AR119),Schweine_Werte!$E119*0.5,IF(OR($C$60&gt;$AR119,$D$60&lt;$AR119),0,Schweine_Werte!$E119))</f>
        <v>0</v>
      </c>
      <c r="BC119" s="781">
        <f>IF(OR($C$12=$AR119,$D$12=$AR119),Schweine_Werte!$G119*0.5,IF(OR($C$12&gt;$AR119,$D$12&lt;$AR119),0,Schweine_Werte!$G119))</f>
        <v>0</v>
      </c>
      <c r="BD119" s="716">
        <f>IF(OR($C$24=$AR119,$D$24=$AR119),Schweine_Werte!$G119*0.5,IF(OR($C$24&gt;$AR119,$D$24&lt;$AR119),0,Schweine_Werte!$G119))</f>
        <v>0</v>
      </c>
      <c r="BE119" s="716">
        <f>IF(OR($C$36=$AR119,$D$36=$AR119),Schweine_Werte!$G119*0.5,IF(OR($C$36&gt;$AR119,$D$36&lt;$AR119),0,Schweine_Werte!$G119))</f>
        <v>0</v>
      </c>
      <c r="BF119" s="716">
        <f>IF(OR($C$48=$AR119,$D$48=$AR119),Schweine_Werte!$G119*0.5,IF(OR($C$48&gt;$AR119,$D$48&lt;$AR119),0,Schweine_Werte!$G119))</f>
        <v>0</v>
      </c>
      <c r="BG119" s="716">
        <f>IF(OR($C$60=$AR119,$D$60=$AR119),Schweine_Werte!$G119*0.5,IF(OR($C$60&gt;$AR119,$D$60&lt;$AR119),0,Schweine_Werte!$G119))</f>
        <v>0</v>
      </c>
      <c r="BH119" s="781">
        <f>IF(OR($C$12=$AR119,$D$12=$AR119),Schweine_Werte!$I119*0.5,IF(OR($C$12&gt;$AR119,$D$12&lt;$AR119),0,Schweine_Werte!$I119))</f>
        <v>0</v>
      </c>
      <c r="BI119" s="716">
        <f>IF(OR($C$24=$AR119,$D$24=$AR119),Schweine_Werte!$I119*0.5,IF(OR($C$24&gt;$AR119,$D$24&lt;$AR119),0,Schweine_Werte!$I119))</f>
        <v>0</v>
      </c>
      <c r="BJ119" s="716">
        <f>IF(OR($C$36=$AR119,$D$36=$AR119),Schweine_Werte!$I119*0.5,IF(OR($C$36&gt;$AR119,$D$36&lt;$AR119),0,Schweine_Werte!$I119))</f>
        <v>0</v>
      </c>
      <c r="BK119" s="716">
        <f>IF(OR($C$48=$AR119,$D$48=$AR119),Schweine_Werte!$I119*0.5,IF(OR($C$48&gt;$AR119,$D$48&lt;$AR119),0,Schweine_Werte!$I119))</f>
        <v>0</v>
      </c>
      <c r="BL119" s="716">
        <f>IF(OR($C$60=$AR119,$D$60=$AR119),Schweine_Werte!$I119*0.5,IF(OR($C$60&gt;$AR119,$D$60&lt;$AR119),0,Schweine_Werte!$I119))</f>
        <v>0</v>
      </c>
      <c r="BM119" s="781"/>
      <c r="BN119" s="716"/>
      <c r="BO119" s="716"/>
      <c r="BP119" s="716"/>
      <c r="BQ119" s="716"/>
      <c r="BR119" s="781">
        <f>IF(OR($C$74=$AR119,$D$74=$AR119),Schweine_Werte!$M119*0.5,IF(OR($C$74&gt;$AR119,$D$74&lt;$AR119),0,Schweine_Werte!$M119))</f>
        <v>0</v>
      </c>
      <c r="BS119" s="781">
        <f>IF(OR($C$83=$AR119,$D$83=$AR119),Schweine_Werte!$M119*0.5,IF(OR($C$83&gt;$AR119,$D$83&lt;$AR119),0,Schweine_Werte!$M119))</f>
        <v>0</v>
      </c>
      <c r="BT119" s="783">
        <f>IF(OR($C$92=$AR119,$D$92=$AR119),Schweine_Werte!$M119*0.5,IF(OR($C$92&gt;$AR119,$D$92&lt;$AR119),0,Schweine_Werte!$M119))</f>
        <v>0</v>
      </c>
      <c r="BU119" s="783">
        <f>IF(OR($C$101=$AR119,$D$101=$AR119),Schweine_Werte!$M119*0.5,IF(OR($C$101&gt;$AR119,$D$101&lt;$AR119),0,Schweine_Werte!$M119))</f>
        <v>0</v>
      </c>
      <c r="BV119" s="783">
        <f>IF(OR($C$110=$AR119,$D$110=$AR119),Schweine_Werte!$M119*0.5,IF(OR($C$110&gt;$AR119,$D$110&lt;$AR119),0,Schweine_Werte!$M119))</f>
        <v>0</v>
      </c>
      <c r="BW119" s="783">
        <f>IF(OR(8=$AR119,$E$127=$AR119),Schweine_Werte!$M119*0.5,IF(OR(8&gt;$AR119,$E$127&lt;$AR119),0,Schweine_Werte!$M119))</f>
        <v>1.4477278921508818</v>
      </c>
      <c r="BX119" s="783">
        <f>IF(OR(8=$AR119,$E$145=$AR119),Schweine_Werte!$M119*0.5,IF(OR(8&gt;$AR119,$E$145&lt;$AR119),0,Schweine_Werte!$M119))</f>
        <v>1.4477278921508818</v>
      </c>
      <c r="BY119" s="781">
        <f>IF(OR($C$74=$AR119,$D$74=$AR119),Schweine_Werte!$O119*0.5,IF(OR($C$74&gt;$AR119,$D$74&lt;$AR119),0,Schweine_Werte!$O119))</f>
        <v>0</v>
      </c>
      <c r="BZ119" s="781">
        <f>IF(OR($C$83=$AR119,$D$83=$AR119),Schweine_Werte!$O119*0.5,IF(OR($C$83&gt;$AR119,$D$83&lt;$AR119),0,Schweine_Werte!$O119))</f>
        <v>0</v>
      </c>
      <c r="CA119" s="783">
        <f>IF(OR($C$92=$AR119,$D$92=$AR119),Schweine_Werte!$O119*0.5,IF(OR($C$92&gt;$AR119,$D$92&lt;$AR119),0,Schweine_Werte!$O119))</f>
        <v>0</v>
      </c>
      <c r="CB119" s="783">
        <f>IF(OR($C$101=$AR119,$D$101=$AR119),Schweine_Werte!$O119*0.5,IF(OR($C$101&gt;$AR119,$D$101&lt;$AR119),0,Schweine_Werte!$O119))</f>
        <v>0</v>
      </c>
      <c r="CC119" s="783">
        <f>IF(OR($C$110=$AR119,$D$110=$AR119),Schweine_Werte!$O119*0.5,IF(OR($C$110&gt;$AR119,$D$110&lt;$AR119),0,Schweine_Werte!$O119))</f>
        <v>0</v>
      </c>
    </row>
    <row r="120" spans="1:81" x14ac:dyDescent="0.2">
      <c r="C120" s="358" t="s">
        <v>7728</v>
      </c>
      <c r="D120">
        <f>IF(D127&lt;22,22,IF(D127&gt;34,34,D127))</f>
        <v>34</v>
      </c>
      <c r="F120" s="716">
        <v>0.32</v>
      </c>
      <c r="G120" s="716"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16"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16"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16">
        <f>VLOOKUP($D$120,Schweine_Werte!$IA$4:$IR$16,COLUMNS(Schweine_Werte!$IA$3:IN3),FALSE)</f>
        <v>4.8</v>
      </c>
      <c r="K120" s="716">
        <f>VLOOKUP($D$120,Schweine_Werte!$IA$4:$IR$16,COLUMNS(Schweine_Werte!$IA$3:IO3),FALSE)</f>
        <v>1.6</v>
      </c>
      <c r="L120" s="716"/>
      <c r="M120" s="716"/>
      <c r="N120" s="716"/>
      <c r="O120" s="716"/>
      <c r="P120" s="716"/>
      <c r="Q120" s="716">
        <f t="shared" si="55"/>
        <v>2</v>
      </c>
      <c r="R120" s="716">
        <f t="shared" si="55"/>
        <v>2.56</v>
      </c>
      <c r="S120" s="716">
        <f t="shared" si="55"/>
        <v>3.52</v>
      </c>
      <c r="T120" s="716">
        <f>VLOOKUP($D$120,Schweine_Werte!$IA$4:$IR$16,COLUMNS(Schweine_Werte!$IA$3:IP$3),FALSE)</f>
        <v>6.25</v>
      </c>
      <c r="U120" s="716">
        <f>VLOOKUP($D$120,Schweine_Werte!$IA$4:$IR$16,COLUMNS(Schweine_Werte!$IA$3:IQ$3),FALSE)</f>
        <v>8</v>
      </c>
      <c r="V120" s="716">
        <f>VLOOKUP($D$120,Schweine_Werte!$IA$4:$IR$16,COLUMNS(Schweine_Werte!$IA$3:IR$3),FALSE)</f>
        <v>11</v>
      </c>
      <c r="AR120" s="792">
        <v>124</v>
      </c>
      <c r="AS120" s="781">
        <f>IF(OR($C$12=$AR120,$D$12=$AR120),Schweine_Werte!$C120*0.5,IF(OR($C$12&gt;$AR120,$D$12&lt;$AR120),0,Schweine_Werte!$C120))</f>
        <v>0</v>
      </c>
      <c r="AT120" s="716">
        <f>IF(OR($C$24=$AR120,$D$24=$AR120),Schweine_Werte!$C120*0.5,IF(OR($C$24&gt;$AR120,$D$24&lt;$AR120),0,Schweine_Werte!$C120))</f>
        <v>0</v>
      </c>
      <c r="AU120" s="781">
        <f>IF(OR($C$36=$AR120,$D$36=$AR120),Schweine_Werte!$C120*0.5,IF(OR($C$36&gt;$AR120,$D$36&lt;$AR120),0,Schweine_Werte!$C120))</f>
        <v>0</v>
      </c>
      <c r="AV120" s="781">
        <f>IF(OR($C$48=$AR120,$D$48=$AR120),Schweine_Werte!$C120*0.5,IF(OR($C$48&gt;$AR120,$D$48&lt;$AR120),0,Schweine_Werte!$C120))</f>
        <v>0</v>
      </c>
      <c r="AW120" s="781">
        <f>IF(OR($C$60=$AR120,$D$60=$AR120),Schweine_Werte!$C120*0.5,IF(OR($C$60&gt;$AR120,$D$60&lt;$AR120),0,Schweine_Werte!$C120))</f>
        <v>0</v>
      </c>
      <c r="AX120" s="781">
        <f>IF(OR($C$12=$AR120,$D$12=$AR120),Schweine_Werte!$E120*0.5,IF(OR($C$12&gt;$AR120,$D$12&lt;$AR120),0,Schweine_Werte!$E120))</f>
        <v>0</v>
      </c>
      <c r="AY120" s="716">
        <f>IF(OR($C$24=$AR120,$D$24=$AR120),Schweine_Werte!$E120*0.5,IF(OR($C$24&gt;$AR120,$D$24&lt;$AR120),0,Schweine_Werte!$E120))</f>
        <v>0</v>
      </c>
      <c r="AZ120" s="716">
        <f>IF(OR($C$36=$AR120,$D$36=$AR120),Schweine_Werte!$E120*0.5,IF(OR($C$36&gt;$AR120,$D$36&lt;$AR120),0,Schweine_Werte!$E120))</f>
        <v>0</v>
      </c>
      <c r="BA120" s="716">
        <f>IF(OR($C$48=$AR120,$D$48=$AR120),Schweine_Werte!$E120*0.5,IF(OR($C$48&gt;$AR120,$D$48&lt;$AR120),0,Schweine_Werte!$E120))</f>
        <v>0</v>
      </c>
      <c r="BB120" s="716">
        <f>IF(OR($C$60=$AR120,$D$60=$AR120),Schweine_Werte!$E120*0.5,IF(OR($C$60&gt;$AR120,$D$60&lt;$AR120),0,Schweine_Werte!$E120))</f>
        <v>0</v>
      </c>
      <c r="BC120" s="781">
        <f>IF(OR($C$12=$AR120,$D$12=$AR120),Schweine_Werte!$G120*0.5,IF(OR($C$12&gt;$AR120,$D$12&lt;$AR120),0,Schweine_Werte!$G120))</f>
        <v>0</v>
      </c>
      <c r="BD120" s="716">
        <f>IF(OR($C$24=$AR120,$D$24=$AR120),Schweine_Werte!$G120*0.5,IF(OR($C$24&gt;$AR120,$D$24&lt;$AR120),0,Schweine_Werte!$G120))</f>
        <v>0</v>
      </c>
      <c r="BE120" s="716">
        <f>IF(OR($C$36=$AR120,$D$36=$AR120),Schweine_Werte!$G120*0.5,IF(OR($C$36&gt;$AR120,$D$36&lt;$AR120),0,Schweine_Werte!$G120))</f>
        <v>0</v>
      </c>
      <c r="BF120" s="716">
        <f>IF(OR($C$48=$AR120,$D$48=$AR120),Schweine_Werte!$G120*0.5,IF(OR($C$48&gt;$AR120,$D$48&lt;$AR120),0,Schweine_Werte!$G120))</f>
        <v>0</v>
      </c>
      <c r="BG120" s="716">
        <f>IF(OR($C$60=$AR120,$D$60=$AR120),Schweine_Werte!$G120*0.5,IF(OR($C$60&gt;$AR120,$D$60&lt;$AR120),0,Schweine_Werte!$G120))</f>
        <v>0</v>
      </c>
      <c r="BH120" s="781">
        <f>IF(OR($C$12=$AR120,$D$12=$AR120),Schweine_Werte!$I120*0.5,IF(OR($C$12&gt;$AR120,$D$12&lt;$AR120),0,Schweine_Werte!$I120))</f>
        <v>0</v>
      </c>
      <c r="BI120" s="716">
        <f>IF(OR($C$24=$AR120,$D$24=$AR120),Schweine_Werte!$I120*0.5,IF(OR($C$24&gt;$AR120,$D$24&lt;$AR120),0,Schweine_Werte!$I120))</f>
        <v>0</v>
      </c>
      <c r="BJ120" s="716">
        <f>IF(OR($C$36=$AR120,$D$36=$AR120),Schweine_Werte!$I120*0.5,IF(OR($C$36&gt;$AR120,$D$36&lt;$AR120),0,Schweine_Werte!$I120))</f>
        <v>0</v>
      </c>
      <c r="BK120" s="716">
        <f>IF(OR($C$48=$AR120,$D$48=$AR120),Schweine_Werte!$I120*0.5,IF(OR($C$48&gt;$AR120,$D$48&lt;$AR120),0,Schweine_Werte!$I120))</f>
        <v>0</v>
      </c>
      <c r="BL120" s="716">
        <f>IF(OR($C$60=$AR120,$D$60=$AR120),Schweine_Werte!$I120*0.5,IF(OR($C$60&gt;$AR120,$D$60&lt;$AR120),0,Schweine_Werte!$I120))</f>
        <v>0</v>
      </c>
      <c r="BM120" s="781"/>
      <c r="BN120" s="716"/>
      <c r="BO120" s="716"/>
      <c r="BP120" s="716"/>
      <c r="BQ120" s="716"/>
      <c r="BR120" s="781">
        <f>IF(OR($C$74=$AR120,$D$74=$AR120),Schweine_Werte!$M120*0.5,IF(OR($C$74&gt;$AR120,$D$74&lt;$AR120),0,Schweine_Werte!$M120))</f>
        <v>0</v>
      </c>
      <c r="BS120" s="781">
        <f>IF(OR($C$83=$AR120,$D$83=$AR120),Schweine_Werte!$M120*0.5,IF(OR($C$83&gt;$AR120,$D$83&lt;$AR120),0,Schweine_Werte!$M120))</f>
        <v>0</v>
      </c>
      <c r="BT120" s="783">
        <f>IF(OR($C$92=$AR120,$D$92=$AR120),Schweine_Werte!$M120*0.5,IF(OR($C$92&gt;$AR120,$D$92&lt;$AR120),0,Schweine_Werte!$M120))</f>
        <v>0</v>
      </c>
      <c r="BU120" s="783">
        <f>IF(OR($C$101=$AR120,$D$101=$AR120),Schweine_Werte!$M120*0.5,IF(OR($C$101&gt;$AR120,$D$101&lt;$AR120),0,Schweine_Werte!$M120))</f>
        <v>0</v>
      </c>
      <c r="BV120" s="783">
        <f>IF(OR($C$110=$AR120,$D$110=$AR120),Schweine_Werte!$M120*0.5,IF(OR($C$110&gt;$AR120,$D$110&lt;$AR120),0,Schweine_Werte!$M120))</f>
        <v>0</v>
      </c>
      <c r="BW120" s="783">
        <f>IF(OR(8=$AR120,$E$127=$AR120),Schweine_Werte!$M120*0.5,IF(OR(8&gt;$AR120,$E$127&lt;$AR120),0,Schweine_Werte!$M120))</f>
        <v>1.4477278921508818</v>
      </c>
      <c r="BX120" s="783">
        <f>IF(OR(8=$AR120,$E$145=$AR120),Schweine_Werte!$M120*0.5,IF(OR(8&gt;$AR120,$E$145&lt;$AR120),0,Schweine_Werte!$M120))</f>
        <v>1.4477278921508818</v>
      </c>
      <c r="BY120" s="781">
        <f>IF(OR($C$74=$AR120,$D$74=$AR120),Schweine_Werte!$O120*0.5,IF(OR($C$74&gt;$AR120,$D$74&lt;$AR120),0,Schweine_Werte!$O120))</f>
        <v>0</v>
      </c>
      <c r="BZ120" s="781">
        <f>IF(OR($C$83=$AR120,$D$83=$AR120),Schweine_Werte!$O120*0.5,IF(OR($C$83&gt;$AR120,$D$83&lt;$AR120),0,Schweine_Werte!$O120))</f>
        <v>0</v>
      </c>
      <c r="CA120" s="783">
        <f>IF(OR($C$92=$AR120,$D$92=$AR120),Schweine_Werte!$O120*0.5,IF(OR($C$92&gt;$AR120,$D$92&lt;$AR120),0,Schweine_Werte!$O120))</f>
        <v>0</v>
      </c>
      <c r="CB120" s="783">
        <f>IF(OR($C$101=$AR120,$D$101=$AR120),Schweine_Werte!$O120*0.5,IF(OR($C$101&gt;$AR120,$D$101&lt;$AR120),0,Schweine_Werte!$O120))</f>
        <v>0</v>
      </c>
      <c r="CC120" s="783">
        <f>IF(OR($C$110=$AR120,$D$110=$AR120),Schweine_Werte!$O120*0.5,IF(OR($C$110&gt;$AR120,$D$110&lt;$AR120),0,Schweine_Werte!$O120))</f>
        <v>0</v>
      </c>
    </row>
    <row r="121" spans="1:81" x14ac:dyDescent="0.2">
      <c r="B121" t="s">
        <v>7729</v>
      </c>
      <c r="C121" s="691"/>
      <c r="AR121" s="792">
        <v>125</v>
      </c>
      <c r="AS121" s="781">
        <f>IF(OR($C$12=$AR121,$D$12=$AR121),Schweine_Werte!$C121*0.5,IF(OR($C$12&gt;$AR121,$D$12&lt;$AR121),0,Schweine_Werte!$C121))</f>
        <v>0</v>
      </c>
      <c r="AT121" s="716">
        <f>IF(OR($C$24=$AR121,$D$24=$AR121),Schweine_Werte!$C121*0.5,IF(OR($C$24&gt;$AR121,$D$24&lt;$AR121),0,Schweine_Werte!$C121))</f>
        <v>0</v>
      </c>
      <c r="AU121" s="781">
        <f>IF(OR($C$36=$AR121,$D$36=$AR121),Schweine_Werte!$C121*0.5,IF(OR($C$36&gt;$AR121,$D$36&lt;$AR121),0,Schweine_Werte!$C121))</f>
        <v>0</v>
      </c>
      <c r="AV121" s="781">
        <f>IF(OR($C$48=$AR121,$D$48=$AR121),Schweine_Werte!$C121*0.5,IF(OR($C$48&gt;$AR121,$D$48&lt;$AR121),0,Schweine_Werte!$C121))</f>
        <v>0</v>
      </c>
      <c r="AW121" s="781">
        <f>IF(OR($C$60=$AR121,$D$60=$AR121),Schweine_Werte!$C121*0.5,IF(OR($C$60&gt;$AR121,$D$60&lt;$AR121),0,Schweine_Werte!$C121))</f>
        <v>0</v>
      </c>
      <c r="AX121" s="781">
        <f>IF(OR($C$12=$AR121,$D$12=$AR121),Schweine_Werte!$E121*0.5,IF(OR($C$12&gt;$AR121,$D$12&lt;$AR121),0,Schweine_Werte!$E121))</f>
        <v>0</v>
      </c>
      <c r="AY121" s="716">
        <f>IF(OR($C$24=$AR121,$D$24=$AR121),Schweine_Werte!$E121*0.5,IF(OR($C$24&gt;$AR121,$D$24&lt;$AR121),0,Schweine_Werte!$E121))</f>
        <v>0</v>
      </c>
      <c r="AZ121" s="716">
        <f>IF(OR($C$36=$AR121,$D$36=$AR121),Schweine_Werte!$E121*0.5,IF(OR($C$36&gt;$AR121,$D$36&lt;$AR121),0,Schweine_Werte!$E121))</f>
        <v>0</v>
      </c>
      <c r="BA121" s="716">
        <f>IF(OR($C$48=$AR121,$D$48=$AR121),Schweine_Werte!$E121*0.5,IF(OR($C$48&gt;$AR121,$D$48&lt;$AR121),0,Schweine_Werte!$E121))</f>
        <v>0</v>
      </c>
      <c r="BB121" s="716">
        <f>IF(OR($C$60=$AR121,$D$60=$AR121),Schweine_Werte!$E121*0.5,IF(OR($C$60&gt;$AR121,$D$60&lt;$AR121),0,Schweine_Werte!$E121))</f>
        <v>0</v>
      </c>
      <c r="BC121" s="781">
        <f>IF(OR($C$12=$AR121,$D$12=$AR121),Schweine_Werte!$G121*0.5,IF(OR($C$12&gt;$AR121,$D$12&lt;$AR121),0,Schweine_Werte!$G121))</f>
        <v>0</v>
      </c>
      <c r="BD121" s="716">
        <f>IF(OR($C$24=$AR121,$D$24=$AR121),Schweine_Werte!$G121*0.5,IF(OR($C$24&gt;$AR121,$D$24&lt;$AR121),0,Schweine_Werte!$G121))</f>
        <v>0</v>
      </c>
      <c r="BE121" s="716">
        <f>IF(OR($C$36=$AR121,$D$36=$AR121),Schweine_Werte!$G121*0.5,IF(OR($C$36&gt;$AR121,$D$36&lt;$AR121),0,Schweine_Werte!$G121))</f>
        <v>0</v>
      </c>
      <c r="BF121" s="716">
        <f>IF(OR($C$48=$AR121,$D$48=$AR121),Schweine_Werte!$G121*0.5,IF(OR($C$48&gt;$AR121,$D$48&lt;$AR121),0,Schweine_Werte!$G121))</f>
        <v>0</v>
      </c>
      <c r="BG121" s="716">
        <f>IF(OR($C$60=$AR121,$D$60=$AR121),Schweine_Werte!$G121*0.5,IF(OR($C$60&gt;$AR121,$D$60&lt;$AR121),0,Schweine_Werte!$G121))</f>
        <v>0</v>
      </c>
      <c r="BH121" s="781">
        <f>IF(OR($C$12=$AR121,$D$12=$AR121),Schweine_Werte!$I121*0.5,IF(OR($C$12&gt;$AR121,$D$12&lt;$AR121),0,Schweine_Werte!$I121))</f>
        <v>0</v>
      </c>
      <c r="BI121" s="716">
        <f>IF(OR($C$24=$AR121,$D$24=$AR121),Schweine_Werte!$I121*0.5,IF(OR($C$24&gt;$AR121,$D$24&lt;$AR121),0,Schweine_Werte!$I121))</f>
        <v>0</v>
      </c>
      <c r="BJ121" s="716">
        <f>IF(OR($C$36=$AR121,$D$36=$AR121),Schweine_Werte!$I121*0.5,IF(OR($C$36&gt;$AR121,$D$36&lt;$AR121),0,Schweine_Werte!$I121))</f>
        <v>0</v>
      </c>
      <c r="BK121" s="716">
        <f>IF(OR($C$48=$AR121,$D$48=$AR121),Schweine_Werte!$I121*0.5,IF(OR($C$48&gt;$AR121,$D$48&lt;$AR121),0,Schweine_Werte!$I121))</f>
        <v>0</v>
      </c>
      <c r="BL121" s="716">
        <f>IF(OR($C$60=$AR121,$D$60=$AR121),Schweine_Werte!$I121*0.5,IF(OR($C$60&gt;$AR121,$D$60&lt;$AR121),0,Schweine_Werte!$I121))</f>
        <v>0</v>
      </c>
      <c r="BM121" s="781"/>
      <c r="BN121" s="716"/>
      <c r="BO121" s="716"/>
      <c r="BP121" s="716"/>
      <c r="BQ121" s="716"/>
      <c r="BR121" s="781">
        <f>IF(OR($C$74=$AR121,$D$74=$AR121),Schweine_Werte!$M121*0.5,IF(OR($C$74&gt;$AR121,$D$74&lt;$AR121),0,Schweine_Werte!$M121))</f>
        <v>0</v>
      </c>
      <c r="BS121" s="781">
        <f>IF(OR($C$83=$AR121,$D$83=$AR121),Schweine_Werte!$M121*0.5,IF(OR($C$83&gt;$AR121,$D$83&lt;$AR121),0,Schweine_Werte!$M121))</f>
        <v>0</v>
      </c>
      <c r="BT121" s="783">
        <f>IF(OR($C$92=$AR121,$D$92=$AR121),Schweine_Werte!$M121*0.5,IF(OR($C$92&gt;$AR121,$D$92&lt;$AR121),0,Schweine_Werte!$M121))</f>
        <v>0</v>
      </c>
      <c r="BU121" s="783">
        <f>IF(OR($C$101=$AR121,$D$101=$AR121),Schweine_Werte!$M121*0.5,IF(OR($C$101&gt;$AR121,$D$101&lt;$AR121),0,Schweine_Werte!$M121))</f>
        <v>0</v>
      </c>
      <c r="BV121" s="783">
        <f>IF(OR($C$110=$AR121,$D$110=$AR121),Schweine_Werte!$M121*0.5,IF(OR($C$110&gt;$AR121,$D$110&lt;$AR121),0,Schweine_Werte!$M121))</f>
        <v>0</v>
      </c>
      <c r="BW121" s="783">
        <f>IF(OR(8=$AR121,$E$127=$AR121),Schweine_Werte!$M121*0.5,IF(OR(8&gt;$AR121,$E$127&lt;$AR121),0,Schweine_Werte!$M121))</f>
        <v>1.4477278921508818</v>
      </c>
      <c r="BX121" s="783">
        <f>IF(OR(8=$AR121,$E$145=$AR121),Schweine_Werte!$M121*0.5,IF(OR(8&gt;$AR121,$E$145&lt;$AR121),0,Schweine_Werte!$M121))</f>
        <v>1.4477278921508818</v>
      </c>
      <c r="BY121" s="781">
        <f>IF(OR($C$74=$AR121,$D$74=$AR121),Schweine_Werte!$O121*0.5,IF(OR($C$74&gt;$AR121,$D$74&lt;$AR121),0,Schweine_Werte!$O121))</f>
        <v>0</v>
      </c>
      <c r="BZ121" s="781">
        <f>IF(OR($C$83=$AR121,$D$83=$AR121),Schweine_Werte!$O121*0.5,IF(OR($C$83&gt;$AR121,$D$83&lt;$AR121),0,Schweine_Werte!$O121))</f>
        <v>0</v>
      </c>
      <c r="CA121" s="783">
        <f>IF(OR($C$92=$AR121,$D$92=$AR121),Schweine_Werte!$O121*0.5,IF(OR($C$92&gt;$AR121,$D$92&lt;$AR121),0,Schweine_Werte!$O121))</f>
        <v>0</v>
      </c>
      <c r="CB121" s="783">
        <f>IF(OR($C$101=$AR121,$D$101=$AR121),Schweine_Werte!$O121*0.5,IF(OR($C$101&gt;$AR121,$D$101&lt;$AR121),0,Schweine_Werte!$O121))</f>
        <v>0</v>
      </c>
      <c r="CC121" s="783">
        <f>IF(OR($C$110=$AR121,$D$110=$AR121),Schweine_Werte!$O121*0.5,IF(OR($C$110&gt;$AR121,$D$110&lt;$AR121),0,Schweine_Werte!$O121))</f>
        <v>0</v>
      </c>
    </row>
    <row r="122" spans="1:81" x14ac:dyDescent="0.2">
      <c r="B122" s="794" t="e">
        <f>+B119*D127/365</f>
        <v>#VALUE!</v>
      </c>
      <c r="C122" s="691"/>
      <c r="D122" s="358"/>
      <c r="E122" s="716"/>
      <c r="F122" s="716"/>
      <c r="G122" s="716"/>
      <c r="H122" s="716"/>
      <c r="I122" s="716"/>
      <c r="J122" s="716"/>
      <c r="K122" s="716"/>
      <c r="L122" s="716"/>
      <c r="M122" s="716"/>
      <c r="N122" s="716"/>
      <c r="O122" s="716"/>
      <c r="P122" s="716"/>
      <c r="Q122" s="716"/>
      <c r="R122" s="716"/>
      <c r="S122" s="716"/>
      <c r="U122" s="716"/>
      <c r="V122" s="716"/>
      <c r="AR122" s="792">
        <v>126</v>
      </c>
      <c r="AS122" s="781">
        <f>IF(OR($C$12=$AR122,$D$12=$AR122),Schweine_Werte!$C122*0.5,IF(OR($C$12&gt;$AR122,$D$12&lt;$AR122),0,Schweine_Werte!$C122))</f>
        <v>0</v>
      </c>
      <c r="AT122" s="716">
        <f>IF(OR($C$24=$AR122,$D$24=$AR122),Schweine_Werte!$C122*0.5,IF(OR($C$24&gt;$AR122,$D$24&lt;$AR122),0,Schweine_Werte!$C122))</f>
        <v>0</v>
      </c>
      <c r="AU122" s="781">
        <f>IF(OR($C$36=$AR122,$D$36=$AR122),Schweine_Werte!$C122*0.5,IF(OR($C$36&gt;$AR122,$D$36&lt;$AR122),0,Schweine_Werte!$C122))</f>
        <v>0</v>
      </c>
      <c r="AV122" s="781">
        <f>IF(OR($C$48=$AR122,$D$48=$AR122),Schweine_Werte!$C122*0.5,IF(OR($C$48&gt;$AR122,$D$48&lt;$AR122),0,Schweine_Werte!$C122))</f>
        <v>0</v>
      </c>
      <c r="AW122" s="781">
        <f>IF(OR($C$60=$AR122,$D$60=$AR122),Schweine_Werte!$C122*0.5,IF(OR($C$60&gt;$AR122,$D$60&lt;$AR122),0,Schweine_Werte!$C122))</f>
        <v>0</v>
      </c>
      <c r="AX122" s="781">
        <f>IF(OR($C$12=$AR122,$D$12=$AR122),Schweine_Werte!$E122*0.5,IF(OR($C$12&gt;$AR122,$D$12&lt;$AR122),0,Schweine_Werte!$E122))</f>
        <v>0</v>
      </c>
      <c r="AY122" s="716">
        <f>IF(OR($C$24=$AR122,$D$24=$AR122),Schweine_Werte!$E122*0.5,IF(OR($C$24&gt;$AR122,$D$24&lt;$AR122),0,Schweine_Werte!$E122))</f>
        <v>0</v>
      </c>
      <c r="AZ122" s="716">
        <f>IF(OR($C$36=$AR122,$D$36=$AR122),Schweine_Werte!$E122*0.5,IF(OR($C$36&gt;$AR122,$D$36&lt;$AR122),0,Schweine_Werte!$E122))</f>
        <v>0</v>
      </c>
      <c r="BA122" s="716">
        <f>IF(OR($C$48=$AR122,$D$48=$AR122),Schweine_Werte!$E122*0.5,IF(OR($C$48&gt;$AR122,$D$48&lt;$AR122),0,Schweine_Werte!$E122))</f>
        <v>0</v>
      </c>
      <c r="BB122" s="716">
        <f>IF(OR($C$60=$AR122,$D$60=$AR122),Schweine_Werte!$E122*0.5,IF(OR($C$60&gt;$AR122,$D$60&lt;$AR122),0,Schweine_Werte!$E122))</f>
        <v>0</v>
      </c>
      <c r="BC122" s="781">
        <f>IF(OR($C$12=$AR122,$D$12=$AR122),Schweine_Werte!$G122*0.5,IF(OR($C$12&gt;$AR122,$D$12&lt;$AR122),0,Schweine_Werte!$G122))</f>
        <v>0</v>
      </c>
      <c r="BD122" s="716">
        <f>IF(OR($C$24=$AR122,$D$24=$AR122),Schweine_Werte!$G122*0.5,IF(OR($C$24&gt;$AR122,$D$24&lt;$AR122),0,Schweine_Werte!$G122))</f>
        <v>0</v>
      </c>
      <c r="BE122" s="716">
        <f>IF(OR($C$36=$AR122,$D$36=$AR122),Schweine_Werte!$G122*0.5,IF(OR($C$36&gt;$AR122,$D$36&lt;$AR122),0,Schweine_Werte!$G122))</f>
        <v>0</v>
      </c>
      <c r="BF122" s="716">
        <f>IF(OR($C$48=$AR122,$D$48=$AR122),Schweine_Werte!$G122*0.5,IF(OR($C$48&gt;$AR122,$D$48&lt;$AR122),0,Schweine_Werte!$G122))</f>
        <v>0</v>
      </c>
      <c r="BG122" s="716">
        <f>IF(OR($C$60=$AR122,$D$60=$AR122),Schweine_Werte!$G122*0.5,IF(OR($C$60&gt;$AR122,$D$60&lt;$AR122),0,Schweine_Werte!$G122))</f>
        <v>0</v>
      </c>
      <c r="BH122" s="781">
        <f>IF(OR($C$12=$AR122,$D$12=$AR122),Schweine_Werte!$I122*0.5,IF(OR($C$12&gt;$AR122,$D$12&lt;$AR122),0,Schweine_Werte!$I122))</f>
        <v>0</v>
      </c>
      <c r="BI122" s="716">
        <f>IF(OR($C$24=$AR122,$D$24=$AR122),Schweine_Werte!$I122*0.5,IF(OR($C$24&gt;$AR122,$D$24&lt;$AR122),0,Schweine_Werte!$I122))</f>
        <v>0</v>
      </c>
      <c r="BJ122" s="716">
        <f>IF(OR($C$36=$AR122,$D$36=$AR122),Schweine_Werte!$I122*0.5,IF(OR($C$36&gt;$AR122,$D$36&lt;$AR122),0,Schweine_Werte!$I122))</f>
        <v>0</v>
      </c>
      <c r="BK122" s="716">
        <f>IF(OR($C$48=$AR122,$D$48=$AR122),Schweine_Werte!$I122*0.5,IF(OR($C$48&gt;$AR122,$D$48&lt;$AR122),0,Schweine_Werte!$I122))</f>
        <v>0</v>
      </c>
      <c r="BL122" s="716">
        <f>IF(OR($C$60=$AR122,$D$60=$AR122),Schweine_Werte!$I122*0.5,IF(OR($C$60&gt;$AR122,$D$60&lt;$AR122),0,Schweine_Werte!$I122))</f>
        <v>0</v>
      </c>
      <c r="BM122" s="781"/>
      <c r="BN122" s="716"/>
      <c r="BO122" s="716"/>
      <c r="BP122" s="716"/>
      <c r="BQ122" s="716"/>
      <c r="BR122" s="781">
        <f>IF(OR($C$74=$AR122,$D$74=$AR122),Schweine_Werte!$M122*0.5,IF(OR($C$74&gt;$AR122,$D$74&lt;$AR122),0,Schweine_Werte!$M122))</f>
        <v>0</v>
      </c>
      <c r="BS122" s="781">
        <f>IF(OR($C$83=$AR122,$D$83=$AR122),Schweine_Werte!$M122*0.5,IF(OR($C$83&gt;$AR122,$D$83&lt;$AR122),0,Schweine_Werte!$M122))</f>
        <v>0</v>
      </c>
      <c r="BT122" s="783">
        <f>IF(OR($C$92=$AR122,$D$92=$AR122),Schweine_Werte!$M122*0.5,IF(OR($C$92&gt;$AR122,$D$92&lt;$AR122),0,Schweine_Werte!$M122))</f>
        <v>0</v>
      </c>
      <c r="BU122" s="783">
        <f>IF(OR($C$101=$AR122,$D$101=$AR122),Schweine_Werte!$M122*0.5,IF(OR($C$101&gt;$AR122,$D$101&lt;$AR122),0,Schweine_Werte!$M122))</f>
        <v>0</v>
      </c>
      <c r="BV122" s="783">
        <f>IF(OR($C$110=$AR122,$D$110=$AR122),Schweine_Werte!$M122*0.5,IF(OR($C$110&gt;$AR122,$D$110&lt;$AR122),0,Schweine_Werte!$M122))</f>
        <v>0</v>
      </c>
      <c r="BW122" s="783">
        <f>IF(OR(8=$AR122,$E$127=$AR122),Schweine_Werte!$M122*0.5,IF(OR(8&gt;$AR122,$E$127&lt;$AR122),0,Schweine_Werte!$M122))</f>
        <v>1.4477278921508818</v>
      </c>
      <c r="BX122" s="783">
        <f>IF(OR(8=$AR122,$E$145=$AR122),Schweine_Werte!$M122*0.5,IF(OR(8&gt;$AR122,$E$145&lt;$AR122),0,Schweine_Werte!$M122))</f>
        <v>1.4477278921508818</v>
      </c>
      <c r="BY122" s="781">
        <f>IF(OR($C$74=$AR122,$D$74=$AR122),Schweine_Werte!$O122*0.5,IF(OR($C$74&gt;$AR122,$D$74&lt;$AR122),0,Schweine_Werte!$O122))</f>
        <v>0</v>
      </c>
      <c r="BZ122" s="781">
        <f>IF(OR($C$83=$AR122,$D$83=$AR122),Schweine_Werte!$O122*0.5,IF(OR($C$83&gt;$AR122,$D$83&lt;$AR122),0,Schweine_Werte!$O122))</f>
        <v>0</v>
      </c>
      <c r="CA122" s="783">
        <f>IF(OR($C$92=$AR122,$D$92=$AR122),Schweine_Werte!$O122*0.5,IF(OR($C$92&gt;$AR122,$D$92&lt;$AR122),0,Schweine_Werte!$O122))</f>
        <v>0</v>
      </c>
      <c r="CB122" s="783">
        <f>IF(OR($C$101=$AR122,$D$101=$AR122),Schweine_Werte!$O122*0.5,IF(OR($C$101&gt;$AR122,$D$101&lt;$AR122),0,Schweine_Werte!$O122))</f>
        <v>0</v>
      </c>
      <c r="CC122" s="783">
        <f>IF(OR($C$110=$AR122,$D$110=$AR122),Schweine_Werte!$O122*0.5,IF(OR($C$110&gt;$AR122,$D$110&lt;$AR122),0,Schweine_Werte!$O122))</f>
        <v>0</v>
      </c>
    </row>
    <row r="123" spans="1:81" x14ac:dyDescent="0.2">
      <c r="C123" s="691"/>
      <c r="D123" s="358"/>
      <c r="F123" s="716"/>
      <c r="G123" s="716"/>
      <c r="H123" s="716"/>
      <c r="I123" s="716"/>
      <c r="J123" s="716"/>
      <c r="K123" s="716"/>
      <c r="L123" s="716"/>
      <c r="M123" s="716"/>
      <c r="N123" s="716"/>
      <c r="O123" s="716"/>
      <c r="P123" s="716"/>
      <c r="Q123" s="716"/>
      <c r="R123" s="716"/>
      <c r="S123" s="716"/>
      <c r="T123" s="716"/>
      <c r="U123" s="716"/>
      <c r="V123" s="716"/>
      <c r="AR123" s="792">
        <v>127</v>
      </c>
      <c r="AS123" s="781">
        <f>IF(OR($C$12=$AR123,$D$12=$AR123),Schweine_Werte!$C123*0.5,IF(OR($C$12&gt;$AR123,$D$12&lt;$AR123),0,Schweine_Werte!$C123))</f>
        <v>0</v>
      </c>
      <c r="AT123" s="716">
        <f>IF(OR($C$24=$AR123,$D$24=$AR123),Schweine_Werte!$C123*0.5,IF(OR($C$24&gt;$AR123,$D$24&lt;$AR123),0,Schweine_Werte!$C123))</f>
        <v>0</v>
      </c>
      <c r="AU123" s="781">
        <f>IF(OR($C$36=$AR123,$D$36=$AR123),Schweine_Werte!$C123*0.5,IF(OR($C$36&gt;$AR123,$D$36&lt;$AR123),0,Schweine_Werte!$C123))</f>
        <v>0</v>
      </c>
      <c r="AV123" s="781">
        <f>IF(OR($C$48=$AR123,$D$48=$AR123),Schweine_Werte!$C123*0.5,IF(OR($C$48&gt;$AR123,$D$48&lt;$AR123),0,Schweine_Werte!$C123))</f>
        <v>0</v>
      </c>
      <c r="AW123" s="781">
        <f>IF(OR($C$60=$AR123,$D$60=$AR123),Schweine_Werte!$C123*0.5,IF(OR($C$60&gt;$AR123,$D$60&lt;$AR123),0,Schweine_Werte!$C123))</f>
        <v>0</v>
      </c>
      <c r="AX123" s="781">
        <f>IF(OR($C$12=$AR123,$D$12=$AR123),Schweine_Werte!$E123*0.5,IF(OR($C$12&gt;$AR123,$D$12&lt;$AR123),0,Schweine_Werte!$E123))</f>
        <v>0</v>
      </c>
      <c r="AY123" s="716">
        <f>IF(OR($C$24=$AR123,$D$24=$AR123),Schweine_Werte!$E123*0.5,IF(OR($C$24&gt;$AR123,$D$24&lt;$AR123),0,Schweine_Werte!$E123))</f>
        <v>0</v>
      </c>
      <c r="AZ123" s="716">
        <f>IF(OR($C$36=$AR123,$D$36=$AR123),Schweine_Werte!$E123*0.5,IF(OR($C$36&gt;$AR123,$D$36&lt;$AR123),0,Schweine_Werte!$E123))</f>
        <v>0</v>
      </c>
      <c r="BA123" s="716">
        <f>IF(OR($C$48=$AR123,$D$48=$AR123),Schweine_Werte!$E123*0.5,IF(OR($C$48&gt;$AR123,$D$48&lt;$AR123),0,Schweine_Werte!$E123))</f>
        <v>0</v>
      </c>
      <c r="BB123" s="716">
        <f>IF(OR($C$60=$AR123,$D$60=$AR123),Schweine_Werte!$E123*0.5,IF(OR($C$60&gt;$AR123,$D$60&lt;$AR123),0,Schweine_Werte!$E123))</f>
        <v>0</v>
      </c>
      <c r="BC123" s="781">
        <f>IF(OR($C$12=$AR123,$D$12=$AR123),Schweine_Werte!$G123*0.5,IF(OR($C$12&gt;$AR123,$D$12&lt;$AR123),0,Schweine_Werte!$G123))</f>
        <v>0</v>
      </c>
      <c r="BD123" s="716">
        <f>IF(OR($C$24=$AR123,$D$24=$AR123),Schweine_Werte!$G123*0.5,IF(OR($C$24&gt;$AR123,$D$24&lt;$AR123),0,Schweine_Werte!$G123))</f>
        <v>0</v>
      </c>
      <c r="BE123" s="716">
        <f>IF(OR($C$36=$AR123,$D$36=$AR123),Schweine_Werte!$G123*0.5,IF(OR($C$36&gt;$AR123,$D$36&lt;$AR123),0,Schweine_Werte!$G123))</f>
        <v>0</v>
      </c>
      <c r="BF123" s="716">
        <f>IF(OR($C$48=$AR123,$D$48=$AR123),Schweine_Werte!$G123*0.5,IF(OR($C$48&gt;$AR123,$D$48&lt;$AR123),0,Schweine_Werte!$G123))</f>
        <v>0</v>
      </c>
      <c r="BG123" s="716">
        <f>IF(OR($C$60=$AR123,$D$60=$AR123),Schweine_Werte!$G123*0.5,IF(OR($C$60&gt;$AR123,$D$60&lt;$AR123),0,Schweine_Werte!$G123))</f>
        <v>0</v>
      </c>
      <c r="BH123" s="781">
        <f>IF(OR($C$12=$AR123,$D$12=$AR123),Schweine_Werte!$I123*0.5,IF(OR($C$12&gt;$AR123,$D$12&lt;$AR123),0,Schweine_Werte!$I123))</f>
        <v>0</v>
      </c>
      <c r="BI123" s="716">
        <f>IF(OR($C$24=$AR123,$D$24=$AR123),Schweine_Werte!$I123*0.5,IF(OR($C$24&gt;$AR123,$D$24&lt;$AR123),0,Schweine_Werte!$I123))</f>
        <v>0</v>
      </c>
      <c r="BJ123" s="716">
        <f>IF(OR($C$36=$AR123,$D$36=$AR123),Schweine_Werte!$I123*0.5,IF(OR($C$36&gt;$AR123,$D$36&lt;$AR123),0,Schweine_Werte!$I123))</f>
        <v>0</v>
      </c>
      <c r="BK123" s="716">
        <f>IF(OR($C$48=$AR123,$D$48=$AR123),Schweine_Werte!$I123*0.5,IF(OR($C$48&gt;$AR123,$D$48&lt;$AR123),0,Schweine_Werte!$I123))</f>
        <v>0</v>
      </c>
      <c r="BL123" s="716">
        <f>IF(OR($C$60=$AR123,$D$60=$AR123),Schweine_Werte!$I123*0.5,IF(OR($C$60&gt;$AR123,$D$60&lt;$AR123),0,Schweine_Werte!$I123))</f>
        <v>0</v>
      </c>
      <c r="BM123" s="781"/>
      <c r="BN123" s="716"/>
      <c r="BO123" s="716"/>
      <c r="BP123" s="716"/>
      <c r="BQ123" s="716"/>
      <c r="BR123" s="781">
        <f>IF(OR($C$74=$AR123,$D$74=$AR123),Schweine_Werte!$M123*0.5,IF(OR($C$74&gt;$AR123,$D$74&lt;$AR123),0,Schweine_Werte!$M123))</f>
        <v>0</v>
      </c>
      <c r="BS123" s="781">
        <f>IF(OR($C$83=$AR123,$D$83=$AR123),Schweine_Werte!$M123*0.5,IF(OR($C$83&gt;$AR123,$D$83&lt;$AR123),0,Schweine_Werte!$M123))</f>
        <v>0</v>
      </c>
      <c r="BT123" s="783">
        <f>IF(OR($C$92=$AR123,$D$92=$AR123),Schweine_Werte!$M123*0.5,IF(OR($C$92&gt;$AR123,$D$92&lt;$AR123),0,Schweine_Werte!$M123))</f>
        <v>0</v>
      </c>
      <c r="BU123" s="783">
        <f>IF(OR($C$101=$AR123,$D$101=$AR123),Schweine_Werte!$M123*0.5,IF(OR($C$101&gt;$AR123,$D$101&lt;$AR123),0,Schweine_Werte!$M123))</f>
        <v>0</v>
      </c>
      <c r="BV123" s="783">
        <f>IF(OR($C$110=$AR123,$D$110=$AR123),Schweine_Werte!$M123*0.5,IF(OR($C$110&gt;$AR123,$D$110&lt;$AR123),0,Schweine_Werte!$M123))</f>
        <v>0</v>
      </c>
      <c r="BW123" s="783">
        <f>IF(OR(8=$AR123,$E$127=$AR123),Schweine_Werte!$M123*0.5,IF(OR(8&gt;$AR123,$E$127&lt;$AR123),0,Schweine_Werte!$M123))</f>
        <v>1.4477278921508818</v>
      </c>
      <c r="BX123" s="783">
        <f>IF(OR(8=$AR123,$E$145=$AR123),Schweine_Werte!$M123*0.5,IF(OR(8&gt;$AR123,$E$145&lt;$AR123),0,Schweine_Werte!$M123))</f>
        <v>1.4477278921508818</v>
      </c>
      <c r="BY123" s="781">
        <f>IF(OR($C$74=$AR123,$D$74=$AR123),Schweine_Werte!$O123*0.5,IF(OR($C$74&gt;$AR123,$D$74&lt;$AR123),0,Schweine_Werte!$O123))</f>
        <v>0</v>
      </c>
      <c r="BZ123" s="781">
        <f>IF(OR($C$83=$AR123,$D$83=$AR123),Schweine_Werte!$O123*0.5,IF(OR($C$83&gt;$AR123,$D$83&lt;$AR123),0,Schweine_Werte!$O123))</f>
        <v>0</v>
      </c>
      <c r="CA123" s="783">
        <f>IF(OR($C$92=$AR123,$D$92=$AR123),Schweine_Werte!$O123*0.5,IF(OR($C$92&gt;$AR123,$D$92&lt;$AR123),0,Schweine_Werte!$O123))</f>
        <v>0</v>
      </c>
      <c r="CB123" s="783">
        <f>IF(OR($C$101=$AR123,$D$101=$AR123),Schweine_Werte!$O123*0.5,IF(OR($C$101&gt;$AR123,$D$101&lt;$AR123),0,Schweine_Werte!$O123))</f>
        <v>0</v>
      </c>
      <c r="CC123" s="783">
        <f>IF(OR($C$110=$AR123,$D$110=$AR123),Schweine_Werte!$O123*0.5,IF(OR($C$110&gt;$AR123,$D$110&lt;$AR123),0,Schweine_Werte!$O123))</f>
        <v>0</v>
      </c>
    </row>
    <row r="124" spans="1:81" x14ac:dyDescent="0.2">
      <c r="C124" s="691"/>
      <c r="D124" s="358"/>
      <c r="E124" s="716"/>
      <c r="F124" s="716"/>
      <c r="G124" s="716"/>
      <c r="H124" s="716"/>
      <c r="I124" s="716"/>
      <c r="J124" s="716"/>
      <c r="K124" s="716"/>
      <c r="L124" s="716"/>
      <c r="M124" s="716"/>
      <c r="N124" s="716"/>
      <c r="O124" s="716"/>
      <c r="P124" s="716"/>
      <c r="Q124" s="716"/>
      <c r="R124" s="716"/>
      <c r="S124" s="716"/>
      <c r="T124" s="716"/>
      <c r="U124" s="716"/>
      <c r="V124" s="716"/>
      <c r="AR124" s="792">
        <v>128</v>
      </c>
      <c r="AS124" s="781">
        <f>IF(OR($C$12=$AR124,$D$12=$AR124),Schweine_Werte!$C124*0.5,IF(OR($C$12&gt;$AR124,$D$12&lt;$AR124),0,Schweine_Werte!$C124))</f>
        <v>0</v>
      </c>
      <c r="AT124" s="716">
        <f>IF(OR($C$24=$AR124,$D$24=$AR124),Schweine_Werte!$C124*0.5,IF(OR($C$24&gt;$AR124,$D$24&lt;$AR124),0,Schweine_Werte!$C124))</f>
        <v>0</v>
      </c>
      <c r="AU124" s="781">
        <f>IF(OR($C$36=$AR124,$D$36=$AR124),Schweine_Werte!$C124*0.5,IF(OR($C$36&gt;$AR124,$D$36&lt;$AR124),0,Schweine_Werte!$C124))</f>
        <v>0</v>
      </c>
      <c r="AV124" s="781">
        <f>IF(OR($C$48=$AR124,$D$48=$AR124),Schweine_Werte!$C124*0.5,IF(OR($C$48&gt;$AR124,$D$48&lt;$AR124),0,Schweine_Werte!$C124))</f>
        <v>0</v>
      </c>
      <c r="AW124" s="781">
        <f>IF(OR($C$60=$AR124,$D$60=$AR124),Schweine_Werte!$C124*0.5,IF(OR($C$60&gt;$AR124,$D$60&lt;$AR124),0,Schweine_Werte!$C124))</f>
        <v>0</v>
      </c>
      <c r="AX124" s="781">
        <f>IF(OR($C$12=$AR124,$D$12=$AR124),Schweine_Werte!$E124*0.5,IF(OR($C$12&gt;$AR124,$D$12&lt;$AR124),0,Schweine_Werte!$E124))</f>
        <v>0</v>
      </c>
      <c r="AY124" s="716">
        <f>IF(OR($C$24=$AR124,$D$24=$AR124),Schweine_Werte!$E124*0.5,IF(OR($C$24&gt;$AR124,$D$24&lt;$AR124),0,Schweine_Werte!$E124))</f>
        <v>0</v>
      </c>
      <c r="AZ124" s="716">
        <f>IF(OR($C$36=$AR124,$D$36=$AR124),Schweine_Werte!$E124*0.5,IF(OR($C$36&gt;$AR124,$D$36&lt;$AR124),0,Schweine_Werte!$E124))</f>
        <v>0</v>
      </c>
      <c r="BA124" s="716">
        <f>IF(OR($C$48=$AR124,$D$48=$AR124),Schweine_Werte!$E124*0.5,IF(OR($C$48&gt;$AR124,$D$48&lt;$AR124),0,Schweine_Werte!$E124))</f>
        <v>0</v>
      </c>
      <c r="BB124" s="716">
        <f>IF(OR($C$60=$AR124,$D$60=$AR124),Schweine_Werte!$E124*0.5,IF(OR($C$60&gt;$AR124,$D$60&lt;$AR124),0,Schweine_Werte!$E124))</f>
        <v>0</v>
      </c>
      <c r="BC124" s="781">
        <f>IF(OR($C$12=$AR124,$D$12=$AR124),Schweine_Werte!$G124*0.5,IF(OR($C$12&gt;$AR124,$D$12&lt;$AR124),0,Schweine_Werte!$G124))</f>
        <v>0</v>
      </c>
      <c r="BD124" s="716">
        <f>IF(OR($C$24=$AR124,$D$24=$AR124),Schweine_Werte!$G124*0.5,IF(OR($C$24&gt;$AR124,$D$24&lt;$AR124),0,Schweine_Werte!$G124))</f>
        <v>0</v>
      </c>
      <c r="BE124" s="716">
        <f>IF(OR($C$36=$AR124,$D$36=$AR124),Schweine_Werte!$G124*0.5,IF(OR($C$36&gt;$AR124,$D$36&lt;$AR124),0,Schweine_Werte!$G124))</f>
        <v>0</v>
      </c>
      <c r="BF124" s="716">
        <f>IF(OR($C$48=$AR124,$D$48=$AR124),Schweine_Werte!$G124*0.5,IF(OR($C$48&gt;$AR124,$D$48&lt;$AR124),0,Schweine_Werte!$G124))</f>
        <v>0</v>
      </c>
      <c r="BG124" s="716">
        <f>IF(OR($C$60=$AR124,$D$60=$AR124),Schweine_Werte!$G124*0.5,IF(OR($C$60&gt;$AR124,$D$60&lt;$AR124),0,Schweine_Werte!$G124))</f>
        <v>0</v>
      </c>
      <c r="BH124" s="781">
        <f>IF(OR($C$12=$AR124,$D$12=$AR124),Schweine_Werte!$I124*0.5,IF(OR($C$12&gt;$AR124,$D$12&lt;$AR124),0,Schweine_Werte!$I124))</f>
        <v>0</v>
      </c>
      <c r="BI124" s="716">
        <f>IF(OR($C$24=$AR124,$D$24=$AR124),Schweine_Werte!$I124*0.5,IF(OR($C$24&gt;$AR124,$D$24&lt;$AR124),0,Schweine_Werte!$I124))</f>
        <v>0</v>
      </c>
      <c r="BJ124" s="716">
        <f>IF(OR($C$36=$AR124,$D$36=$AR124),Schweine_Werte!$I124*0.5,IF(OR($C$36&gt;$AR124,$D$36&lt;$AR124),0,Schweine_Werte!$I124))</f>
        <v>0</v>
      </c>
      <c r="BK124" s="716">
        <f>IF(OR($C$48=$AR124,$D$48=$AR124),Schweine_Werte!$I124*0.5,IF(OR($C$48&gt;$AR124,$D$48&lt;$AR124),0,Schweine_Werte!$I124))</f>
        <v>0</v>
      </c>
      <c r="BL124" s="716">
        <f>IF(OR($C$60=$AR124,$D$60=$AR124),Schweine_Werte!$I124*0.5,IF(OR($C$60&gt;$AR124,$D$60&lt;$AR124),0,Schweine_Werte!$I124))</f>
        <v>0</v>
      </c>
      <c r="BM124" s="781"/>
      <c r="BN124" s="716"/>
      <c r="BO124" s="716"/>
      <c r="BP124" s="716"/>
      <c r="BQ124" s="716"/>
      <c r="BR124" s="781">
        <f>IF(OR($C$74=$AR124,$D$74=$AR124),Schweine_Werte!$M124*0.5,IF(OR($C$74&gt;$AR124,$D$74&lt;$AR124),0,Schweine_Werte!$M124))</f>
        <v>0</v>
      </c>
      <c r="BS124" s="781">
        <f>IF(OR($C$83=$AR124,$D$83=$AR124),Schweine_Werte!$M124*0.5,IF(OR($C$83&gt;$AR124,$D$83&lt;$AR124),0,Schweine_Werte!$M124))</f>
        <v>0</v>
      </c>
      <c r="BT124" s="783">
        <f>IF(OR($C$92=$AR124,$D$92=$AR124),Schweine_Werte!$M124*0.5,IF(OR($C$92&gt;$AR124,$D$92&lt;$AR124),0,Schweine_Werte!$M124))</f>
        <v>0</v>
      </c>
      <c r="BU124" s="783">
        <f>IF(OR($C$101=$AR124,$D$101=$AR124),Schweine_Werte!$M124*0.5,IF(OR($C$101&gt;$AR124,$D$101&lt;$AR124),0,Schweine_Werte!$M124))</f>
        <v>0</v>
      </c>
      <c r="BV124" s="783">
        <f>IF(OR($C$110=$AR124,$D$110=$AR124),Schweine_Werte!$M124*0.5,IF(OR($C$110&gt;$AR124,$D$110&lt;$AR124),0,Schweine_Werte!$M124))</f>
        <v>0</v>
      </c>
      <c r="BW124" s="783">
        <f>IF(OR(8=$AR124,$E$127=$AR124),Schweine_Werte!$M124*0.5,IF(OR(8&gt;$AR124,$E$127&lt;$AR124),0,Schweine_Werte!$M124))</f>
        <v>1.4477278921508818</v>
      </c>
      <c r="BX124" s="783">
        <f>IF(OR(8=$AR124,$E$145=$AR124),Schweine_Werte!$M124*0.5,IF(OR(8&gt;$AR124,$E$145&lt;$AR124),0,Schweine_Werte!$M124))</f>
        <v>1.4477278921508818</v>
      </c>
      <c r="BY124" s="781">
        <f>IF(OR($C$74=$AR124,$D$74=$AR124),Schweine_Werte!$O124*0.5,IF(OR($C$74&gt;$AR124,$D$74&lt;$AR124),0,Schweine_Werte!$O124))</f>
        <v>0</v>
      </c>
      <c r="BZ124" s="781">
        <f>IF(OR($C$83=$AR124,$D$83=$AR124),Schweine_Werte!$O124*0.5,IF(OR($C$83&gt;$AR124,$D$83&lt;$AR124),0,Schweine_Werte!$O124))</f>
        <v>0</v>
      </c>
      <c r="CA124" s="783">
        <f>IF(OR($C$92=$AR124,$D$92=$AR124),Schweine_Werte!$O124*0.5,IF(OR($C$92&gt;$AR124,$D$92&lt;$AR124),0,Schweine_Werte!$O124))</f>
        <v>0</v>
      </c>
      <c r="CB124" s="783">
        <f>IF(OR($C$101=$AR124,$D$101=$AR124),Schweine_Werte!$O124*0.5,IF(OR($C$101&gt;$AR124,$D$101&lt;$AR124),0,Schweine_Werte!$O124))</f>
        <v>0</v>
      </c>
      <c r="CC124" s="783">
        <f>IF(OR($C$110=$AR124,$D$110=$AR124),Schweine_Werte!$O124*0.5,IF(OR($C$110&gt;$AR124,$D$110&lt;$AR124),0,Schweine_Werte!$O124))</f>
        <v>0</v>
      </c>
    </row>
    <row r="125" spans="1:81" ht="15.75" x14ac:dyDescent="0.25">
      <c r="F125" s="352"/>
      <c r="G125" s="1588" t="s">
        <v>7701</v>
      </c>
      <c r="H125" s="1589"/>
      <c r="I125" s="1590"/>
      <c r="J125" s="973" t="s">
        <v>589</v>
      </c>
      <c r="K125" s="973" t="s">
        <v>224</v>
      </c>
      <c r="L125" s="1591" t="s">
        <v>7702</v>
      </c>
      <c r="M125" s="1592"/>
      <c r="N125" s="1593"/>
      <c r="O125" s="1591" t="s">
        <v>7703</v>
      </c>
      <c r="P125" s="1593"/>
      <c r="Q125" s="1591" t="s">
        <v>7758</v>
      </c>
      <c r="R125" s="1592"/>
      <c r="S125" s="1593"/>
      <c r="T125" s="1591" t="s">
        <v>7704</v>
      </c>
      <c r="U125" s="1592"/>
      <c r="V125" s="1593"/>
      <c r="W125" s="1591" t="s">
        <v>7785</v>
      </c>
      <c r="X125" s="1592"/>
      <c r="Y125" s="1593"/>
      <c r="AR125" s="792">
        <v>129</v>
      </c>
      <c r="AS125" s="781">
        <f>IF(OR($C$12=$AR125,$D$12=$AR125),Schweine_Werte!$C125*0.5,IF(OR($C$12&gt;$AR125,$D$12&lt;$AR125),0,Schweine_Werte!$C125))</f>
        <v>0</v>
      </c>
      <c r="AT125" s="716">
        <f>IF(OR($C$24=$AR125,$D$24=$AR125),Schweine_Werte!$C125*0.5,IF(OR($C$24&gt;$AR125,$D$24&lt;$AR125),0,Schweine_Werte!$C125))</f>
        <v>0</v>
      </c>
      <c r="AU125" s="781">
        <f>IF(OR($C$36=$AR125,$D$36=$AR125),Schweine_Werte!$C125*0.5,IF(OR($C$36&gt;$AR125,$D$36&lt;$AR125),0,Schweine_Werte!$C125))</f>
        <v>0</v>
      </c>
      <c r="AV125" s="781">
        <f>IF(OR($C$48=$AR125,$D$48=$AR125),Schweine_Werte!$C125*0.5,IF(OR($C$48&gt;$AR125,$D$48&lt;$AR125),0,Schweine_Werte!$C125))</f>
        <v>0</v>
      </c>
      <c r="AW125" s="781">
        <f>IF(OR($C$60=$AR125,$D$60=$AR125),Schweine_Werte!$C125*0.5,IF(OR($C$60&gt;$AR125,$D$60&lt;$AR125),0,Schweine_Werte!$C125))</f>
        <v>0</v>
      </c>
      <c r="AX125" s="781">
        <f>IF(OR($C$12=$AR125,$D$12=$AR125),Schweine_Werte!$E125*0.5,IF(OR($C$12&gt;$AR125,$D$12&lt;$AR125),0,Schweine_Werte!$E125))</f>
        <v>0</v>
      </c>
      <c r="AY125" s="716">
        <f>IF(OR($C$24=$AR125,$D$24=$AR125),Schweine_Werte!$E125*0.5,IF(OR($C$24&gt;$AR125,$D$24&lt;$AR125),0,Schweine_Werte!$E125))</f>
        <v>0</v>
      </c>
      <c r="AZ125" s="716">
        <f>IF(OR($C$36=$AR125,$D$36=$AR125),Schweine_Werte!$E125*0.5,IF(OR($C$36&gt;$AR125,$D$36&lt;$AR125),0,Schweine_Werte!$E125))</f>
        <v>0</v>
      </c>
      <c r="BA125" s="716">
        <f>IF(OR($C$48=$AR125,$D$48=$AR125),Schweine_Werte!$E125*0.5,IF(OR($C$48&gt;$AR125,$D$48&lt;$AR125),0,Schweine_Werte!$E125))</f>
        <v>0</v>
      </c>
      <c r="BB125" s="716">
        <f>IF(OR($C$60=$AR125,$D$60=$AR125),Schweine_Werte!$E125*0.5,IF(OR($C$60&gt;$AR125,$D$60&lt;$AR125),0,Schweine_Werte!$E125))</f>
        <v>0</v>
      </c>
      <c r="BC125" s="781">
        <f>IF(OR($C$12=$AR125,$D$12=$AR125),Schweine_Werte!$G125*0.5,IF(OR($C$12&gt;$AR125,$D$12&lt;$AR125),0,Schweine_Werte!$G125))</f>
        <v>0</v>
      </c>
      <c r="BD125" s="716">
        <f>IF(OR($C$24=$AR125,$D$24=$AR125),Schweine_Werte!$G125*0.5,IF(OR($C$24&gt;$AR125,$D$24&lt;$AR125),0,Schweine_Werte!$G125))</f>
        <v>0</v>
      </c>
      <c r="BE125" s="716">
        <f>IF(OR($C$36=$AR125,$D$36=$AR125),Schweine_Werte!$G125*0.5,IF(OR($C$36&gt;$AR125,$D$36&lt;$AR125),0,Schweine_Werte!$G125))</f>
        <v>0</v>
      </c>
      <c r="BF125" s="716">
        <f>IF(OR($C$48=$AR125,$D$48=$AR125),Schweine_Werte!$G125*0.5,IF(OR($C$48&gt;$AR125,$D$48&lt;$AR125),0,Schweine_Werte!$G125))</f>
        <v>0</v>
      </c>
      <c r="BG125" s="716">
        <f>IF(OR($C$60=$AR125,$D$60=$AR125),Schweine_Werte!$G125*0.5,IF(OR($C$60&gt;$AR125,$D$60&lt;$AR125),0,Schweine_Werte!$G125))</f>
        <v>0</v>
      </c>
      <c r="BH125" s="781">
        <f>IF(OR($C$12=$AR125,$D$12=$AR125),Schweine_Werte!$I125*0.5,IF(OR($C$12&gt;$AR125,$D$12&lt;$AR125),0,Schweine_Werte!$I125))</f>
        <v>0</v>
      </c>
      <c r="BI125" s="716">
        <f>IF(OR($C$24=$AR125,$D$24=$AR125),Schweine_Werte!$I125*0.5,IF(OR($C$24&gt;$AR125,$D$24&lt;$AR125),0,Schweine_Werte!$I125))</f>
        <v>0</v>
      </c>
      <c r="BJ125" s="716">
        <f>IF(OR($C$36=$AR125,$D$36=$AR125),Schweine_Werte!$I125*0.5,IF(OR($C$36&gt;$AR125,$D$36&lt;$AR125),0,Schweine_Werte!$I125))</f>
        <v>0</v>
      </c>
      <c r="BK125" s="716">
        <f>IF(OR($C$48=$AR125,$D$48=$AR125),Schweine_Werte!$I125*0.5,IF(OR($C$48&gt;$AR125,$D$48&lt;$AR125),0,Schweine_Werte!$I125))</f>
        <v>0</v>
      </c>
      <c r="BL125" s="716">
        <f>IF(OR($C$60=$AR125,$D$60=$AR125),Schweine_Werte!$I125*0.5,IF(OR($C$60&gt;$AR125,$D$60&lt;$AR125),0,Schweine_Werte!$I125))</f>
        <v>0</v>
      </c>
      <c r="BM125" s="781"/>
      <c r="BN125" s="716"/>
      <c r="BO125" s="716"/>
      <c r="BP125" s="716"/>
      <c r="BQ125" s="716"/>
      <c r="BR125" s="781">
        <f>IF(OR($C$74=$AR125,$D$74=$AR125),Schweine_Werte!$M125*0.5,IF(OR($C$74&gt;$AR125,$D$74&lt;$AR125),0,Schweine_Werte!$M125))</f>
        <v>0</v>
      </c>
      <c r="BS125" s="781">
        <f>IF(OR($C$83=$AR125,$D$83=$AR125),Schweine_Werte!$M125*0.5,IF(OR($C$83&gt;$AR125,$D$83&lt;$AR125),0,Schweine_Werte!$M125))</f>
        <v>0</v>
      </c>
      <c r="BT125" s="783">
        <f>IF(OR($C$92=$AR125,$D$92=$AR125),Schweine_Werte!$M125*0.5,IF(OR($C$92&gt;$AR125,$D$92&lt;$AR125),0,Schweine_Werte!$M125))</f>
        <v>0</v>
      </c>
      <c r="BU125" s="783">
        <f>IF(OR($C$101=$AR125,$D$101=$AR125),Schweine_Werte!$M125*0.5,IF(OR($C$101&gt;$AR125,$D$101&lt;$AR125),0,Schweine_Werte!$M125))</f>
        <v>0</v>
      </c>
      <c r="BV125" s="783">
        <f>IF(OR($C$110=$AR125,$D$110=$AR125),Schweine_Werte!$M125*0.5,IF(OR($C$110&gt;$AR125,$D$110&lt;$AR125),0,Schweine_Werte!$M125))</f>
        <v>0</v>
      </c>
      <c r="BW125" s="783">
        <f>IF(OR(8=$AR125,$E$127=$AR125),Schweine_Werte!$M125*0.5,IF(OR(8&gt;$AR125,$E$127&lt;$AR125),0,Schweine_Werte!$M125))</f>
        <v>1.4477278921508818</v>
      </c>
      <c r="BX125" s="783">
        <f>IF(OR(8=$AR125,$E$145=$AR125),Schweine_Werte!$M125*0.5,IF(OR(8&gt;$AR125,$E$145&lt;$AR125),0,Schweine_Werte!$M125))</f>
        <v>1.4477278921508818</v>
      </c>
      <c r="BY125" s="781">
        <f>IF(OR($C$74=$AR125,$D$74=$AR125),Schweine_Werte!$O125*0.5,IF(OR($C$74&gt;$AR125,$D$74&lt;$AR125),0,Schweine_Werte!$O125))</f>
        <v>0</v>
      </c>
      <c r="BZ125" s="781">
        <f>IF(OR($C$83=$AR125,$D$83=$AR125),Schweine_Werte!$O125*0.5,IF(OR($C$83&gt;$AR125,$D$83&lt;$AR125),0,Schweine_Werte!$O125))</f>
        <v>0</v>
      </c>
      <c r="CA125" s="783">
        <f>IF(OR($C$92=$AR125,$D$92=$AR125),Schweine_Werte!$O125*0.5,IF(OR($C$92&gt;$AR125,$D$92&lt;$AR125),0,Schweine_Werte!$O125))</f>
        <v>0</v>
      </c>
      <c r="CB125" s="783">
        <f>IF(OR($C$101=$AR125,$D$101=$AR125),Schweine_Werte!$O125*0.5,IF(OR($C$101&gt;$AR125,$D$101&lt;$AR125),0,Schweine_Werte!$O125))</f>
        <v>0</v>
      </c>
      <c r="CC125" s="783">
        <f>IF(OR($C$110=$AR125,$D$110=$AR125),Schweine_Werte!$O125*0.5,IF(OR($C$110&gt;$AR125,$D$110&lt;$AR125),0,Schweine_Werte!$O125))</f>
        <v>0</v>
      </c>
    </row>
    <row r="126" spans="1:81" ht="18.75" x14ac:dyDescent="0.25">
      <c r="B126" s="795" t="s">
        <v>7705</v>
      </c>
      <c r="C126" s="796"/>
      <c r="D126" s="797" t="s">
        <v>7732</v>
      </c>
      <c r="E126" s="798" t="s">
        <v>7648</v>
      </c>
      <c r="F126" s="733" t="s">
        <v>196</v>
      </c>
      <c r="G126" s="662" t="s">
        <v>4</v>
      </c>
      <c r="H126" s="662" t="s">
        <v>7707</v>
      </c>
      <c r="I126" s="662" t="s">
        <v>7708</v>
      </c>
      <c r="J126" s="663" t="s">
        <v>7709</v>
      </c>
      <c r="K126" s="663" t="s">
        <v>7709</v>
      </c>
      <c r="L126" s="664" t="s">
        <v>39</v>
      </c>
      <c r="M126" s="664" t="s">
        <v>7710</v>
      </c>
      <c r="N126" s="664" t="s">
        <v>41</v>
      </c>
      <c r="O126" s="665" t="s">
        <v>0</v>
      </c>
      <c r="P126" s="665" t="s">
        <v>8</v>
      </c>
      <c r="Q126" s="664" t="s">
        <v>39</v>
      </c>
      <c r="R126" s="664" t="s">
        <v>40</v>
      </c>
      <c r="S126" s="664" t="s">
        <v>41</v>
      </c>
      <c r="T126" s="664" t="s">
        <v>39</v>
      </c>
      <c r="U126" s="664" t="s">
        <v>40</v>
      </c>
      <c r="V126" s="664" t="s">
        <v>41</v>
      </c>
      <c r="W126" s="663" t="s">
        <v>7684</v>
      </c>
      <c r="X126" s="663" t="s">
        <v>7685</v>
      </c>
      <c r="Y126" s="663" t="s">
        <v>7686</v>
      </c>
      <c r="AR126" s="792">
        <v>130</v>
      </c>
      <c r="AS126" s="781">
        <f>IF(OR($C$12=$AR126,$D$12=$AR126),Schweine_Werte!$C126*0.5,IF(OR($C$12&gt;$AR126,$D$12&lt;$AR126),0,Schweine_Werte!$C126))</f>
        <v>0</v>
      </c>
      <c r="AT126" s="716">
        <f>IF(OR($C$24=$AR126,$D$24=$AR126),Schweine_Werte!$C126*0.5,IF(OR($C$24&gt;$AR126,$D$24&lt;$AR126),0,Schweine_Werte!$C126))</f>
        <v>0</v>
      </c>
      <c r="AU126" s="781">
        <f>IF(OR($C$36=$AR126,$D$36=$AR126),Schweine_Werte!$C126*0.5,IF(OR($C$36&gt;$AR126,$D$36&lt;$AR126),0,Schweine_Werte!$C126))</f>
        <v>0</v>
      </c>
      <c r="AV126" s="781">
        <f>IF(OR($C$48=$AR126,$D$48=$AR126),Schweine_Werte!$C126*0.5,IF(OR($C$48&gt;$AR126,$D$48&lt;$AR126),0,Schweine_Werte!$C126))</f>
        <v>0</v>
      </c>
      <c r="AW126" s="781">
        <f>IF(OR($C$60=$AR126,$D$60=$AR126),Schweine_Werte!$C126*0.5,IF(OR($C$60&gt;$AR126,$D$60&lt;$AR126),0,Schweine_Werte!$C126))</f>
        <v>0</v>
      </c>
      <c r="AX126" s="781">
        <f>IF(OR($C$12=$AR126,$D$12=$AR126),Schweine_Werte!$E126*0.5,IF(OR($C$12&gt;$AR126,$D$12&lt;$AR126),0,Schweine_Werte!$E126))</f>
        <v>0</v>
      </c>
      <c r="AY126" s="716">
        <f>IF(OR($C$24=$AR126,$D$24=$AR126),Schweine_Werte!$E126*0.5,IF(OR($C$24&gt;$AR126,$D$24&lt;$AR126),0,Schweine_Werte!$E126))</f>
        <v>0</v>
      </c>
      <c r="AZ126" s="716">
        <f>IF(OR($C$36=$AR126,$D$36=$AR126),Schweine_Werte!$E126*0.5,IF(OR($C$36&gt;$AR126,$D$36&lt;$AR126),0,Schweine_Werte!$E126))</f>
        <v>0</v>
      </c>
      <c r="BA126" s="716">
        <f>IF(OR($C$48=$AR126,$D$48=$AR126),Schweine_Werte!$E126*0.5,IF(OR($C$48&gt;$AR126,$D$48&lt;$AR126),0,Schweine_Werte!$E126))</f>
        <v>0</v>
      </c>
      <c r="BB126" s="716">
        <f>IF(OR($C$60=$AR126,$D$60=$AR126),Schweine_Werte!$E126*0.5,IF(OR($C$60&gt;$AR126,$D$60&lt;$AR126),0,Schweine_Werte!$E126))</f>
        <v>0</v>
      </c>
      <c r="BC126" s="781">
        <f>IF(OR($C$12=$AR126,$D$12=$AR126),Schweine_Werte!$G126*0.5,IF(OR($C$12&gt;$AR126,$D$12&lt;$AR126),0,Schweine_Werte!$G126))</f>
        <v>0</v>
      </c>
      <c r="BD126" s="716">
        <f>IF(OR($C$24=$AR126,$D$24=$AR126),Schweine_Werte!$G126*0.5,IF(OR($C$24&gt;$AR126,$D$24&lt;$AR126),0,Schweine_Werte!$G126))</f>
        <v>0</v>
      </c>
      <c r="BE126" s="716">
        <f>IF(OR($C$36=$AR126,$D$36=$AR126),Schweine_Werte!$G126*0.5,IF(OR($C$36&gt;$AR126,$D$36&lt;$AR126),0,Schweine_Werte!$G126))</f>
        <v>0</v>
      </c>
      <c r="BF126" s="716">
        <f>IF(OR($C$48=$AR126,$D$48=$AR126),Schweine_Werte!$G126*0.5,IF(OR($C$48&gt;$AR126,$D$48&lt;$AR126),0,Schweine_Werte!$G126))</f>
        <v>0</v>
      </c>
      <c r="BG126" s="716">
        <f>IF(OR($C$60=$AR126,$D$60=$AR126),Schweine_Werte!$G126*0.5,IF(OR($C$60&gt;$AR126,$D$60&lt;$AR126),0,Schweine_Werte!$G126))</f>
        <v>0</v>
      </c>
      <c r="BH126" s="781">
        <f>IF(OR($C$12=$AR126,$D$12=$AR126),Schweine_Werte!$I126*0.5,IF(OR($C$12&gt;$AR126,$D$12&lt;$AR126),0,Schweine_Werte!$I126))</f>
        <v>0</v>
      </c>
      <c r="BI126" s="716">
        <f>IF(OR($C$24=$AR126,$D$24=$AR126),Schweine_Werte!$I126*0.5,IF(OR($C$24&gt;$AR126,$D$24&lt;$AR126),0,Schweine_Werte!$I126))</f>
        <v>0</v>
      </c>
      <c r="BJ126" s="716">
        <f>IF(OR($C$36=$AR126,$D$36=$AR126),Schweine_Werte!$I126*0.5,IF(OR($C$36&gt;$AR126,$D$36&lt;$AR126),0,Schweine_Werte!$I126))</f>
        <v>0</v>
      </c>
      <c r="BK126" s="716">
        <f>IF(OR($C$48=$AR126,$D$48=$AR126),Schweine_Werte!$I126*0.5,IF(OR($C$48&gt;$AR126,$D$48&lt;$AR126),0,Schweine_Werte!$I126))</f>
        <v>0</v>
      </c>
      <c r="BL126" s="716">
        <f>IF(OR($C$60=$AR126,$D$60=$AR126),Schweine_Werte!$I126*0.5,IF(OR($C$60&gt;$AR126,$D$60&lt;$AR126),0,Schweine_Werte!$I126))</f>
        <v>0</v>
      </c>
      <c r="BM126" s="781"/>
      <c r="BN126" s="716"/>
      <c r="BO126" s="716"/>
      <c r="BP126" s="716"/>
      <c r="BQ126" s="716"/>
      <c r="BR126" s="781">
        <f>IF(OR($C$74=$AR126,$D$74=$AR126),Schweine_Werte!$M126*0.5,IF(OR($C$74&gt;$AR126,$D$74&lt;$AR126),0,Schweine_Werte!$M126))</f>
        <v>0</v>
      </c>
      <c r="BS126" s="781">
        <f>IF(OR($C$83=$AR126,$D$83=$AR126),Schweine_Werte!$M126*0.5,IF(OR($C$83&gt;$AR126,$D$83&lt;$AR126),0,Schweine_Werte!$M126))</f>
        <v>0</v>
      </c>
      <c r="BT126" s="783">
        <f>IF(OR($C$92=$AR126,$D$92=$AR126),Schweine_Werte!$M126*0.5,IF(OR($C$92&gt;$AR126,$D$92&lt;$AR126),0,Schweine_Werte!$M126))</f>
        <v>0</v>
      </c>
      <c r="BU126" s="783">
        <f>IF(OR($C$101=$AR126,$D$101=$AR126),Schweine_Werte!$M126*0.5,IF(OR($C$101&gt;$AR126,$D$101&lt;$AR126),0,Schweine_Werte!$M126))</f>
        <v>0</v>
      </c>
      <c r="BV126" s="783">
        <f>IF(OR($C$110=$AR126,$D$110=$AR126),Schweine_Werte!$M126*0.5,IF(OR($C$110&gt;$AR126,$D$110&lt;$AR126),0,Schweine_Werte!$M126))</f>
        <v>0</v>
      </c>
      <c r="BW126" s="783">
        <f>IF(OR(8=$AR126,$E$127=$AR126),Schweine_Werte!$M126*0.5,IF(OR(8&gt;$AR126,$E$127&lt;$AR126),0,Schweine_Werte!$M126))</f>
        <v>1.4477278921508818</v>
      </c>
      <c r="BX126" s="783">
        <f>IF(OR(8=$AR126,$E$145=$AR126),Schweine_Werte!$M126*0.5,IF(OR(8&gt;$AR126,$E$145&lt;$AR126),0,Schweine_Werte!$M126))</f>
        <v>1.4477278921508818</v>
      </c>
      <c r="BY126" s="781">
        <f>IF(OR($C$74=$AR126,$D$74=$AR126),Schweine_Werte!$O126*0.5,IF(OR($C$74&gt;$AR126,$D$74&lt;$AR126),0,Schweine_Werte!$O126))</f>
        <v>0</v>
      </c>
      <c r="BZ126" s="781">
        <f>IF(OR($C$83=$AR126,$D$83=$AR126),Schweine_Werte!$O126*0.5,IF(OR($C$83&gt;$AR126,$D$83&lt;$AR126),0,Schweine_Werte!$O126))</f>
        <v>0</v>
      </c>
      <c r="CA126" s="783">
        <f>IF(OR($C$92=$AR126,$D$92=$AR126),Schweine_Werte!$O126*0.5,IF(OR($C$92&gt;$AR126,$D$92&lt;$AR126),0,Schweine_Werte!$O126))</f>
        <v>0</v>
      </c>
      <c r="CB126" s="783">
        <f>IF(OR($C$101=$AR126,$D$101=$AR126),Schweine_Werte!$O126*0.5,IF(OR($C$101&gt;$AR126,$D$101&lt;$AR126),0,Schweine_Werte!$O126))</f>
        <v>0</v>
      </c>
      <c r="CC126" s="783">
        <f>IF(OR($C$110=$AR126,$D$110=$AR126),Schweine_Werte!$O126*0.5,IF(OR($C$110&gt;$AR126,$D$110&lt;$AR126),0,Schweine_Werte!$O126))</f>
        <v>0</v>
      </c>
    </row>
    <row r="127" spans="1:81" ht="15.75" x14ac:dyDescent="0.25">
      <c r="A127" t="s">
        <v>7783</v>
      </c>
      <c r="B127" s="803" t="str">
        <f>IF('Abweichende Werte'!W11=1,'Abweichende Werte'!F11,"")</f>
        <v/>
      </c>
      <c r="C127" s="803"/>
      <c r="D127" s="692" t="str">
        <f>IF('Abweichende Werte'!W11=1,'Abweichende Werte'!J11,"")</f>
        <v/>
      </c>
      <c r="E127" s="692" t="str">
        <f>IF('Abweichende Werte'!W11=1,'Abweichende Werte'!M11,"")</f>
        <v/>
      </c>
      <c r="F127" s="799" t="e">
        <f t="shared" ref="F127:K127" si="56">SUM(F119:F120)</f>
        <v>#VALUE!</v>
      </c>
      <c r="G127" s="799" t="e">
        <f t="shared" si="56"/>
        <v>#VALUE!</v>
      </c>
      <c r="H127" s="799" t="e">
        <f t="shared" si="56"/>
        <v>#VALUE!</v>
      </c>
      <c r="I127" s="799" t="e">
        <f t="shared" si="56"/>
        <v>#VALUE!</v>
      </c>
      <c r="J127" s="799" t="e">
        <f t="shared" si="56"/>
        <v>#VALUE!</v>
      </c>
      <c r="K127" s="799" t="e">
        <f t="shared" si="56"/>
        <v>#VALUE!</v>
      </c>
      <c r="L127" s="799" t="e">
        <f>Q127*365/1000+$J127-$K127</f>
        <v>#VALUE!</v>
      </c>
      <c r="M127" s="799" t="e">
        <f>R127*365/1000+$J127-$K127/2</f>
        <v>#VALUE!</v>
      </c>
      <c r="N127" s="799" t="e">
        <f>S127*365/1000+$J127</f>
        <v>#VALUE!</v>
      </c>
      <c r="O127" s="799">
        <v>5.5</v>
      </c>
      <c r="P127" s="799">
        <v>1.8</v>
      </c>
      <c r="Q127" s="799" t="e">
        <f>SUM(Q119:Q120)</f>
        <v>#VALUE!</v>
      </c>
      <c r="R127" s="799" t="e">
        <f>SUM(R119:R120)</f>
        <v>#VALUE!</v>
      </c>
      <c r="S127" s="799" t="e">
        <f>SUM(S119:S120)</f>
        <v>#VALUE!</v>
      </c>
      <c r="T127" s="799" t="e">
        <f>Q127/$F127</f>
        <v>#VALUE!</v>
      </c>
      <c r="U127" s="799" t="e">
        <f>R127/$F127</f>
        <v>#VALUE!</v>
      </c>
      <c r="V127" s="799" t="e">
        <f>S127/$F127</f>
        <v>#VALUE!</v>
      </c>
      <c r="W127" s="799" t="e">
        <f>($J127*0.055+Q127*0.365*0.86-$K127*0.018)/L127*100</f>
        <v>#VALUE!</v>
      </c>
      <c r="X127" s="799" t="e">
        <f>($J127*0.055+R127*0.365*0.86-$K127*0.018/2)/M127*100</f>
        <v>#VALUE!</v>
      </c>
      <c r="Y127" s="799" t="e">
        <f>($J127*0.055+S127*0.365*0.86)/N127*100</f>
        <v>#VALUE!</v>
      </c>
      <c r="AR127" s="792">
        <v>131</v>
      </c>
      <c r="AS127" s="781">
        <f>IF(OR($C$12=$AR127,$D$12=$AR127),Schweine_Werte!$C127*0.5,IF(OR($C$12&gt;$AR127,$D$12&lt;$AR127),0,Schweine_Werte!$C127))</f>
        <v>0</v>
      </c>
      <c r="AT127" s="716">
        <f>IF(OR($C$24=$AR127,$D$24=$AR127),Schweine_Werte!$C127*0.5,IF(OR($C$24&gt;$AR127,$D$24&lt;$AR127),0,Schweine_Werte!$C127))</f>
        <v>0</v>
      </c>
      <c r="AU127" s="781">
        <f>IF(OR($C$36=$AR127,$D$36=$AR127),Schweine_Werte!$C127*0.5,IF(OR($C$36&gt;$AR127,$D$36&lt;$AR127),0,Schweine_Werte!$C127))</f>
        <v>0</v>
      </c>
      <c r="AV127" s="781">
        <f>IF(OR($C$48=$AR127,$D$48=$AR127),Schweine_Werte!$C127*0.5,IF(OR($C$48&gt;$AR127,$D$48&lt;$AR127),0,Schweine_Werte!$C127))</f>
        <v>0</v>
      </c>
      <c r="AW127" s="781">
        <f>IF(OR($C$60=$AR127,$D$60=$AR127),Schweine_Werte!$C127*0.5,IF(OR($C$60&gt;$AR127,$D$60&lt;$AR127),0,Schweine_Werte!$C127))</f>
        <v>0</v>
      </c>
      <c r="AX127" s="781">
        <f>IF(OR($C$12=$AR127,$D$12=$AR127),Schweine_Werte!$E127*0.5,IF(OR($C$12&gt;$AR127,$D$12&lt;$AR127),0,Schweine_Werte!$E127))</f>
        <v>0</v>
      </c>
      <c r="AY127" s="716">
        <f>IF(OR($C$24=$AR127,$D$24=$AR127),Schweine_Werte!$E127*0.5,IF(OR($C$24&gt;$AR127,$D$24&lt;$AR127),0,Schweine_Werte!$E127))</f>
        <v>0</v>
      </c>
      <c r="AZ127" s="716">
        <f>IF(OR($C$36=$AR127,$D$36=$AR127),Schweine_Werte!$E127*0.5,IF(OR($C$36&gt;$AR127,$D$36&lt;$AR127),0,Schweine_Werte!$E127))</f>
        <v>0</v>
      </c>
      <c r="BA127" s="716">
        <f>IF(OR($C$48=$AR127,$D$48=$AR127),Schweine_Werte!$E127*0.5,IF(OR($C$48&gt;$AR127,$D$48&lt;$AR127),0,Schweine_Werte!$E127))</f>
        <v>0</v>
      </c>
      <c r="BB127" s="716">
        <f>IF(OR($C$60=$AR127,$D$60=$AR127),Schweine_Werte!$E127*0.5,IF(OR($C$60&gt;$AR127,$D$60&lt;$AR127),0,Schweine_Werte!$E127))</f>
        <v>0</v>
      </c>
      <c r="BC127" s="781">
        <f>IF(OR($C$12=$AR127,$D$12=$AR127),Schweine_Werte!$G127*0.5,IF(OR($C$12&gt;$AR127,$D$12&lt;$AR127),0,Schweine_Werte!$G127))</f>
        <v>0</v>
      </c>
      <c r="BD127" s="716">
        <f>IF(OR($C$24=$AR127,$D$24=$AR127),Schweine_Werte!$G127*0.5,IF(OR($C$24&gt;$AR127,$D$24&lt;$AR127),0,Schweine_Werte!$G127))</f>
        <v>0</v>
      </c>
      <c r="BE127" s="716">
        <f>IF(OR($C$36=$AR127,$D$36=$AR127),Schweine_Werte!$G127*0.5,IF(OR($C$36&gt;$AR127,$D$36&lt;$AR127),0,Schweine_Werte!$G127))</f>
        <v>0</v>
      </c>
      <c r="BF127" s="716">
        <f>IF(OR($C$48=$AR127,$D$48=$AR127),Schweine_Werte!$G127*0.5,IF(OR($C$48&gt;$AR127,$D$48&lt;$AR127),0,Schweine_Werte!$G127))</f>
        <v>0</v>
      </c>
      <c r="BG127" s="716">
        <f>IF(OR($C$60=$AR127,$D$60=$AR127),Schweine_Werte!$G127*0.5,IF(OR($C$60&gt;$AR127,$D$60&lt;$AR127),0,Schweine_Werte!$G127))</f>
        <v>0</v>
      </c>
      <c r="BH127" s="781">
        <f>IF(OR($C$12=$AR127,$D$12=$AR127),Schweine_Werte!$I127*0.5,IF(OR($C$12&gt;$AR127,$D$12&lt;$AR127),0,Schweine_Werte!$I127))</f>
        <v>0</v>
      </c>
      <c r="BI127" s="716">
        <f>IF(OR($C$24=$AR127,$D$24=$AR127),Schweine_Werte!$I127*0.5,IF(OR($C$24&gt;$AR127,$D$24&lt;$AR127),0,Schweine_Werte!$I127))</f>
        <v>0</v>
      </c>
      <c r="BJ127" s="716">
        <f>IF(OR($C$36=$AR127,$D$36=$AR127),Schweine_Werte!$I127*0.5,IF(OR($C$36&gt;$AR127,$D$36&lt;$AR127),0,Schweine_Werte!$I127))</f>
        <v>0</v>
      </c>
      <c r="BK127" s="716">
        <f>IF(OR($C$48=$AR127,$D$48=$AR127),Schweine_Werte!$I127*0.5,IF(OR($C$48&gt;$AR127,$D$48&lt;$AR127),0,Schweine_Werte!$I127))</f>
        <v>0</v>
      </c>
      <c r="BL127" s="716">
        <f>IF(OR($C$60=$AR127,$D$60=$AR127),Schweine_Werte!$I127*0.5,IF(OR($C$60&gt;$AR127,$D$60&lt;$AR127),0,Schweine_Werte!$I127))</f>
        <v>0</v>
      </c>
      <c r="BM127" s="781"/>
      <c r="BN127" s="716"/>
      <c r="BO127" s="716"/>
      <c r="BP127" s="716"/>
      <c r="BQ127" s="716"/>
      <c r="BR127" s="781">
        <f>IF(OR($C$74=$AR127,$D$74=$AR127),Schweine_Werte!$M127*0.5,IF(OR($C$74&gt;$AR127,$D$74&lt;$AR127),0,Schweine_Werte!$M127))</f>
        <v>0</v>
      </c>
      <c r="BS127" s="781">
        <f>IF(OR($C$83=$AR127,$D$83=$AR127),Schweine_Werte!$M127*0.5,IF(OR($C$83&gt;$AR127,$D$83&lt;$AR127),0,Schweine_Werte!$M127))</f>
        <v>0</v>
      </c>
      <c r="BT127" s="783">
        <f>IF(OR($C$92=$AR127,$D$92=$AR127),Schweine_Werte!$M127*0.5,IF(OR($C$92&gt;$AR127,$D$92&lt;$AR127),0,Schweine_Werte!$M127))</f>
        <v>0</v>
      </c>
      <c r="BU127" s="783">
        <f>IF(OR($C$101=$AR127,$D$101=$AR127),Schweine_Werte!$M127*0.5,IF(OR($C$101&gt;$AR127,$D$101&lt;$AR127),0,Schweine_Werte!$M127))</f>
        <v>0</v>
      </c>
      <c r="BV127" s="783">
        <f>IF(OR($C$110=$AR127,$D$110=$AR127),Schweine_Werte!$M127*0.5,IF(OR($C$110&gt;$AR127,$D$110&lt;$AR127),0,Schweine_Werte!$M127))</f>
        <v>0</v>
      </c>
      <c r="BW127" s="783">
        <f>IF(OR(8=$AR127,$E$127=$AR127),Schweine_Werte!$M127*0.5,IF(OR(8&gt;$AR127,$E$127&lt;$AR127),0,Schweine_Werte!$M127))</f>
        <v>1.4477278921508818</v>
      </c>
      <c r="BX127" s="783">
        <f>IF(OR(8=$AR127,$E$145=$AR127),Schweine_Werte!$M127*0.5,IF(OR(8&gt;$AR127,$E$145&lt;$AR127),0,Schweine_Werte!$M127))</f>
        <v>1.4477278921508818</v>
      </c>
      <c r="BY127" s="781">
        <f>IF(OR($C$74=$AR127,$D$74=$AR127),Schweine_Werte!$O127*0.5,IF(OR($C$74&gt;$AR127,$D$74&lt;$AR127),0,Schweine_Werte!$O127))</f>
        <v>0</v>
      </c>
      <c r="BZ127" s="781">
        <f>IF(OR($C$83=$AR127,$D$83=$AR127),Schweine_Werte!$O127*0.5,IF(OR($C$83&gt;$AR127,$D$83&lt;$AR127),0,Schweine_Werte!$O127))</f>
        <v>0</v>
      </c>
      <c r="CA127" s="783">
        <f>IF(OR($C$92=$AR127,$D$92=$AR127),Schweine_Werte!$O127*0.5,IF(OR($C$92&gt;$AR127,$D$92&lt;$AR127),0,Schweine_Werte!$O127))</f>
        <v>0</v>
      </c>
      <c r="CB127" s="783">
        <f>IF(OR($C$101=$AR127,$D$101=$AR127),Schweine_Werte!$O127*0.5,IF(OR($C$101&gt;$AR127,$D$101&lt;$AR127),0,Schweine_Werte!$O127))</f>
        <v>0</v>
      </c>
      <c r="CC127" s="783">
        <f>IF(OR($C$110=$AR127,$D$110=$AR127),Schweine_Werte!$O127*0.5,IF(OR($C$110&gt;$AR127,$D$110&lt;$AR127),0,Schweine_Werte!$O127))</f>
        <v>0</v>
      </c>
    </row>
    <row r="128" spans="1:81" x14ac:dyDescent="0.2">
      <c r="E128" t="s">
        <v>7714</v>
      </c>
      <c r="AR128" s="792">
        <v>132</v>
      </c>
      <c r="AS128" s="781">
        <f>IF(OR($C$12=$AR128,$D$12=$AR128),Schweine_Werte!$C128*0.5,IF(OR($C$12&gt;$AR128,$D$12&lt;$AR128),0,Schweine_Werte!$C128))</f>
        <v>0</v>
      </c>
      <c r="AT128" s="716">
        <f>IF(OR($C$24=$AR128,$D$24=$AR128),Schweine_Werte!$C128*0.5,IF(OR($C$24&gt;$AR128,$D$24&lt;$AR128),0,Schweine_Werte!$C128))</f>
        <v>0</v>
      </c>
      <c r="AU128" s="781">
        <f>IF(OR($C$36=$AR128,$D$36=$AR128),Schweine_Werte!$C128*0.5,IF(OR($C$36&gt;$AR128,$D$36&lt;$AR128),0,Schweine_Werte!$C128))</f>
        <v>0</v>
      </c>
      <c r="AV128" s="781">
        <f>IF(OR($C$48=$AR128,$D$48=$AR128),Schweine_Werte!$C128*0.5,IF(OR($C$48&gt;$AR128,$D$48&lt;$AR128),0,Schweine_Werte!$C128))</f>
        <v>0</v>
      </c>
      <c r="AW128" s="781">
        <f>IF(OR($C$60=$AR128,$D$60=$AR128),Schweine_Werte!$C128*0.5,IF(OR($C$60&gt;$AR128,$D$60&lt;$AR128),0,Schweine_Werte!$C128))</f>
        <v>0</v>
      </c>
      <c r="AX128" s="781">
        <f>IF(OR($C$12=$AR128,$D$12=$AR128),Schweine_Werte!$E128*0.5,IF(OR($C$12&gt;$AR128,$D$12&lt;$AR128),0,Schweine_Werte!$E128))</f>
        <v>0</v>
      </c>
      <c r="AY128" s="716">
        <f>IF(OR($C$24=$AR128,$D$24=$AR128),Schweine_Werte!$E128*0.5,IF(OR($C$24&gt;$AR128,$D$24&lt;$AR128),0,Schweine_Werte!$E128))</f>
        <v>0</v>
      </c>
      <c r="AZ128" s="716">
        <f>IF(OR($C$36=$AR128,$D$36=$AR128),Schweine_Werte!$E128*0.5,IF(OR($C$36&gt;$AR128,$D$36&lt;$AR128),0,Schweine_Werte!$E128))</f>
        <v>0</v>
      </c>
      <c r="BA128" s="716">
        <f>IF(OR($C$48=$AR128,$D$48=$AR128),Schweine_Werte!$E128*0.5,IF(OR($C$48&gt;$AR128,$D$48&lt;$AR128),0,Schweine_Werte!$E128))</f>
        <v>0</v>
      </c>
      <c r="BB128" s="716">
        <f>IF(OR($C$60=$AR128,$D$60=$AR128),Schweine_Werte!$E128*0.5,IF(OR($C$60&gt;$AR128,$D$60&lt;$AR128),0,Schweine_Werte!$E128))</f>
        <v>0</v>
      </c>
      <c r="BC128" s="781">
        <f>IF(OR($C$12=$AR128,$D$12=$AR128),Schweine_Werte!$G128*0.5,IF(OR($C$12&gt;$AR128,$D$12&lt;$AR128),0,Schweine_Werte!$G128))</f>
        <v>0</v>
      </c>
      <c r="BD128" s="716">
        <f>IF(OR($C$24=$AR128,$D$24=$AR128),Schweine_Werte!$G128*0.5,IF(OR($C$24&gt;$AR128,$D$24&lt;$AR128),0,Schweine_Werte!$G128))</f>
        <v>0</v>
      </c>
      <c r="BE128" s="716">
        <f>IF(OR($C$36=$AR128,$D$36=$AR128),Schweine_Werte!$G128*0.5,IF(OR($C$36&gt;$AR128,$D$36&lt;$AR128),0,Schweine_Werte!$G128))</f>
        <v>0</v>
      </c>
      <c r="BF128" s="716">
        <f>IF(OR($C$48=$AR128,$D$48=$AR128),Schweine_Werte!$G128*0.5,IF(OR($C$48&gt;$AR128,$D$48&lt;$AR128),0,Schweine_Werte!$G128))</f>
        <v>0</v>
      </c>
      <c r="BG128" s="716">
        <f>IF(OR($C$60=$AR128,$D$60=$AR128),Schweine_Werte!$G128*0.5,IF(OR($C$60&gt;$AR128,$D$60&lt;$AR128),0,Schweine_Werte!$G128))</f>
        <v>0</v>
      </c>
      <c r="BH128" s="781">
        <f>IF(OR($C$12=$AR128,$D$12=$AR128),Schweine_Werte!$I128*0.5,IF(OR($C$12&gt;$AR128,$D$12&lt;$AR128),0,Schweine_Werte!$I128))</f>
        <v>0</v>
      </c>
      <c r="BI128" s="716">
        <f>IF(OR($C$24=$AR128,$D$24=$AR128),Schweine_Werte!$I128*0.5,IF(OR($C$24&gt;$AR128,$D$24&lt;$AR128),0,Schweine_Werte!$I128))</f>
        <v>0</v>
      </c>
      <c r="BJ128" s="716">
        <f>IF(OR($C$36=$AR128,$D$36=$AR128),Schweine_Werte!$I128*0.5,IF(OR($C$36&gt;$AR128,$D$36&lt;$AR128),0,Schweine_Werte!$I128))</f>
        <v>0</v>
      </c>
      <c r="BK128" s="716">
        <f>IF(OR($C$48=$AR128,$D$48=$AR128),Schweine_Werte!$I128*0.5,IF(OR($C$48&gt;$AR128,$D$48&lt;$AR128),0,Schweine_Werte!$I128))</f>
        <v>0</v>
      </c>
      <c r="BL128" s="716">
        <f>IF(OR($C$60=$AR128,$D$60=$AR128),Schweine_Werte!$I128*0.5,IF(OR($C$60&gt;$AR128,$D$60&lt;$AR128),0,Schweine_Werte!$I128))</f>
        <v>0</v>
      </c>
      <c r="BM128" s="781"/>
      <c r="BN128" s="716"/>
      <c r="BO128" s="716"/>
      <c r="BP128" s="716"/>
      <c r="BQ128" s="716"/>
      <c r="BR128" s="781">
        <f>IF(OR($C$74=$AR128,$D$74=$AR128),Schweine_Werte!$M128*0.5,IF(OR($C$74&gt;$AR128,$D$74&lt;$AR128),0,Schweine_Werte!$M128))</f>
        <v>0</v>
      </c>
      <c r="BS128" s="781">
        <f>IF(OR($C$83=$AR128,$D$83=$AR128),Schweine_Werte!$M128*0.5,IF(OR($C$83&gt;$AR128,$D$83&lt;$AR128),0,Schweine_Werte!$M128))</f>
        <v>0</v>
      </c>
      <c r="BT128" s="783">
        <f>IF(OR($C$92=$AR128,$D$92=$AR128),Schweine_Werte!$M128*0.5,IF(OR($C$92&gt;$AR128,$D$92&lt;$AR128),0,Schweine_Werte!$M128))</f>
        <v>0</v>
      </c>
      <c r="BU128" s="783">
        <f>IF(OR($C$101=$AR128,$D$101=$AR128),Schweine_Werte!$M128*0.5,IF(OR($C$101&gt;$AR128,$D$101&lt;$AR128),0,Schweine_Werte!$M128))</f>
        <v>0</v>
      </c>
      <c r="BV128" s="783">
        <f>IF(OR($C$110=$AR128,$D$110=$AR128),Schweine_Werte!$M128*0.5,IF(OR($C$110&gt;$AR128,$D$110&lt;$AR128),0,Schweine_Werte!$M128))</f>
        <v>0</v>
      </c>
      <c r="BW128" s="783">
        <f>IF(OR(8=$AR128,$E$127=$AR128),Schweine_Werte!$M128*0.5,IF(OR(8&gt;$AR128,$E$127&lt;$AR128),0,Schweine_Werte!$M128))</f>
        <v>1.4477278921508818</v>
      </c>
      <c r="BX128" s="783">
        <f>IF(OR(8=$AR128,$E$145=$AR128),Schweine_Werte!$M128*0.5,IF(OR(8&gt;$AR128,$E$145&lt;$AR128),0,Schweine_Werte!$M128))</f>
        <v>1.4477278921508818</v>
      </c>
      <c r="BY128" s="781">
        <f>IF(OR($C$74=$AR128,$D$74=$AR128),Schweine_Werte!$O128*0.5,IF(OR($C$74&gt;$AR128,$D$74&lt;$AR128),0,Schweine_Werte!$O128))</f>
        <v>0</v>
      </c>
      <c r="BZ128" s="781">
        <f>IF(OR($C$83=$AR128,$D$83=$AR128),Schweine_Werte!$O128*0.5,IF(OR($C$83&gt;$AR128,$D$83&lt;$AR128),0,Schweine_Werte!$O128))</f>
        <v>0</v>
      </c>
      <c r="CA128" s="783">
        <f>IF(OR($C$92=$AR128,$D$92=$AR128),Schweine_Werte!$O128*0.5,IF(OR($C$92&gt;$AR128,$D$92&lt;$AR128),0,Schweine_Werte!$O128))</f>
        <v>0</v>
      </c>
      <c r="CB128" s="783">
        <f>IF(OR($C$101=$AR128,$D$101=$AR128),Schweine_Werte!$O128*0.5,IF(OR($C$101&gt;$AR128,$D$101&lt;$AR128),0,Schweine_Werte!$O128))</f>
        <v>0</v>
      </c>
      <c r="CC128" s="783">
        <f>IF(OR($C$110=$AR128,$D$110=$AR128),Schweine_Werte!$O128*0.5,IF(OR($C$110&gt;$AR128,$D$110&lt;$AR128),0,Schweine_Werte!$O128))</f>
        <v>0</v>
      </c>
    </row>
    <row r="129" spans="2:81" x14ac:dyDescent="0.2">
      <c r="F129" s="716"/>
      <c r="G129" s="716"/>
      <c r="H129" s="716"/>
      <c r="I129" s="716"/>
      <c r="J129" s="716"/>
      <c r="K129" s="716"/>
      <c r="L129" s="716"/>
      <c r="M129" s="716"/>
      <c r="N129" s="716"/>
      <c r="O129" s="716"/>
      <c r="P129" s="716"/>
      <c r="Q129" s="716"/>
      <c r="R129" s="716"/>
      <c r="S129" s="716"/>
      <c r="T129" s="716"/>
      <c r="U129" s="716"/>
      <c r="V129" s="716"/>
      <c r="W129" s="716"/>
      <c r="X129" s="716"/>
      <c r="Y129" s="716"/>
      <c r="AR129" s="792">
        <v>133</v>
      </c>
      <c r="AS129" s="781">
        <f>IF(OR($C$12=$AR129,$D$12=$AR129),Schweine_Werte!$C129*0.5,IF(OR($C$12&gt;$AR129,$D$12&lt;$AR129),0,Schweine_Werte!$C129))</f>
        <v>0</v>
      </c>
      <c r="AT129" s="716">
        <f>IF(OR($C$24=$AR129,$D$24=$AR129),Schweine_Werte!$C129*0.5,IF(OR($C$24&gt;$AR129,$D$24&lt;$AR129),0,Schweine_Werte!$C129))</f>
        <v>0</v>
      </c>
      <c r="AU129" s="781">
        <f>IF(OR($C$36=$AR129,$D$36=$AR129),Schweine_Werte!$C129*0.5,IF(OR($C$36&gt;$AR129,$D$36&lt;$AR129),0,Schweine_Werte!$C129))</f>
        <v>0</v>
      </c>
      <c r="AV129" s="781">
        <f>IF(OR($C$48=$AR129,$D$48=$AR129),Schweine_Werte!$C129*0.5,IF(OR($C$48&gt;$AR129,$D$48&lt;$AR129),0,Schweine_Werte!$C129))</f>
        <v>0</v>
      </c>
      <c r="AW129" s="781">
        <f>IF(OR($C$60=$AR129,$D$60=$AR129),Schweine_Werte!$C129*0.5,IF(OR($C$60&gt;$AR129,$D$60&lt;$AR129),0,Schweine_Werte!$C129))</f>
        <v>0</v>
      </c>
      <c r="AX129" s="781">
        <f>IF(OR($C$12=$AR129,$D$12=$AR129),Schweine_Werte!$E129*0.5,IF(OR($C$12&gt;$AR129,$D$12&lt;$AR129),0,Schweine_Werte!$E129))</f>
        <v>0</v>
      </c>
      <c r="AY129" s="716">
        <f>IF(OR($C$24=$AR129,$D$24=$AR129),Schweine_Werte!$E129*0.5,IF(OR($C$24&gt;$AR129,$D$24&lt;$AR129),0,Schweine_Werte!$E129))</f>
        <v>0</v>
      </c>
      <c r="AZ129" s="716">
        <f>IF(OR($C$36=$AR129,$D$36=$AR129),Schweine_Werte!$E129*0.5,IF(OR($C$36&gt;$AR129,$D$36&lt;$AR129),0,Schweine_Werte!$E129))</f>
        <v>0</v>
      </c>
      <c r="BA129" s="716">
        <f>IF(OR($C$48=$AR129,$D$48=$AR129),Schweine_Werte!$E129*0.5,IF(OR($C$48&gt;$AR129,$D$48&lt;$AR129),0,Schweine_Werte!$E129))</f>
        <v>0</v>
      </c>
      <c r="BB129" s="716">
        <f>IF(OR($C$60=$AR129,$D$60=$AR129),Schweine_Werte!$E129*0.5,IF(OR($C$60&gt;$AR129,$D$60&lt;$AR129),0,Schweine_Werte!$E129))</f>
        <v>0</v>
      </c>
      <c r="BC129" s="781">
        <f>IF(OR($C$12=$AR129,$D$12=$AR129),Schweine_Werte!$G129*0.5,IF(OR($C$12&gt;$AR129,$D$12&lt;$AR129),0,Schweine_Werte!$G129))</f>
        <v>0</v>
      </c>
      <c r="BD129" s="716">
        <f>IF(OR($C$24=$AR129,$D$24=$AR129),Schweine_Werte!$G129*0.5,IF(OR($C$24&gt;$AR129,$D$24&lt;$AR129),0,Schweine_Werte!$G129))</f>
        <v>0</v>
      </c>
      <c r="BE129" s="716">
        <f>IF(OR($C$36=$AR129,$D$36=$AR129),Schweine_Werte!$G129*0.5,IF(OR($C$36&gt;$AR129,$D$36&lt;$AR129),0,Schweine_Werte!$G129))</f>
        <v>0</v>
      </c>
      <c r="BF129" s="716">
        <f>IF(OR($C$48=$AR129,$D$48=$AR129),Schweine_Werte!$G129*0.5,IF(OR($C$48&gt;$AR129,$D$48&lt;$AR129),0,Schweine_Werte!$G129))</f>
        <v>0</v>
      </c>
      <c r="BG129" s="716">
        <f>IF(OR($C$60=$AR129,$D$60=$AR129),Schweine_Werte!$G129*0.5,IF(OR($C$60&gt;$AR129,$D$60&lt;$AR129),0,Schweine_Werte!$G129))</f>
        <v>0</v>
      </c>
      <c r="BH129" s="781">
        <f>IF(OR($C$12=$AR129,$D$12=$AR129),Schweine_Werte!$I129*0.5,IF(OR($C$12&gt;$AR129,$D$12&lt;$AR129),0,Schweine_Werte!$I129))</f>
        <v>0</v>
      </c>
      <c r="BI129" s="716">
        <f>IF(OR($C$24=$AR129,$D$24=$AR129),Schweine_Werte!$I129*0.5,IF(OR($C$24&gt;$AR129,$D$24&lt;$AR129),0,Schweine_Werte!$I129))</f>
        <v>0</v>
      </c>
      <c r="BJ129" s="716">
        <f>IF(OR($C$36=$AR129,$D$36=$AR129),Schweine_Werte!$I129*0.5,IF(OR($C$36&gt;$AR129,$D$36&lt;$AR129),0,Schweine_Werte!$I129))</f>
        <v>0</v>
      </c>
      <c r="BK129" s="716">
        <f>IF(OR($C$48=$AR129,$D$48=$AR129),Schweine_Werte!$I129*0.5,IF(OR($C$48&gt;$AR129,$D$48&lt;$AR129),0,Schweine_Werte!$I129))</f>
        <v>0</v>
      </c>
      <c r="BL129" s="716">
        <f>IF(OR($C$60=$AR129,$D$60=$AR129),Schweine_Werte!$I129*0.5,IF(OR($C$60&gt;$AR129,$D$60&lt;$AR129),0,Schweine_Werte!$I129))</f>
        <v>0</v>
      </c>
      <c r="BM129" s="781"/>
      <c r="BN129" s="716"/>
      <c r="BO129" s="716"/>
      <c r="BP129" s="716"/>
      <c r="BQ129" s="716"/>
      <c r="BR129" s="781">
        <f>IF(OR($C$74=$AR129,$D$74=$AR129),Schweine_Werte!$M129*0.5,IF(OR($C$74&gt;$AR129,$D$74&lt;$AR129),0,Schweine_Werte!$M129))</f>
        <v>0</v>
      </c>
      <c r="BS129" s="781">
        <f>IF(OR($C$83=$AR129,$D$83=$AR129),Schweine_Werte!$M129*0.5,IF(OR($C$83&gt;$AR129,$D$83&lt;$AR129),0,Schweine_Werte!$M129))</f>
        <v>0</v>
      </c>
      <c r="BT129" s="783">
        <f>IF(OR($C$92=$AR129,$D$92=$AR129),Schweine_Werte!$M129*0.5,IF(OR($C$92&gt;$AR129,$D$92&lt;$AR129),0,Schweine_Werte!$M129))</f>
        <v>0</v>
      </c>
      <c r="BU129" s="783">
        <f>IF(OR($C$101=$AR129,$D$101=$AR129),Schweine_Werte!$M129*0.5,IF(OR($C$101&gt;$AR129,$D$101&lt;$AR129),0,Schweine_Werte!$M129))</f>
        <v>0</v>
      </c>
      <c r="BV129" s="783">
        <f>IF(OR($C$110=$AR129,$D$110=$AR129),Schweine_Werte!$M129*0.5,IF(OR($C$110&gt;$AR129,$D$110&lt;$AR129),0,Schweine_Werte!$M129))</f>
        <v>0</v>
      </c>
      <c r="BW129" s="783">
        <f>IF(OR(8=$AR129,$E$127=$AR129),Schweine_Werte!$M129*0.5,IF(OR(8&gt;$AR129,$E$127&lt;$AR129),0,Schweine_Werte!$M129))</f>
        <v>1.4477278921508818</v>
      </c>
      <c r="BX129" s="783">
        <f>IF(OR(8=$AR129,$E$145=$AR129),Schweine_Werte!$M129*0.5,IF(OR(8&gt;$AR129,$E$145&lt;$AR129),0,Schweine_Werte!$M129))</f>
        <v>1.4477278921508818</v>
      </c>
      <c r="BY129" s="781">
        <f>IF(OR($C$74=$AR129,$D$74=$AR129),Schweine_Werte!$O129*0.5,IF(OR($C$74&gt;$AR129,$D$74&lt;$AR129),0,Schweine_Werte!$O129))</f>
        <v>0</v>
      </c>
      <c r="BZ129" s="781">
        <f>IF(OR($C$83=$AR129,$D$83=$AR129),Schweine_Werte!$O129*0.5,IF(OR($C$83&gt;$AR129,$D$83&lt;$AR129),0,Schweine_Werte!$O129))</f>
        <v>0</v>
      </c>
      <c r="CA129" s="783">
        <f>IF(OR($C$92=$AR129,$D$92=$AR129),Schweine_Werte!$O129*0.5,IF(OR($C$92&gt;$AR129,$D$92&lt;$AR129),0,Schweine_Werte!$O129))</f>
        <v>0</v>
      </c>
      <c r="CB129" s="783">
        <f>IF(OR($C$101=$AR129,$D$101=$AR129),Schweine_Werte!$O129*0.5,IF(OR($C$101&gt;$AR129,$D$101&lt;$AR129),0,Schweine_Werte!$O129))</f>
        <v>0</v>
      </c>
      <c r="CC129" s="783">
        <f>IF(OR($C$110=$AR129,$D$110=$AR129),Schweine_Werte!$O129*0.5,IF(OR($C$110&gt;$AR129,$D$110&lt;$AR129),0,Schweine_Werte!$O129))</f>
        <v>0</v>
      </c>
    </row>
    <row r="130" spans="2:81" x14ac:dyDescent="0.2">
      <c r="F130" s="716"/>
      <c r="G130" s="716"/>
      <c r="H130" s="716"/>
      <c r="I130" s="716"/>
      <c r="J130" s="716"/>
      <c r="K130" s="716"/>
      <c r="L130" s="716"/>
      <c r="M130" s="716"/>
      <c r="N130" s="716"/>
      <c r="O130" s="716"/>
      <c r="P130" s="716"/>
      <c r="Q130" s="716"/>
      <c r="R130" s="716"/>
      <c r="S130" s="716"/>
      <c r="T130" s="716"/>
      <c r="U130" s="716"/>
      <c r="V130" s="716"/>
      <c r="W130" s="716"/>
      <c r="X130" s="716"/>
      <c r="Y130" s="716"/>
      <c r="AR130" s="792">
        <v>134</v>
      </c>
      <c r="AS130" s="781">
        <f>IF(OR($C$12=$AR130,$D$12=$AR130),Schweine_Werte!$C130*0.5,IF(OR($C$12&gt;$AR130,$D$12&lt;$AR130),0,Schweine_Werte!$C130))</f>
        <v>0</v>
      </c>
      <c r="AT130" s="716">
        <f>IF(OR($C$24=$AR130,$D$24=$AR130),Schweine_Werte!$C130*0.5,IF(OR($C$24&gt;$AR130,$D$24&lt;$AR130),0,Schweine_Werte!$C130))</f>
        <v>0</v>
      </c>
      <c r="AU130" s="781">
        <f>IF(OR($C$36=$AR130,$D$36=$AR130),Schweine_Werte!$C130*0.5,IF(OR($C$36&gt;$AR130,$D$36&lt;$AR130),0,Schweine_Werte!$C130))</f>
        <v>0</v>
      </c>
      <c r="AV130" s="781">
        <f>IF(OR($C$48=$AR130,$D$48=$AR130),Schweine_Werte!$C130*0.5,IF(OR($C$48&gt;$AR130,$D$48&lt;$AR130),0,Schweine_Werte!$C130))</f>
        <v>0</v>
      </c>
      <c r="AW130" s="781">
        <f>IF(OR($C$60=$AR130,$D$60=$AR130),Schweine_Werte!$C130*0.5,IF(OR($C$60&gt;$AR130,$D$60&lt;$AR130),0,Schweine_Werte!$C130))</f>
        <v>0</v>
      </c>
      <c r="AX130" s="781">
        <f>IF(OR($C$12=$AR130,$D$12=$AR130),Schweine_Werte!$E130*0.5,IF(OR($C$12&gt;$AR130,$D$12&lt;$AR130),0,Schweine_Werte!$E130))</f>
        <v>0</v>
      </c>
      <c r="AY130" s="716">
        <f>IF(OR($C$24=$AR130,$D$24=$AR130),Schweine_Werte!$E130*0.5,IF(OR($C$24&gt;$AR130,$D$24&lt;$AR130),0,Schweine_Werte!$E130))</f>
        <v>0</v>
      </c>
      <c r="AZ130" s="716">
        <f>IF(OR($C$36=$AR130,$D$36=$AR130),Schweine_Werte!$E130*0.5,IF(OR($C$36&gt;$AR130,$D$36&lt;$AR130),0,Schweine_Werte!$E130))</f>
        <v>0</v>
      </c>
      <c r="BA130" s="716">
        <f>IF(OR($C$48=$AR130,$D$48=$AR130),Schweine_Werte!$E130*0.5,IF(OR($C$48&gt;$AR130,$D$48&lt;$AR130),0,Schweine_Werte!$E130))</f>
        <v>0</v>
      </c>
      <c r="BB130" s="716">
        <f>IF(OR($C$60=$AR130,$D$60=$AR130),Schweine_Werte!$E130*0.5,IF(OR($C$60&gt;$AR130,$D$60&lt;$AR130),0,Schweine_Werte!$E130))</f>
        <v>0</v>
      </c>
      <c r="BC130" s="781">
        <f>IF(OR($C$12=$AR130,$D$12=$AR130),Schweine_Werte!$G130*0.5,IF(OR($C$12&gt;$AR130,$D$12&lt;$AR130),0,Schweine_Werte!$G130))</f>
        <v>0</v>
      </c>
      <c r="BD130" s="716">
        <f>IF(OR($C$24=$AR130,$D$24=$AR130),Schweine_Werte!$G130*0.5,IF(OR($C$24&gt;$AR130,$D$24&lt;$AR130),0,Schweine_Werte!$G130))</f>
        <v>0</v>
      </c>
      <c r="BE130" s="716">
        <f>IF(OR($C$36=$AR130,$D$36=$AR130),Schweine_Werte!$G130*0.5,IF(OR($C$36&gt;$AR130,$D$36&lt;$AR130),0,Schweine_Werte!$G130))</f>
        <v>0</v>
      </c>
      <c r="BF130" s="716">
        <f>IF(OR($C$48=$AR130,$D$48=$AR130),Schweine_Werte!$G130*0.5,IF(OR($C$48&gt;$AR130,$D$48&lt;$AR130),0,Schweine_Werte!$G130))</f>
        <v>0</v>
      </c>
      <c r="BG130" s="716">
        <f>IF(OR($C$60=$AR130,$D$60=$AR130),Schweine_Werte!$G130*0.5,IF(OR($C$60&gt;$AR130,$D$60&lt;$AR130),0,Schweine_Werte!$G130))</f>
        <v>0</v>
      </c>
      <c r="BH130" s="781">
        <f>IF(OR($C$12=$AR130,$D$12=$AR130),Schweine_Werte!$I130*0.5,IF(OR($C$12&gt;$AR130,$D$12&lt;$AR130),0,Schweine_Werte!$I130))</f>
        <v>0</v>
      </c>
      <c r="BI130" s="716">
        <f>IF(OR($C$24=$AR130,$D$24=$AR130),Schweine_Werte!$I130*0.5,IF(OR($C$24&gt;$AR130,$D$24&lt;$AR130),0,Schweine_Werte!$I130))</f>
        <v>0</v>
      </c>
      <c r="BJ130" s="716">
        <f>IF(OR($C$36=$AR130,$D$36=$AR130),Schweine_Werte!$I130*0.5,IF(OR($C$36&gt;$AR130,$D$36&lt;$AR130),0,Schweine_Werte!$I130))</f>
        <v>0</v>
      </c>
      <c r="BK130" s="716">
        <f>IF(OR($C$48=$AR130,$D$48=$AR130),Schweine_Werte!$I130*0.5,IF(OR($C$48&gt;$AR130,$D$48&lt;$AR130),0,Schweine_Werte!$I130))</f>
        <v>0</v>
      </c>
      <c r="BL130" s="716">
        <f>IF(OR($C$60=$AR130,$D$60=$AR130),Schweine_Werte!$I130*0.5,IF(OR($C$60&gt;$AR130,$D$60&lt;$AR130),0,Schweine_Werte!$I130))</f>
        <v>0</v>
      </c>
      <c r="BM130" s="781"/>
      <c r="BN130" s="716"/>
      <c r="BO130" s="716"/>
      <c r="BP130" s="716"/>
      <c r="BQ130" s="716"/>
      <c r="BR130" s="781">
        <f>IF(OR($C$74=$AR130,$D$74=$AR130),Schweine_Werte!$M130*0.5,IF(OR($C$74&gt;$AR130,$D$74&lt;$AR130),0,Schweine_Werte!$M130))</f>
        <v>0</v>
      </c>
      <c r="BS130" s="781">
        <f>IF(OR($C$83=$AR130,$D$83=$AR130),Schweine_Werte!$M130*0.5,IF(OR($C$83&gt;$AR130,$D$83&lt;$AR130),0,Schweine_Werte!$M130))</f>
        <v>0</v>
      </c>
      <c r="BT130" s="783">
        <f>IF(OR($C$92=$AR130,$D$92=$AR130),Schweine_Werte!$M130*0.5,IF(OR($C$92&gt;$AR130,$D$92&lt;$AR130),0,Schweine_Werte!$M130))</f>
        <v>0</v>
      </c>
      <c r="BU130" s="783">
        <f>IF(OR($C$101=$AR130,$D$101=$AR130),Schweine_Werte!$M130*0.5,IF(OR($C$101&gt;$AR130,$D$101&lt;$AR130),0,Schweine_Werte!$M130))</f>
        <v>0</v>
      </c>
      <c r="BV130" s="783">
        <f>IF(OR($C$110=$AR130,$D$110=$AR130),Schweine_Werte!$M130*0.5,IF(OR($C$110&gt;$AR130,$D$110&lt;$AR130),0,Schweine_Werte!$M130))</f>
        <v>0</v>
      </c>
      <c r="BW130" s="783">
        <f>IF(OR(8=$AR130,$E$127=$AR130),Schweine_Werte!$M130*0.5,IF(OR(8&gt;$AR130,$E$127&lt;$AR130),0,Schweine_Werte!$M130))</f>
        <v>1.4477278921508818</v>
      </c>
      <c r="BX130" s="783">
        <f>IF(OR(8=$AR130,$E$145=$AR130),Schweine_Werte!$M130*0.5,IF(OR(8&gt;$AR130,$E$145&lt;$AR130),0,Schweine_Werte!$M130))</f>
        <v>1.4477278921508818</v>
      </c>
      <c r="BY130" s="781">
        <f>IF(OR($C$74=$AR130,$D$74=$AR130),Schweine_Werte!$O130*0.5,IF(OR($C$74&gt;$AR130,$D$74&lt;$AR130),0,Schweine_Werte!$O130))</f>
        <v>0</v>
      </c>
      <c r="BZ130" s="781">
        <f>IF(OR($C$83=$AR130,$D$83=$AR130),Schweine_Werte!$O130*0.5,IF(OR($C$83&gt;$AR130,$D$83&lt;$AR130),0,Schweine_Werte!$O130))</f>
        <v>0</v>
      </c>
      <c r="CA130" s="783">
        <f>IF(OR($C$92=$AR130,$D$92=$AR130),Schweine_Werte!$O130*0.5,IF(OR($C$92&gt;$AR130,$D$92&lt;$AR130),0,Schweine_Werte!$O130))</f>
        <v>0</v>
      </c>
      <c r="CB130" s="783">
        <f>IF(OR($C$101=$AR130,$D$101=$AR130),Schweine_Werte!$O130*0.5,IF(OR($C$101&gt;$AR130,$D$101&lt;$AR130),0,Schweine_Werte!$O130))</f>
        <v>0</v>
      </c>
      <c r="CC130" s="783">
        <f>IF(OR($C$110=$AR130,$D$110=$AR130),Schweine_Werte!$O130*0.5,IF(OR($C$110&gt;$AR130,$D$110&lt;$AR130),0,Schweine_Werte!$O130))</f>
        <v>0</v>
      </c>
    </row>
    <row r="131" spans="2:81" x14ac:dyDescent="0.2">
      <c r="F131" s="716"/>
      <c r="G131" s="716"/>
      <c r="H131" s="716"/>
      <c r="I131" s="716"/>
      <c r="J131" s="716"/>
      <c r="K131" s="716"/>
      <c r="L131" s="716"/>
      <c r="M131" s="716"/>
      <c r="N131" s="716"/>
      <c r="O131" s="716"/>
      <c r="P131" s="716"/>
      <c r="Q131" s="716"/>
      <c r="R131" s="716"/>
      <c r="S131" s="716"/>
      <c r="T131" s="716"/>
      <c r="U131" s="716"/>
      <c r="V131" s="716"/>
      <c r="W131" s="716"/>
      <c r="X131" s="716"/>
      <c r="Y131" s="716"/>
      <c r="AR131" s="792">
        <v>135</v>
      </c>
      <c r="AS131" s="781">
        <f>IF(OR($C$12=$AR131,$D$12=$AR131),Schweine_Werte!$C131*0.5,IF(OR($C$12&gt;$AR131,$D$12&lt;$AR131),0,Schweine_Werte!$C131))</f>
        <v>0</v>
      </c>
      <c r="AT131" s="716">
        <f>IF(OR($C$24=$AR131,$D$24=$AR131),Schweine_Werte!$C131*0.5,IF(OR($C$24&gt;$AR131,$D$24&lt;$AR131),0,Schweine_Werte!$C131))</f>
        <v>0</v>
      </c>
      <c r="AU131" s="781">
        <f>IF(OR($C$36=$AR131,$D$36=$AR131),Schweine_Werte!$C131*0.5,IF(OR($C$36&gt;$AR131,$D$36&lt;$AR131),0,Schweine_Werte!$C131))</f>
        <v>0</v>
      </c>
      <c r="AV131" s="781">
        <f>IF(OR($C$48=$AR131,$D$48=$AR131),Schweine_Werte!$C131*0.5,IF(OR($C$48&gt;$AR131,$D$48&lt;$AR131),0,Schweine_Werte!$C131))</f>
        <v>0</v>
      </c>
      <c r="AW131" s="781">
        <f>IF(OR($C$60=$AR131,$D$60=$AR131),Schweine_Werte!$C131*0.5,IF(OR($C$60&gt;$AR131,$D$60&lt;$AR131),0,Schweine_Werte!$C131))</f>
        <v>0</v>
      </c>
      <c r="AX131" s="781">
        <f>IF(OR($C$12=$AR131,$D$12=$AR131),Schweine_Werte!$E131*0.5,IF(OR($C$12&gt;$AR131,$D$12&lt;$AR131),0,Schweine_Werte!$E131))</f>
        <v>0</v>
      </c>
      <c r="AY131" s="716">
        <f>IF(OR($C$24=$AR131,$D$24=$AR131),Schweine_Werte!$E131*0.5,IF(OR($C$24&gt;$AR131,$D$24&lt;$AR131),0,Schweine_Werte!$E131))</f>
        <v>0</v>
      </c>
      <c r="AZ131" s="716">
        <f>IF(OR($C$36=$AR131,$D$36=$AR131),Schweine_Werte!$E131*0.5,IF(OR($C$36&gt;$AR131,$D$36&lt;$AR131),0,Schweine_Werte!$E131))</f>
        <v>0</v>
      </c>
      <c r="BA131" s="716">
        <f>IF(OR($C$48=$AR131,$D$48=$AR131),Schweine_Werte!$E131*0.5,IF(OR($C$48&gt;$AR131,$D$48&lt;$AR131),0,Schweine_Werte!$E131))</f>
        <v>0</v>
      </c>
      <c r="BB131" s="716">
        <f>IF(OR($C$60=$AR131,$D$60=$AR131),Schweine_Werte!$E131*0.5,IF(OR($C$60&gt;$AR131,$D$60&lt;$AR131),0,Schweine_Werte!$E131))</f>
        <v>0</v>
      </c>
      <c r="BC131" s="781">
        <f>IF(OR($C$12=$AR131,$D$12=$AR131),Schweine_Werte!$G131*0.5,IF(OR($C$12&gt;$AR131,$D$12&lt;$AR131),0,Schweine_Werte!$G131))</f>
        <v>0</v>
      </c>
      <c r="BD131" s="716">
        <f>IF(OR($C$24=$AR131,$D$24=$AR131),Schweine_Werte!$G131*0.5,IF(OR($C$24&gt;$AR131,$D$24&lt;$AR131),0,Schweine_Werte!$G131))</f>
        <v>0</v>
      </c>
      <c r="BE131" s="716">
        <f>IF(OR($C$36=$AR131,$D$36=$AR131),Schweine_Werte!$G131*0.5,IF(OR($C$36&gt;$AR131,$D$36&lt;$AR131),0,Schweine_Werte!$G131))</f>
        <v>0</v>
      </c>
      <c r="BF131" s="716">
        <f>IF(OR($C$48=$AR131,$D$48=$AR131),Schweine_Werte!$G131*0.5,IF(OR($C$48&gt;$AR131,$D$48&lt;$AR131),0,Schweine_Werte!$G131))</f>
        <v>0</v>
      </c>
      <c r="BG131" s="716">
        <f>IF(OR($C$60=$AR131,$D$60=$AR131),Schweine_Werte!$G131*0.5,IF(OR($C$60&gt;$AR131,$D$60&lt;$AR131),0,Schweine_Werte!$G131))</f>
        <v>0</v>
      </c>
      <c r="BH131" s="781">
        <f>IF(OR($C$12=$AR131,$D$12=$AR131),Schweine_Werte!$I131*0.5,IF(OR($C$12&gt;$AR131,$D$12&lt;$AR131),0,Schweine_Werte!$I131))</f>
        <v>0</v>
      </c>
      <c r="BI131" s="716">
        <f>IF(OR($C$24=$AR131,$D$24=$AR131),Schweine_Werte!$I131*0.5,IF(OR($C$24&gt;$AR131,$D$24&lt;$AR131),0,Schweine_Werte!$I131))</f>
        <v>0</v>
      </c>
      <c r="BJ131" s="716">
        <f>IF(OR($C$36=$AR131,$D$36=$AR131),Schweine_Werte!$I131*0.5,IF(OR($C$36&gt;$AR131,$D$36&lt;$AR131),0,Schweine_Werte!$I131))</f>
        <v>0</v>
      </c>
      <c r="BK131" s="716">
        <f>IF(OR($C$48=$AR131,$D$48=$AR131),Schweine_Werte!$I131*0.5,IF(OR($C$48&gt;$AR131,$D$48&lt;$AR131),0,Schweine_Werte!$I131))</f>
        <v>0</v>
      </c>
      <c r="BL131" s="716">
        <f>IF(OR($C$60=$AR131,$D$60=$AR131),Schweine_Werte!$I131*0.5,IF(OR($C$60&gt;$AR131,$D$60&lt;$AR131),0,Schweine_Werte!$I131))</f>
        <v>0</v>
      </c>
      <c r="BM131" s="781"/>
      <c r="BN131" s="716"/>
      <c r="BO131" s="716"/>
      <c r="BP131" s="716"/>
      <c r="BQ131" s="716"/>
      <c r="BR131" s="781">
        <f>IF(OR($C$74=$AR131,$D$74=$AR131),Schweine_Werte!$M131*0.5,IF(OR($C$74&gt;$AR131,$D$74&lt;$AR131),0,Schweine_Werte!$M131))</f>
        <v>0</v>
      </c>
      <c r="BS131" s="781">
        <f>IF(OR($C$83=$AR131,$D$83=$AR131),Schweine_Werte!$M131*0.5,IF(OR($C$83&gt;$AR131,$D$83&lt;$AR131),0,Schweine_Werte!$M131))</f>
        <v>0</v>
      </c>
      <c r="BT131" s="783">
        <f>IF(OR($C$92=$AR131,$D$92=$AR131),Schweine_Werte!$M131*0.5,IF(OR($C$92&gt;$AR131,$D$92&lt;$AR131),0,Schweine_Werte!$M131))</f>
        <v>0</v>
      </c>
      <c r="BU131" s="783">
        <f>IF(OR($C$101=$AR131,$D$101=$AR131),Schweine_Werte!$M131*0.5,IF(OR($C$101&gt;$AR131,$D$101&lt;$AR131),0,Schweine_Werte!$M131))</f>
        <v>0</v>
      </c>
      <c r="BV131" s="783">
        <f>IF(OR($C$110=$AR131,$D$110=$AR131),Schweine_Werte!$M131*0.5,IF(OR($C$110&gt;$AR131,$D$110&lt;$AR131),0,Schweine_Werte!$M131))</f>
        <v>0</v>
      </c>
      <c r="BW131" s="783">
        <f>IF(OR(8=$AR131,$E$127=$AR131),Schweine_Werte!$M131*0.5,IF(OR(8&gt;$AR131,$E$127&lt;$AR131),0,Schweine_Werte!$M131))</f>
        <v>1.4477278921508818</v>
      </c>
      <c r="BX131" s="783">
        <f>IF(OR(8=$AR131,$E$145=$AR131),Schweine_Werte!$M131*0.5,IF(OR(8&gt;$AR131,$E$145&lt;$AR131),0,Schweine_Werte!$M131))</f>
        <v>1.4477278921508818</v>
      </c>
      <c r="BY131" s="781">
        <f>IF(OR($C$74=$AR131,$D$74=$AR131),Schweine_Werte!$O131*0.5,IF(OR($C$74&gt;$AR131,$D$74&lt;$AR131),0,Schweine_Werte!$O131))</f>
        <v>0</v>
      </c>
      <c r="BZ131" s="781">
        <f>IF(OR($C$83=$AR131,$D$83=$AR131),Schweine_Werte!$O131*0.5,IF(OR($C$83&gt;$AR131,$D$83&lt;$AR131),0,Schweine_Werte!$O131))</f>
        <v>0</v>
      </c>
      <c r="CA131" s="783">
        <f>IF(OR($C$92=$AR131,$D$92=$AR131),Schweine_Werte!$O131*0.5,IF(OR($C$92&gt;$AR131,$D$92&lt;$AR131),0,Schweine_Werte!$O131))</f>
        <v>0</v>
      </c>
      <c r="CB131" s="783">
        <f>IF(OR($C$101=$AR131,$D$101=$AR131),Schweine_Werte!$O131*0.5,IF(OR($C$101&gt;$AR131,$D$101&lt;$AR131),0,Schweine_Werte!$O131))</f>
        <v>0</v>
      </c>
      <c r="CC131" s="783">
        <f>IF(OR($C$110=$AR131,$D$110=$AR131),Schweine_Werte!$O131*0.5,IF(OR($C$110&gt;$AR131,$D$110&lt;$AR131),0,Schweine_Werte!$O131))</f>
        <v>0</v>
      </c>
    </row>
    <row r="132" spans="2:81" x14ac:dyDescent="0.2">
      <c r="F132" s="716"/>
      <c r="G132" s="716"/>
      <c r="H132" s="716"/>
      <c r="I132" s="716"/>
      <c r="J132" s="716"/>
      <c r="K132" s="716"/>
      <c r="L132" s="716"/>
      <c r="M132" s="716"/>
      <c r="N132" s="716"/>
      <c r="O132" s="716"/>
      <c r="P132" s="716"/>
      <c r="Q132" s="716"/>
      <c r="R132" s="716"/>
      <c r="S132" s="716"/>
      <c r="T132" s="716"/>
      <c r="U132" s="716"/>
      <c r="V132" s="716"/>
      <c r="W132" s="716"/>
      <c r="X132" s="716"/>
      <c r="Y132" s="716"/>
      <c r="AR132" s="792">
        <v>136</v>
      </c>
      <c r="AS132" s="781">
        <f>IF(OR($C$12=$AR132,$D$12=$AR132),Schweine_Werte!$C132*0.5,IF(OR($C$12&gt;$AR132,$D$12&lt;$AR132),0,Schweine_Werte!$C132))</f>
        <v>0</v>
      </c>
      <c r="AT132" s="716">
        <f>IF(OR($C$24=$AR132,$D$24=$AR132),Schweine_Werte!$C132*0.5,IF(OR($C$24&gt;$AR132,$D$24&lt;$AR132),0,Schweine_Werte!$C132))</f>
        <v>0</v>
      </c>
      <c r="AU132" s="781">
        <f>IF(OR($C$36=$AR132,$D$36=$AR132),Schweine_Werte!$C132*0.5,IF(OR($C$36&gt;$AR132,$D$36&lt;$AR132),0,Schweine_Werte!$C132))</f>
        <v>0</v>
      </c>
      <c r="AV132" s="781">
        <f>IF(OR($C$48=$AR132,$D$48=$AR132),Schweine_Werte!$C132*0.5,IF(OR($C$48&gt;$AR132,$D$48&lt;$AR132),0,Schweine_Werte!$C132))</f>
        <v>0</v>
      </c>
      <c r="AW132" s="781">
        <f>IF(OR($C$60=$AR132,$D$60=$AR132),Schweine_Werte!$C132*0.5,IF(OR($C$60&gt;$AR132,$D$60&lt;$AR132),0,Schweine_Werte!$C132))</f>
        <v>0</v>
      </c>
      <c r="AX132" s="781">
        <f>IF(OR($C$12=$AR132,$D$12=$AR132),Schweine_Werte!$E132*0.5,IF(OR($C$12&gt;$AR132,$D$12&lt;$AR132),0,Schweine_Werte!$E132))</f>
        <v>0</v>
      </c>
      <c r="AY132" s="716">
        <f>IF(OR($C$24=$AR132,$D$24=$AR132),Schweine_Werte!$E132*0.5,IF(OR($C$24&gt;$AR132,$D$24&lt;$AR132),0,Schweine_Werte!$E132))</f>
        <v>0</v>
      </c>
      <c r="AZ132" s="716">
        <f>IF(OR($C$36=$AR132,$D$36=$AR132),Schweine_Werte!$E132*0.5,IF(OR($C$36&gt;$AR132,$D$36&lt;$AR132),0,Schweine_Werte!$E132))</f>
        <v>0</v>
      </c>
      <c r="BA132" s="716">
        <f>IF(OR($C$48=$AR132,$D$48=$AR132),Schweine_Werte!$E132*0.5,IF(OR($C$48&gt;$AR132,$D$48&lt;$AR132),0,Schweine_Werte!$E132))</f>
        <v>0</v>
      </c>
      <c r="BB132" s="716">
        <f>IF(OR($C$60=$AR132,$D$60=$AR132),Schweine_Werte!$E132*0.5,IF(OR($C$60&gt;$AR132,$D$60&lt;$AR132),0,Schweine_Werte!$E132))</f>
        <v>0</v>
      </c>
      <c r="BC132" s="781">
        <f>IF(OR($C$12=$AR132,$D$12=$AR132),Schweine_Werte!$G132*0.5,IF(OR($C$12&gt;$AR132,$D$12&lt;$AR132),0,Schweine_Werte!$G132))</f>
        <v>0</v>
      </c>
      <c r="BD132" s="716">
        <f>IF(OR($C$24=$AR132,$D$24=$AR132),Schweine_Werte!$G132*0.5,IF(OR($C$24&gt;$AR132,$D$24&lt;$AR132),0,Schweine_Werte!$G132))</f>
        <v>0</v>
      </c>
      <c r="BE132" s="716">
        <f>IF(OR($C$36=$AR132,$D$36=$AR132),Schweine_Werte!$G132*0.5,IF(OR($C$36&gt;$AR132,$D$36&lt;$AR132),0,Schweine_Werte!$G132))</f>
        <v>0</v>
      </c>
      <c r="BF132" s="716">
        <f>IF(OR($C$48=$AR132,$D$48=$AR132),Schweine_Werte!$G132*0.5,IF(OR($C$48&gt;$AR132,$D$48&lt;$AR132),0,Schweine_Werte!$G132))</f>
        <v>0</v>
      </c>
      <c r="BG132" s="716">
        <f>IF(OR($C$60=$AR132,$D$60=$AR132),Schweine_Werte!$G132*0.5,IF(OR($C$60&gt;$AR132,$D$60&lt;$AR132),0,Schweine_Werte!$G132))</f>
        <v>0</v>
      </c>
      <c r="BH132" s="781">
        <f>IF(OR($C$12=$AR132,$D$12=$AR132),Schweine_Werte!$I132*0.5,IF(OR($C$12&gt;$AR132,$D$12&lt;$AR132),0,Schweine_Werte!$I132))</f>
        <v>0</v>
      </c>
      <c r="BI132" s="716">
        <f>IF(OR($C$24=$AR132,$D$24=$AR132),Schweine_Werte!$I132*0.5,IF(OR($C$24&gt;$AR132,$D$24&lt;$AR132),0,Schweine_Werte!$I132))</f>
        <v>0</v>
      </c>
      <c r="BJ132" s="716">
        <f>IF(OR($C$36=$AR132,$D$36=$AR132),Schweine_Werte!$I132*0.5,IF(OR($C$36&gt;$AR132,$D$36&lt;$AR132),0,Schweine_Werte!$I132))</f>
        <v>0</v>
      </c>
      <c r="BK132" s="716">
        <f>IF(OR($C$48=$AR132,$D$48=$AR132),Schweine_Werte!$I132*0.5,IF(OR($C$48&gt;$AR132,$D$48&lt;$AR132),0,Schweine_Werte!$I132))</f>
        <v>0</v>
      </c>
      <c r="BL132" s="716">
        <f>IF(OR($C$60=$AR132,$D$60=$AR132),Schweine_Werte!$I132*0.5,IF(OR($C$60&gt;$AR132,$D$60&lt;$AR132),0,Schweine_Werte!$I132))</f>
        <v>0</v>
      </c>
      <c r="BM132" s="781"/>
      <c r="BN132" s="716"/>
      <c r="BO132" s="716"/>
      <c r="BP132" s="716"/>
      <c r="BQ132" s="716"/>
      <c r="BR132" s="781">
        <f>IF(OR($C$74=$AR132,$D$74=$AR132),Schweine_Werte!$M132*0.5,IF(OR($C$74&gt;$AR132,$D$74&lt;$AR132),0,Schweine_Werte!$M132))</f>
        <v>0</v>
      </c>
      <c r="BS132" s="781">
        <f>IF(OR($C$83=$AR132,$D$83=$AR132),Schweine_Werte!$M132*0.5,IF(OR($C$83&gt;$AR132,$D$83&lt;$AR132),0,Schweine_Werte!$M132))</f>
        <v>0</v>
      </c>
      <c r="BT132" s="783">
        <f>IF(OR($C$92=$AR132,$D$92=$AR132),Schweine_Werte!$M132*0.5,IF(OR($C$92&gt;$AR132,$D$92&lt;$AR132),0,Schweine_Werte!$M132))</f>
        <v>0</v>
      </c>
      <c r="BU132" s="783">
        <f>IF(OR($C$101=$AR132,$D$101=$AR132),Schweine_Werte!$M132*0.5,IF(OR($C$101&gt;$AR132,$D$101&lt;$AR132),0,Schweine_Werte!$M132))</f>
        <v>0</v>
      </c>
      <c r="BV132" s="783">
        <f>IF(OR($C$110=$AR132,$D$110=$AR132),Schweine_Werte!$M132*0.5,IF(OR($C$110&gt;$AR132,$D$110&lt;$AR132),0,Schweine_Werte!$M132))</f>
        <v>0</v>
      </c>
      <c r="BW132" s="783">
        <f>IF(OR(8=$AR132,$E$127=$AR132),Schweine_Werte!$M132*0.5,IF(OR(8&gt;$AR132,$E$127&lt;$AR132),0,Schweine_Werte!$M132))</f>
        <v>1.4477278921508818</v>
      </c>
      <c r="BX132" s="783">
        <f>IF(OR(8=$AR132,$E$145=$AR132),Schweine_Werte!$M132*0.5,IF(OR(8&gt;$AR132,$E$145&lt;$AR132),0,Schweine_Werte!$M132))</f>
        <v>1.4477278921508818</v>
      </c>
      <c r="BY132" s="781">
        <f>IF(OR($C$74=$AR132,$D$74=$AR132),Schweine_Werte!$O132*0.5,IF(OR($C$74&gt;$AR132,$D$74&lt;$AR132),0,Schweine_Werte!$O132))</f>
        <v>0</v>
      </c>
      <c r="BZ132" s="781">
        <f>IF(OR($C$83=$AR132,$D$83=$AR132),Schweine_Werte!$O132*0.5,IF(OR($C$83&gt;$AR132,$D$83&lt;$AR132),0,Schweine_Werte!$O132))</f>
        <v>0</v>
      </c>
      <c r="CA132" s="783">
        <f>IF(OR($C$92=$AR132,$D$92=$AR132),Schweine_Werte!$O132*0.5,IF(OR($C$92&gt;$AR132,$D$92&lt;$AR132),0,Schweine_Werte!$O132))</f>
        <v>0</v>
      </c>
      <c r="CB132" s="783">
        <f>IF(OR($C$101=$AR132,$D$101=$AR132),Schweine_Werte!$O132*0.5,IF(OR($C$101&gt;$AR132,$D$101&lt;$AR132),0,Schweine_Werte!$O132))</f>
        <v>0</v>
      </c>
      <c r="CC132" s="783">
        <f>IF(OR($C$110=$AR132,$D$110=$AR132),Schweine_Werte!$O132*0.5,IF(OR($C$110&gt;$AR132,$D$110&lt;$AR132),0,Schweine_Werte!$O132))</f>
        <v>0</v>
      </c>
    </row>
    <row r="133" spans="2:81" x14ac:dyDescent="0.2">
      <c r="F133" s="716"/>
      <c r="G133" s="716"/>
      <c r="H133" s="716"/>
      <c r="I133" s="716"/>
      <c r="J133" s="716"/>
      <c r="K133" s="716"/>
      <c r="L133" s="716"/>
      <c r="M133" s="716"/>
      <c r="N133" s="716"/>
      <c r="O133" s="716"/>
      <c r="P133" s="716"/>
      <c r="Q133" s="716"/>
      <c r="R133" s="716"/>
      <c r="S133" s="716"/>
      <c r="T133" s="716"/>
      <c r="U133" s="716"/>
      <c r="V133" s="716"/>
      <c r="W133" s="716"/>
      <c r="X133" s="716"/>
      <c r="Y133" s="716"/>
      <c r="AR133" s="792">
        <v>137</v>
      </c>
      <c r="AS133" s="781">
        <f>IF(OR($C$12=$AR133,$D$12=$AR133),Schweine_Werte!$C133*0.5,IF(OR($C$12&gt;$AR133,$D$12&lt;$AR133),0,Schweine_Werte!$C133))</f>
        <v>0</v>
      </c>
      <c r="AT133" s="716">
        <f>IF(OR($C$24=$AR133,$D$24=$AR133),Schweine_Werte!$C133*0.5,IF(OR($C$24&gt;$AR133,$D$24&lt;$AR133),0,Schweine_Werte!$C133))</f>
        <v>0</v>
      </c>
      <c r="AU133" s="781">
        <f>IF(OR($C$36=$AR133,$D$36=$AR133),Schweine_Werte!$C133*0.5,IF(OR($C$36&gt;$AR133,$D$36&lt;$AR133),0,Schweine_Werte!$C133))</f>
        <v>0</v>
      </c>
      <c r="AV133" s="781">
        <f>IF(OR($C$48=$AR133,$D$48=$AR133),Schweine_Werte!$C133*0.5,IF(OR($C$48&gt;$AR133,$D$48&lt;$AR133),0,Schweine_Werte!$C133))</f>
        <v>0</v>
      </c>
      <c r="AW133" s="781">
        <f>IF(OR($C$60=$AR133,$D$60=$AR133),Schweine_Werte!$C133*0.5,IF(OR($C$60&gt;$AR133,$D$60&lt;$AR133),0,Schweine_Werte!$C133))</f>
        <v>0</v>
      </c>
      <c r="AX133" s="781">
        <f>IF(OR($C$12=$AR133,$D$12=$AR133),Schweine_Werte!$E133*0.5,IF(OR($C$12&gt;$AR133,$D$12&lt;$AR133),0,Schweine_Werte!$E133))</f>
        <v>0</v>
      </c>
      <c r="AY133" s="716">
        <f>IF(OR($C$24=$AR133,$D$24=$AR133),Schweine_Werte!$E133*0.5,IF(OR($C$24&gt;$AR133,$D$24&lt;$AR133),0,Schweine_Werte!$E133))</f>
        <v>0</v>
      </c>
      <c r="AZ133" s="716">
        <f>IF(OR($C$36=$AR133,$D$36=$AR133),Schweine_Werte!$E133*0.5,IF(OR($C$36&gt;$AR133,$D$36&lt;$AR133),0,Schweine_Werte!$E133))</f>
        <v>0</v>
      </c>
      <c r="BA133" s="716">
        <f>IF(OR($C$48=$AR133,$D$48=$AR133),Schweine_Werte!$E133*0.5,IF(OR($C$48&gt;$AR133,$D$48&lt;$AR133),0,Schweine_Werte!$E133))</f>
        <v>0</v>
      </c>
      <c r="BB133" s="716">
        <f>IF(OR($C$60=$AR133,$D$60=$AR133),Schweine_Werte!$E133*0.5,IF(OR($C$60&gt;$AR133,$D$60&lt;$AR133),0,Schweine_Werte!$E133))</f>
        <v>0</v>
      </c>
      <c r="BC133" s="781">
        <f>IF(OR($C$12=$AR133,$D$12=$AR133),Schweine_Werte!$G133*0.5,IF(OR($C$12&gt;$AR133,$D$12&lt;$AR133),0,Schweine_Werte!$G133))</f>
        <v>0</v>
      </c>
      <c r="BD133" s="716">
        <f>IF(OR($C$24=$AR133,$D$24=$AR133),Schweine_Werte!$G133*0.5,IF(OR($C$24&gt;$AR133,$D$24&lt;$AR133),0,Schweine_Werte!$G133))</f>
        <v>0</v>
      </c>
      <c r="BE133" s="716">
        <f>IF(OR($C$36=$AR133,$D$36=$AR133),Schweine_Werte!$G133*0.5,IF(OR($C$36&gt;$AR133,$D$36&lt;$AR133),0,Schweine_Werte!$G133))</f>
        <v>0</v>
      </c>
      <c r="BF133" s="716">
        <f>IF(OR($C$48=$AR133,$D$48=$AR133),Schweine_Werte!$G133*0.5,IF(OR($C$48&gt;$AR133,$D$48&lt;$AR133),0,Schweine_Werte!$G133))</f>
        <v>0</v>
      </c>
      <c r="BG133" s="716">
        <f>IF(OR($C$60=$AR133,$D$60=$AR133),Schweine_Werte!$G133*0.5,IF(OR($C$60&gt;$AR133,$D$60&lt;$AR133),0,Schweine_Werte!$G133))</f>
        <v>0</v>
      </c>
      <c r="BH133" s="781">
        <f>IF(OR($C$12=$AR133,$D$12=$AR133),Schweine_Werte!$I133*0.5,IF(OR($C$12&gt;$AR133,$D$12&lt;$AR133),0,Schweine_Werte!$I133))</f>
        <v>0</v>
      </c>
      <c r="BI133" s="716">
        <f>IF(OR($C$24=$AR133,$D$24=$AR133),Schweine_Werte!$I133*0.5,IF(OR($C$24&gt;$AR133,$D$24&lt;$AR133),0,Schweine_Werte!$I133))</f>
        <v>0</v>
      </c>
      <c r="BJ133" s="716">
        <f>IF(OR($C$36=$AR133,$D$36=$AR133),Schweine_Werte!$I133*0.5,IF(OR($C$36&gt;$AR133,$D$36&lt;$AR133),0,Schweine_Werte!$I133))</f>
        <v>0</v>
      </c>
      <c r="BK133" s="716">
        <f>IF(OR($C$48=$AR133,$D$48=$AR133),Schweine_Werte!$I133*0.5,IF(OR($C$48&gt;$AR133,$D$48&lt;$AR133),0,Schweine_Werte!$I133))</f>
        <v>0</v>
      </c>
      <c r="BL133" s="716">
        <f>IF(OR($C$60=$AR133,$D$60=$AR133),Schweine_Werte!$I133*0.5,IF(OR($C$60&gt;$AR133,$D$60&lt;$AR133),0,Schweine_Werte!$I133))</f>
        <v>0</v>
      </c>
      <c r="BM133" s="781"/>
      <c r="BN133" s="716"/>
      <c r="BO133" s="716"/>
      <c r="BP133" s="716"/>
      <c r="BQ133" s="716"/>
      <c r="BR133" s="781">
        <f>IF(OR($C$74=$AR133,$D$74=$AR133),Schweine_Werte!$M133*0.5,IF(OR($C$74&gt;$AR133,$D$74&lt;$AR133),0,Schweine_Werte!$M133))</f>
        <v>0</v>
      </c>
      <c r="BS133" s="781">
        <f>IF(OR($C$83=$AR133,$D$83=$AR133),Schweine_Werte!$M133*0.5,IF(OR($C$83&gt;$AR133,$D$83&lt;$AR133),0,Schweine_Werte!$M133))</f>
        <v>0</v>
      </c>
      <c r="BT133" s="783">
        <f>IF(OR($C$92=$AR133,$D$92=$AR133),Schweine_Werte!$M133*0.5,IF(OR($C$92&gt;$AR133,$D$92&lt;$AR133),0,Schweine_Werte!$M133))</f>
        <v>0</v>
      </c>
      <c r="BU133" s="783">
        <f>IF(OR($C$101=$AR133,$D$101=$AR133),Schweine_Werte!$M133*0.5,IF(OR($C$101&gt;$AR133,$D$101&lt;$AR133),0,Schweine_Werte!$M133))</f>
        <v>0</v>
      </c>
      <c r="BV133" s="783">
        <f>IF(OR($C$110=$AR133,$D$110=$AR133),Schweine_Werte!$M133*0.5,IF(OR($C$110&gt;$AR133,$D$110&lt;$AR133),0,Schweine_Werte!$M133))</f>
        <v>0</v>
      </c>
      <c r="BW133" s="783">
        <f>IF(OR(8=$AR133,$E$127=$AR133),Schweine_Werte!$M133*0.5,IF(OR(8&gt;$AR133,$E$127&lt;$AR133),0,Schweine_Werte!$M133))</f>
        <v>1.4477278921508818</v>
      </c>
      <c r="BX133" s="783">
        <f>IF(OR(8=$AR133,$E$145=$AR133),Schweine_Werte!$M133*0.5,IF(OR(8&gt;$AR133,$E$145&lt;$AR133),0,Schweine_Werte!$M133))</f>
        <v>1.4477278921508818</v>
      </c>
      <c r="BY133" s="781">
        <f>IF(OR($C$74=$AR133,$D$74=$AR133),Schweine_Werte!$O133*0.5,IF(OR($C$74&gt;$AR133,$D$74&lt;$AR133),0,Schweine_Werte!$O133))</f>
        <v>0</v>
      </c>
      <c r="BZ133" s="781">
        <f>IF(OR($C$83=$AR133,$D$83=$AR133),Schweine_Werte!$O133*0.5,IF(OR($C$83&gt;$AR133,$D$83&lt;$AR133),0,Schweine_Werte!$O133))</f>
        <v>0</v>
      </c>
      <c r="CA133" s="783">
        <f>IF(OR($C$92=$AR133,$D$92=$AR133),Schweine_Werte!$O133*0.5,IF(OR($C$92&gt;$AR133,$D$92&lt;$AR133),0,Schweine_Werte!$O133))</f>
        <v>0</v>
      </c>
      <c r="CB133" s="783">
        <f>IF(OR($C$101=$AR133,$D$101=$AR133),Schweine_Werte!$O133*0.5,IF(OR($C$101&gt;$AR133,$D$101&lt;$AR133),0,Schweine_Werte!$O133))</f>
        <v>0</v>
      </c>
      <c r="CC133" s="783">
        <f>IF(OR($C$110=$AR133,$D$110=$AR133),Schweine_Werte!$O133*0.5,IF(OR($C$110&gt;$AR133,$D$110&lt;$AR133),0,Schweine_Werte!$O133))</f>
        <v>0</v>
      </c>
    </row>
    <row r="134" spans="2:81" x14ac:dyDescent="0.2">
      <c r="AR134" s="792">
        <v>138</v>
      </c>
      <c r="AS134" s="781">
        <f>IF(OR($C$12=$AR134,$D$12=$AR134),Schweine_Werte!$C134*0.5,IF(OR($C$12&gt;$AR134,$D$12&lt;$AR134),0,Schweine_Werte!$C134))</f>
        <v>0</v>
      </c>
      <c r="AT134" s="716">
        <f>IF(OR($C$24=$AR134,$D$24=$AR134),Schweine_Werte!$C134*0.5,IF(OR($C$24&gt;$AR134,$D$24&lt;$AR134),0,Schweine_Werte!$C134))</f>
        <v>0</v>
      </c>
      <c r="AU134" s="781">
        <f>IF(OR($C$36=$AR134,$D$36=$AR134),Schweine_Werte!$C134*0.5,IF(OR($C$36&gt;$AR134,$D$36&lt;$AR134),0,Schweine_Werte!$C134))</f>
        <v>0</v>
      </c>
      <c r="AV134" s="781">
        <f>IF(OR($C$48=$AR134,$D$48=$AR134),Schweine_Werte!$C134*0.5,IF(OR($C$48&gt;$AR134,$D$48&lt;$AR134),0,Schweine_Werte!$C134))</f>
        <v>0</v>
      </c>
      <c r="AW134" s="781">
        <f>IF(OR($C$60=$AR134,$D$60=$AR134),Schweine_Werte!$C134*0.5,IF(OR($C$60&gt;$AR134,$D$60&lt;$AR134),0,Schweine_Werte!$C134))</f>
        <v>0</v>
      </c>
      <c r="AX134" s="781">
        <f>IF(OR($C$12=$AR134,$D$12=$AR134),Schweine_Werte!$E134*0.5,IF(OR($C$12&gt;$AR134,$D$12&lt;$AR134),0,Schweine_Werte!$E134))</f>
        <v>0</v>
      </c>
      <c r="AY134" s="716">
        <f>IF(OR($C$24=$AR134,$D$24=$AR134),Schweine_Werte!$E134*0.5,IF(OR($C$24&gt;$AR134,$D$24&lt;$AR134),0,Schweine_Werte!$E134))</f>
        <v>0</v>
      </c>
      <c r="AZ134" s="716">
        <f>IF(OR($C$36=$AR134,$D$36=$AR134),Schweine_Werte!$E134*0.5,IF(OR($C$36&gt;$AR134,$D$36&lt;$AR134),0,Schweine_Werte!$E134))</f>
        <v>0</v>
      </c>
      <c r="BA134" s="716">
        <f>IF(OR($C$48=$AR134,$D$48=$AR134),Schweine_Werte!$E134*0.5,IF(OR($C$48&gt;$AR134,$D$48&lt;$AR134),0,Schweine_Werte!$E134))</f>
        <v>0</v>
      </c>
      <c r="BB134" s="716">
        <f>IF(OR($C$60=$AR134,$D$60=$AR134),Schweine_Werte!$E134*0.5,IF(OR($C$60&gt;$AR134,$D$60&lt;$AR134),0,Schweine_Werte!$E134))</f>
        <v>0</v>
      </c>
      <c r="BC134" s="781">
        <f>IF(OR($C$12=$AR134,$D$12=$AR134),Schweine_Werte!$G134*0.5,IF(OR($C$12&gt;$AR134,$D$12&lt;$AR134),0,Schweine_Werte!$G134))</f>
        <v>0</v>
      </c>
      <c r="BD134" s="716">
        <f>IF(OR($C$24=$AR134,$D$24=$AR134),Schweine_Werte!$G134*0.5,IF(OR($C$24&gt;$AR134,$D$24&lt;$AR134),0,Schweine_Werte!$G134))</f>
        <v>0</v>
      </c>
      <c r="BE134" s="716">
        <f>IF(OR($C$36=$AR134,$D$36=$AR134),Schweine_Werte!$G134*0.5,IF(OR($C$36&gt;$AR134,$D$36&lt;$AR134),0,Schweine_Werte!$G134))</f>
        <v>0</v>
      </c>
      <c r="BF134" s="716">
        <f>IF(OR($C$48=$AR134,$D$48=$AR134),Schweine_Werte!$G134*0.5,IF(OR($C$48&gt;$AR134,$D$48&lt;$AR134),0,Schweine_Werte!$G134))</f>
        <v>0</v>
      </c>
      <c r="BG134" s="716">
        <f>IF(OR($C$60=$AR134,$D$60=$AR134),Schweine_Werte!$G134*0.5,IF(OR($C$60&gt;$AR134,$D$60&lt;$AR134),0,Schweine_Werte!$G134))</f>
        <v>0</v>
      </c>
      <c r="BH134" s="781">
        <f>IF(OR($C$12=$AR134,$D$12=$AR134),Schweine_Werte!$I134*0.5,IF(OR($C$12&gt;$AR134,$D$12&lt;$AR134),0,Schweine_Werte!$I134))</f>
        <v>0</v>
      </c>
      <c r="BI134" s="716">
        <f>IF(OR($C$24=$AR134,$D$24=$AR134),Schweine_Werte!$I134*0.5,IF(OR($C$24&gt;$AR134,$D$24&lt;$AR134),0,Schweine_Werte!$I134))</f>
        <v>0</v>
      </c>
      <c r="BJ134" s="716">
        <f>IF(OR($C$36=$AR134,$D$36=$AR134),Schweine_Werte!$I134*0.5,IF(OR($C$36&gt;$AR134,$D$36&lt;$AR134),0,Schweine_Werte!$I134))</f>
        <v>0</v>
      </c>
      <c r="BK134" s="716">
        <f>IF(OR($C$48=$AR134,$D$48=$AR134),Schweine_Werte!$I134*0.5,IF(OR($C$48&gt;$AR134,$D$48&lt;$AR134),0,Schweine_Werte!$I134))</f>
        <v>0</v>
      </c>
      <c r="BL134" s="716">
        <f>IF(OR($C$60=$AR134,$D$60=$AR134),Schweine_Werte!$I134*0.5,IF(OR($C$60&gt;$AR134,$D$60&lt;$AR134),0,Schweine_Werte!$I134))</f>
        <v>0</v>
      </c>
      <c r="BM134" s="781"/>
      <c r="BN134" s="716"/>
      <c r="BO134" s="716"/>
      <c r="BP134" s="716"/>
      <c r="BQ134" s="716"/>
      <c r="BR134" s="781">
        <f>IF(OR($C$74=$AR134,$D$74=$AR134),Schweine_Werte!$M134*0.5,IF(OR($C$74&gt;$AR134,$D$74&lt;$AR134),0,Schweine_Werte!$M134))</f>
        <v>0</v>
      </c>
      <c r="BS134" s="781">
        <f>IF(OR($C$83=$AR134,$D$83=$AR134),Schweine_Werte!$M134*0.5,IF(OR($C$83&gt;$AR134,$D$83&lt;$AR134),0,Schweine_Werte!$M134))</f>
        <v>0</v>
      </c>
      <c r="BT134" s="783">
        <f>IF(OR($C$92=$AR134,$D$92=$AR134),Schweine_Werte!$M134*0.5,IF(OR($C$92&gt;$AR134,$D$92&lt;$AR134),0,Schweine_Werte!$M134))</f>
        <v>0</v>
      </c>
      <c r="BU134" s="783">
        <f>IF(OR($C$101=$AR134,$D$101=$AR134),Schweine_Werte!$M134*0.5,IF(OR($C$101&gt;$AR134,$D$101&lt;$AR134),0,Schweine_Werte!$M134))</f>
        <v>0</v>
      </c>
      <c r="BV134" s="783">
        <f>IF(OR($C$110=$AR134,$D$110=$AR134),Schweine_Werte!$M134*0.5,IF(OR($C$110&gt;$AR134,$D$110&lt;$AR134),0,Schweine_Werte!$M134))</f>
        <v>0</v>
      </c>
      <c r="BW134" s="783">
        <f>IF(OR(8=$AR134,$E$127=$AR134),Schweine_Werte!$M134*0.5,IF(OR(8&gt;$AR134,$E$127&lt;$AR134),0,Schweine_Werte!$M134))</f>
        <v>1.4477278921508818</v>
      </c>
      <c r="BX134" s="783">
        <f>IF(OR(8=$AR134,$E$145=$AR134),Schweine_Werte!$M134*0.5,IF(OR(8&gt;$AR134,$E$145&lt;$AR134),0,Schweine_Werte!$M134))</f>
        <v>1.4477278921508818</v>
      </c>
      <c r="BY134" s="781">
        <f>IF(OR($C$74=$AR134,$D$74=$AR134),Schweine_Werte!$O134*0.5,IF(OR($C$74&gt;$AR134,$D$74&lt;$AR134),0,Schweine_Werte!$O134))</f>
        <v>0</v>
      </c>
      <c r="BZ134" s="781">
        <f>IF(OR($C$83=$AR134,$D$83=$AR134),Schweine_Werte!$O134*0.5,IF(OR($C$83&gt;$AR134,$D$83&lt;$AR134),0,Schweine_Werte!$O134))</f>
        <v>0</v>
      </c>
      <c r="CA134" s="783">
        <f>IF(OR($C$92=$AR134,$D$92=$AR134),Schweine_Werte!$O134*0.5,IF(OR($C$92&gt;$AR134,$D$92&lt;$AR134),0,Schweine_Werte!$O134))</f>
        <v>0</v>
      </c>
      <c r="CB134" s="783">
        <f>IF(OR($C$101=$AR134,$D$101=$AR134),Schweine_Werte!$O134*0.5,IF(OR($C$101&gt;$AR134,$D$101&lt;$AR134),0,Schweine_Werte!$O134))</f>
        <v>0</v>
      </c>
      <c r="CC134" s="783">
        <f>IF(OR($C$110=$AR134,$D$110=$AR134),Schweine_Werte!$O134*0.5,IF(OR($C$110&gt;$AR134,$D$110&lt;$AR134),0,Schweine_Werte!$O134))</f>
        <v>0</v>
      </c>
    </row>
    <row r="135" spans="2:81" x14ac:dyDescent="0.2">
      <c r="AR135" s="792">
        <v>139</v>
      </c>
      <c r="AS135" s="781">
        <f>IF(OR($C$12=$AR135,$D$12=$AR135),Schweine_Werte!$C135*0.5,IF(OR($C$12&gt;$AR135,$D$12&lt;$AR135),0,Schweine_Werte!$C135))</f>
        <v>0</v>
      </c>
      <c r="AT135" s="716">
        <f>IF(OR($C$24=$AR135,$D$24=$AR135),Schweine_Werte!$C135*0.5,IF(OR($C$24&gt;$AR135,$D$24&lt;$AR135),0,Schweine_Werte!$C135))</f>
        <v>0</v>
      </c>
      <c r="AU135" s="781">
        <f>IF(OR($C$36=$AR135,$D$36=$AR135),Schweine_Werte!$C135*0.5,IF(OR($C$36&gt;$AR135,$D$36&lt;$AR135),0,Schweine_Werte!$C135))</f>
        <v>0</v>
      </c>
      <c r="AV135" s="781">
        <f>IF(OR($C$48=$AR135,$D$48=$AR135),Schweine_Werte!$C135*0.5,IF(OR($C$48&gt;$AR135,$D$48&lt;$AR135),0,Schweine_Werte!$C135))</f>
        <v>0</v>
      </c>
      <c r="AW135" s="781">
        <f>IF(OR($C$60=$AR135,$D$60=$AR135),Schweine_Werte!$C135*0.5,IF(OR($C$60&gt;$AR135,$D$60&lt;$AR135),0,Schweine_Werte!$C135))</f>
        <v>0</v>
      </c>
      <c r="AX135" s="781">
        <f>IF(OR($C$12=$AR135,$D$12=$AR135),Schweine_Werte!$E135*0.5,IF(OR($C$12&gt;$AR135,$D$12&lt;$AR135),0,Schweine_Werte!$E135))</f>
        <v>0</v>
      </c>
      <c r="AY135" s="716">
        <f>IF(OR($C$24=$AR135,$D$24=$AR135),Schweine_Werte!$E135*0.5,IF(OR($C$24&gt;$AR135,$D$24&lt;$AR135),0,Schweine_Werte!$E135))</f>
        <v>0</v>
      </c>
      <c r="AZ135" s="716">
        <f>IF(OR($C$36=$AR135,$D$36=$AR135),Schweine_Werte!$E135*0.5,IF(OR($C$36&gt;$AR135,$D$36&lt;$AR135),0,Schweine_Werte!$E135))</f>
        <v>0</v>
      </c>
      <c r="BA135" s="716">
        <f>IF(OR($C$48=$AR135,$D$48=$AR135),Schweine_Werte!$E135*0.5,IF(OR($C$48&gt;$AR135,$D$48&lt;$AR135),0,Schweine_Werte!$E135))</f>
        <v>0</v>
      </c>
      <c r="BB135" s="716">
        <f>IF(OR($C$60=$AR135,$D$60=$AR135),Schweine_Werte!$E135*0.5,IF(OR($C$60&gt;$AR135,$D$60&lt;$AR135),0,Schweine_Werte!$E135))</f>
        <v>0</v>
      </c>
      <c r="BC135" s="781">
        <f>IF(OR($C$12=$AR135,$D$12=$AR135),Schweine_Werte!$G135*0.5,IF(OR($C$12&gt;$AR135,$D$12&lt;$AR135),0,Schweine_Werte!$G135))</f>
        <v>0</v>
      </c>
      <c r="BD135" s="716">
        <f>IF(OR($C$24=$AR135,$D$24=$AR135),Schweine_Werte!$G135*0.5,IF(OR($C$24&gt;$AR135,$D$24&lt;$AR135),0,Schweine_Werte!$G135))</f>
        <v>0</v>
      </c>
      <c r="BE135" s="716">
        <f>IF(OR($C$36=$AR135,$D$36=$AR135),Schweine_Werte!$G135*0.5,IF(OR($C$36&gt;$AR135,$D$36&lt;$AR135),0,Schweine_Werte!$G135))</f>
        <v>0</v>
      </c>
      <c r="BF135" s="716">
        <f>IF(OR($C$48=$AR135,$D$48=$AR135),Schweine_Werte!$G135*0.5,IF(OR($C$48&gt;$AR135,$D$48&lt;$AR135),0,Schweine_Werte!$G135))</f>
        <v>0</v>
      </c>
      <c r="BG135" s="716">
        <f>IF(OR($C$60=$AR135,$D$60=$AR135),Schweine_Werte!$G135*0.5,IF(OR($C$60&gt;$AR135,$D$60&lt;$AR135),0,Schweine_Werte!$G135))</f>
        <v>0</v>
      </c>
      <c r="BH135" s="781">
        <f>IF(OR($C$12=$AR135,$D$12=$AR135),Schweine_Werte!$I135*0.5,IF(OR($C$12&gt;$AR135,$D$12&lt;$AR135),0,Schweine_Werte!$I135))</f>
        <v>0</v>
      </c>
      <c r="BI135" s="716">
        <f>IF(OR($C$24=$AR135,$D$24=$AR135),Schweine_Werte!$I135*0.5,IF(OR($C$24&gt;$AR135,$D$24&lt;$AR135),0,Schweine_Werte!$I135))</f>
        <v>0</v>
      </c>
      <c r="BJ135" s="716">
        <f>IF(OR($C$36=$AR135,$D$36=$AR135),Schweine_Werte!$I135*0.5,IF(OR($C$36&gt;$AR135,$D$36&lt;$AR135),0,Schweine_Werte!$I135))</f>
        <v>0</v>
      </c>
      <c r="BK135" s="716">
        <f>IF(OR($C$48=$AR135,$D$48=$AR135),Schweine_Werte!$I135*0.5,IF(OR($C$48&gt;$AR135,$D$48&lt;$AR135),0,Schweine_Werte!$I135))</f>
        <v>0</v>
      </c>
      <c r="BL135" s="716">
        <f>IF(OR($C$60=$AR135,$D$60=$AR135),Schweine_Werte!$I135*0.5,IF(OR($C$60&gt;$AR135,$D$60&lt;$AR135),0,Schweine_Werte!$I135))</f>
        <v>0</v>
      </c>
      <c r="BM135" s="781"/>
      <c r="BN135" s="716"/>
      <c r="BO135" s="716"/>
      <c r="BP135" s="716"/>
      <c r="BQ135" s="716"/>
      <c r="BR135" s="781">
        <f>IF(OR($C$74=$AR135,$D$74=$AR135),Schweine_Werte!$M135*0.5,IF(OR($C$74&gt;$AR135,$D$74&lt;$AR135),0,Schweine_Werte!$M135))</f>
        <v>0</v>
      </c>
      <c r="BS135" s="781">
        <f>IF(OR($C$83=$AR135,$D$83=$AR135),Schweine_Werte!$M135*0.5,IF(OR($C$83&gt;$AR135,$D$83&lt;$AR135),0,Schweine_Werte!$M135))</f>
        <v>0</v>
      </c>
      <c r="BT135" s="783">
        <f>IF(OR($C$92=$AR135,$D$92=$AR135),Schweine_Werte!$M135*0.5,IF(OR($C$92&gt;$AR135,$D$92&lt;$AR135),0,Schweine_Werte!$M135))</f>
        <v>0</v>
      </c>
      <c r="BU135" s="783">
        <f>IF(OR($C$101=$AR135,$D$101=$AR135),Schweine_Werte!$M135*0.5,IF(OR($C$101&gt;$AR135,$D$101&lt;$AR135),0,Schweine_Werte!$M135))</f>
        <v>0</v>
      </c>
      <c r="BV135" s="783">
        <f>IF(OR($C$110=$AR135,$D$110=$AR135),Schweine_Werte!$M135*0.5,IF(OR($C$110&gt;$AR135,$D$110&lt;$AR135),0,Schweine_Werte!$M135))</f>
        <v>0</v>
      </c>
      <c r="BW135" s="783">
        <f>IF(OR(8=$AR135,$E$127=$AR135),Schweine_Werte!$M135*0.5,IF(OR(8&gt;$AR135,$E$127&lt;$AR135),0,Schweine_Werte!$M135))</f>
        <v>1.4477278921508818</v>
      </c>
      <c r="BX135" s="783">
        <f>IF(OR(8=$AR135,$E$145=$AR135),Schweine_Werte!$M135*0.5,IF(OR(8&gt;$AR135,$E$145&lt;$AR135),0,Schweine_Werte!$M135))</f>
        <v>1.4477278921508818</v>
      </c>
      <c r="BY135" s="781">
        <f>IF(OR($C$74=$AR135,$D$74=$AR135),Schweine_Werte!$O135*0.5,IF(OR($C$74&gt;$AR135,$D$74&lt;$AR135),0,Schweine_Werte!$O135))</f>
        <v>0</v>
      </c>
      <c r="BZ135" s="781">
        <f>IF(OR($C$83=$AR135,$D$83=$AR135),Schweine_Werte!$O135*0.5,IF(OR($C$83&gt;$AR135,$D$83&lt;$AR135),0,Schweine_Werte!$O135))</f>
        <v>0</v>
      </c>
      <c r="CA135" s="783">
        <f>IF(OR($C$92=$AR135,$D$92=$AR135),Schweine_Werte!$O135*0.5,IF(OR($C$92&gt;$AR135,$D$92&lt;$AR135),0,Schweine_Werte!$O135))</f>
        <v>0</v>
      </c>
      <c r="CB135" s="783">
        <f>IF(OR($C$101=$AR135,$D$101=$AR135),Schweine_Werte!$O135*0.5,IF(OR($C$101&gt;$AR135,$D$101&lt;$AR135),0,Schweine_Werte!$O135))</f>
        <v>0</v>
      </c>
      <c r="CC135" s="783">
        <f>IF(OR($C$110=$AR135,$D$110=$AR135),Schweine_Werte!$O135*0.5,IF(OR($C$110&gt;$AR135,$D$110&lt;$AR135),0,Schweine_Werte!$O135))</f>
        <v>0</v>
      </c>
    </row>
    <row r="136" spans="2:81" ht="18.75" x14ac:dyDescent="0.3">
      <c r="B136" t="s">
        <v>7718</v>
      </c>
      <c r="D136" t="s">
        <v>7719</v>
      </c>
      <c r="G136" t="s">
        <v>7720</v>
      </c>
      <c r="H136" s="770"/>
      <c r="I136" s="770"/>
      <c r="J136" s="770"/>
      <c r="K136" s="770"/>
      <c r="L136" s="770"/>
      <c r="M136" s="770"/>
      <c r="N136" s="770"/>
      <c r="O136" t="s">
        <v>7730</v>
      </c>
      <c r="P136" s="716" t="s">
        <v>7731</v>
      </c>
      <c r="Q136" s="716"/>
      <c r="R136" s="716"/>
      <c r="S136" s="716"/>
      <c r="T136" s="770"/>
      <c r="U136" s="770"/>
      <c r="V136" s="770"/>
      <c r="AR136" s="792">
        <v>140</v>
      </c>
      <c r="AS136" s="781">
        <f>IF(OR($C$12=$AR136,$D$12=$AR136),Schweine_Werte!$C136*0.5,IF(OR($C$12&gt;$AR136,$D$12&lt;$AR136),0,Schweine_Werte!$C136))</f>
        <v>0</v>
      </c>
      <c r="AT136" s="716">
        <f>IF(OR($C$24=$AR136,$D$24=$AR136),Schweine_Werte!$C136*0.5,IF(OR($C$24&gt;$AR136,$D$24&lt;$AR136),0,Schweine_Werte!$C136))</f>
        <v>0</v>
      </c>
      <c r="AU136" s="781">
        <f>IF(OR($C$36=$AR136,$D$36=$AR136),Schweine_Werte!$C136*0.5,IF(OR($C$36&gt;$AR136,$D$36&lt;$AR136),0,Schweine_Werte!$C136))</f>
        <v>0</v>
      </c>
      <c r="AV136" s="781">
        <f>IF(OR($C$48=$AR136,$D$48=$AR136),Schweine_Werte!$C136*0.5,IF(OR($C$48&gt;$AR136,$D$48&lt;$AR136),0,Schweine_Werte!$C136))</f>
        <v>0</v>
      </c>
      <c r="AW136" s="781">
        <f>IF(OR($C$60=$AR136,$D$60=$AR136),Schweine_Werte!$C136*0.5,IF(OR($C$60&gt;$AR136,$D$60&lt;$AR136),0,Schweine_Werte!$C136))</f>
        <v>0</v>
      </c>
      <c r="AX136" s="781">
        <f>IF(OR($C$12=$AR136,$D$12=$AR136),Schweine_Werte!$E136*0.5,IF(OR($C$12&gt;$AR136,$D$12&lt;$AR136),0,Schweine_Werte!$E136))</f>
        <v>0</v>
      </c>
      <c r="AY136" s="716">
        <f>IF(OR($C$24=$AR136,$D$24=$AR136),Schweine_Werte!$E136*0.5,IF(OR($C$24&gt;$AR136,$D$24&lt;$AR136),0,Schweine_Werte!$E136))</f>
        <v>0</v>
      </c>
      <c r="AZ136" s="716">
        <f>IF(OR($C$36=$AR136,$D$36=$AR136),Schweine_Werte!$E136*0.5,IF(OR($C$36&gt;$AR136,$D$36&lt;$AR136),0,Schweine_Werte!$E136))</f>
        <v>0</v>
      </c>
      <c r="BA136" s="716">
        <f>IF(OR($C$48=$AR136,$D$48=$AR136),Schweine_Werte!$E136*0.5,IF(OR($C$48&gt;$AR136,$D$48&lt;$AR136),0,Schweine_Werte!$E136))</f>
        <v>0</v>
      </c>
      <c r="BB136" s="716">
        <f>IF(OR($C$60=$AR136,$D$60=$AR136),Schweine_Werte!$E136*0.5,IF(OR($C$60&gt;$AR136,$D$60&lt;$AR136),0,Schweine_Werte!$E136))</f>
        <v>0</v>
      </c>
      <c r="BC136" s="781">
        <f>IF(OR($C$12=$AR136,$D$12=$AR136),Schweine_Werte!$G136*0.5,IF(OR($C$12&gt;$AR136,$D$12&lt;$AR136),0,Schweine_Werte!$G136))</f>
        <v>0</v>
      </c>
      <c r="BD136" s="716">
        <f>IF(OR($C$24=$AR136,$D$24=$AR136),Schweine_Werte!$G136*0.5,IF(OR($C$24&gt;$AR136,$D$24&lt;$AR136),0,Schweine_Werte!$G136))</f>
        <v>0</v>
      </c>
      <c r="BE136" s="716">
        <f>IF(OR($C$36=$AR136,$D$36=$AR136),Schweine_Werte!$G136*0.5,IF(OR($C$36&gt;$AR136,$D$36&lt;$AR136),0,Schweine_Werte!$G136))</f>
        <v>0</v>
      </c>
      <c r="BF136" s="716">
        <f>IF(OR($C$48=$AR136,$D$48=$AR136),Schweine_Werte!$G136*0.5,IF(OR($C$48&gt;$AR136,$D$48&lt;$AR136),0,Schweine_Werte!$G136))</f>
        <v>0</v>
      </c>
      <c r="BG136" s="716">
        <f>IF(OR($C$60=$AR136,$D$60=$AR136),Schweine_Werte!$G136*0.5,IF(OR($C$60&gt;$AR136,$D$60&lt;$AR136),0,Schweine_Werte!$G136))</f>
        <v>0</v>
      </c>
      <c r="BH136" s="781">
        <f>IF(OR($C$12=$AR136,$D$12=$AR136),Schweine_Werte!$I136*0.5,IF(OR($C$12&gt;$AR136,$D$12&lt;$AR136),0,Schweine_Werte!$I136))</f>
        <v>0</v>
      </c>
      <c r="BI136" s="716">
        <f>IF(OR($C$24=$AR136,$D$24=$AR136),Schweine_Werte!$I136*0.5,IF(OR($C$24&gt;$AR136,$D$24&lt;$AR136),0,Schweine_Werte!$I136))</f>
        <v>0</v>
      </c>
      <c r="BJ136" s="716">
        <f>IF(OR($C$36=$AR136,$D$36=$AR136),Schweine_Werte!$I136*0.5,IF(OR($C$36&gt;$AR136,$D$36&lt;$AR136),0,Schweine_Werte!$I136))</f>
        <v>0</v>
      </c>
      <c r="BK136" s="716">
        <f>IF(OR($C$48=$AR136,$D$48=$AR136),Schweine_Werte!$I136*0.5,IF(OR($C$48&gt;$AR136,$D$48&lt;$AR136),0,Schweine_Werte!$I136))</f>
        <v>0</v>
      </c>
      <c r="BL136" s="716">
        <f>IF(OR($C$60=$AR136,$D$60=$AR136),Schweine_Werte!$I136*0.5,IF(OR($C$60&gt;$AR136,$D$60&lt;$AR136),0,Schweine_Werte!$I136))</f>
        <v>0</v>
      </c>
      <c r="BM136" s="781"/>
      <c r="BN136" s="716"/>
      <c r="BO136" s="716"/>
      <c r="BP136" s="716"/>
      <c r="BQ136" s="716"/>
      <c r="BR136" s="781">
        <f>IF(OR($C$74=$AR136,$D$74=$AR136),Schweine_Werte!$M136*0.5,IF(OR($C$74&gt;$AR136,$D$74&lt;$AR136),0,Schweine_Werte!$M136))</f>
        <v>0</v>
      </c>
      <c r="BS136" s="781">
        <f>IF(OR($C$83=$AR136,$D$83=$AR136),Schweine_Werte!$M136*0.5,IF(OR($C$83&gt;$AR136,$D$83&lt;$AR136),0,Schweine_Werte!$M136))</f>
        <v>0</v>
      </c>
      <c r="BT136" s="783">
        <f>IF(OR($C$92=$AR136,$D$92=$AR136),Schweine_Werte!$M136*0.5,IF(OR($C$92&gt;$AR136,$D$92&lt;$AR136),0,Schweine_Werte!$M136))</f>
        <v>0</v>
      </c>
      <c r="BU136" s="783">
        <f>IF(OR($C$101=$AR136,$D$101=$AR136),Schweine_Werte!$M136*0.5,IF(OR($C$101&gt;$AR136,$D$101&lt;$AR136),0,Schweine_Werte!$M136))</f>
        <v>0</v>
      </c>
      <c r="BV136" s="783">
        <f>IF(OR($C$110=$AR136,$D$110=$AR136),Schweine_Werte!$M136*0.5,IF(OR($C$110&gt;$AR136,$D$110&lt;$AR136),0,Schweine_Werte!$M136))</f>
        <v>0</v>
      </c>
      <c r="BW136" s="783">
        <f>IF(OR(8=$AR136,$E$127=$AR136),Schweine_Werte!$M136*0.5,IF(OR(8&gt;$AR136,$E$127&lt;$AR136),0,Schweine_Werte!$M136))</f>
        <v>1.4477278921508818</v>
      </c>
      <c r="BX136" s="783">
        <f>IF(OR(8=$AR136,$E$145=$AR136),Schweine_Werte!$M136*0.5,IF(OR(8&gt;$AR136,$E$145&lt;$AR136),0,Schweine_Werte!$M136))</f>
        <v>1.4477278921508818</v>
      </c>
      <c r="BY136" s="781">
        <f>IF(OR($C$74=$AR136,$D$74=$AR136),Schweine_Werte!$O136*0.5,IF(OR($C$74&gt;$AR136,$D$74&lt;$AR136),0,Schweine_Werte!$O136))</f>
        <v>0</v>
      </c>
      <c r="BZ136" s="781">
        <f>IF(OR($C$83=$AR136,$D$83=$AR136),Schweine_Werte!$O136*0.5,IF(OR($C$83&gt;$AR136,$D$83&lt;$AR136),0,Schweine_Werte!$O136))</f>
        <v>0</v>
      </c>
      <c r="CA136" s="783">
        <f>IF(OR($C$92=$AR136,$D$92=$AR136),Schweine_Werte!$O136*0.5,IF(OR($C$92&gt;$AR136,$D$92&lt;$AR136),0,Schweine_Werte!$O136))</f>
        <v>0</v>
      </c>
      <c r="CB136" s="783">
        <f>IF(OR($C$101=$AR136,$D$101=$AR136),Schweine_Werte!$O136*0.5,IF(OR($C$101&gt;$AR136,$D$101&lt;$AR136),0,Schweine_Werte!$O136))</f>
        <v>0</v>
      </c>
      <c r="CC136" s="783">
        <f>IF(OR($C$110=$AR136,$D$110=$AR136),Schweine_Werte!$O136*0.5,IF(OR($C$110&gt;$AR136,$D$110&lt;$AR136),0,Schweine_Werte!$O136))</f>
        <v>0</v>
      </c>
    </row>
    <row r="137" spans="2:81" x14ac:dyDescent="0.2">
      <c r="B137" t="e">
        <f>+(E145-8)/0.45</f>
        <v>#VALUE!</v>
      </c>
      <c r="C137" t="s">
        <v>7643</v>
      </c>
      <c r="F137" s="716" t="e">
        <f>IF($E145&lt;=8,0,$B140*SUMPRODUCT($BX$4:$BX$31,Schweine_Werte!$V$4:$V$31)/SUM($BX$4:$BX$31))</f>
        <v>#VALUE!</v>
      </c>
      <c r="G137" s="716" t="e">
        <f>IF($E145&lt;=8,0,IF($B145=$A$8,SUMPRODUCT($BX$4:$BX$31,Schweine_Werte!HE$4:HE$31)/SUM($BX$4:$BX$31),IF($B145=$A$7,SUMPRODUCT($BX$4:$BX$31,Schweine_Werte!GQ$4:GQ$31)/SUM($BX$4:$BX$31),IF($B145=$A$6,SUMPRODUCT($BX$4:$BX$31,Schweine_Werte!GC$4:GC$31)/SUM($BX$4:$BX$31),SUMPRODUCT($BX$4:$BX$31,Schweine_Werte!FO$4:FO$31)/SUM($BX$4:$BX$31))))*$B140)</f>
        <v>#VALUE!</v>
      </c>
      <c r="H137" s="716" t="e">
        <f>IF($E145&lt;=8,0,IF($B145=$A$8,SUMPRODUCT($BX$4:$BX$31,Schweine_Werte!HF$4:HF$31)/SUM($BX$4:$BX$31),IF($B145=$A$7,SUMPRODUCT($BX$4:$BX$31,Schweine_Werte!GR$4:GR$31)/SUM($BX$4:$BX$31),IF($B145=$A$6,SUMPRODUCT($BX$4:$BX$31,Schweine_Werte!GD$4:GD$31)/SUM($BX$4:$BX$31),SUMPRODUCT($BX$4:$BX$31,Schweine_Werte!FP$4:FP$31)/SUM($BX$4:$BX$31))))*$B140)</f>
        <v>#VALUE!</v>
      </c>
      <c r="I137" s="716"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16"/>
      <c r="N137" s="716"/>
      <c r="O137" s="800">
        <f>SUM($BX$4:$BX$23)+IF($E145&gt;28,$BX$24*0.5,$BX$24)</f>
        <v>44.44444444444445</v>
      </c>
      <c r="P137" s="800">
        <f>IF($E145&gt;28,SUM($BX$25:$BX$31)+$BX$24*0.5,0)</f>
        <v>11.390271160403584</v>
      </c>
      <c r="Q137" s="800" t="e">
        <f t="shared" ref="Q137:S138" si="57">T137*$F137</f>
        <v>#VALUE!</v>
      </c>
      <c r="R137" s="800" t="e">
        <f t="shared" si="57"/>
        <v>#VALUE!</v>
      </c>
      <c r="S137" s="800" t="e">
        <f t="shared" si="57"/>
        <v>#VALUE!</v>
      </c>
      <c r="T137" s="716">
        <f>+IF($E145&lt;=8,0,($O137*Schweine_Werte!$HT$15+$P137*Schweine_Werte!$HU$15)/SUM($O137:$P137))</f>
        <v>7.0161806212562894</v>
      </c>
      <c r="U137" s="716">
        <f>IF(E145&lt;=8,0,($O137*Schweine_Werte!$HV$15+$P137*Schweine_Werte!$HW$15)/SUM($O137:$P137))</f>
        <v>7.5920003876794322</v>
      </c>
      <c r="V137" s="716">
        <f>IF(E145&lt;=8,0,($O137*Schweine_Werte!$HX$15+$P137*Schweine_Werte!$HY$15)/SUM($O137:$P137))</f>
        <v>11</v>
      </c>
      <c r="AR137" s="792">
        <v>141</v>
      </c>
      <c r="AS137" s="781">
        <f>IF(OR($C$12=$AR137,$D$12=$AR137),Schweine_Werte!$C137*0.5,IF(OR($C$12&gt;$AR137,$D$12&lt;$AR137),0,Schweine_Werte!$C137))</f>
        <v>0</v>
      </c>
      <c r="AT137" s="716">
        <f>IF(OR($C$24=$AR137,$D$24=$AR137),Schweine_Werte!$C137*0.5,IF(OR($C$24&gt;$AR137,$D$24&lt;$AR137),0,Schweine_Werte!$C137))</f>
        <v>0</v>
      </c>
      <c r="AU137" s="781">
        <f>IF(OR($C$36=$AR137,$D$36=$AR137),Schweine_Werte!$C137*0.5,IF(OR($C$36&gt;$AR137,$D$36&lt;$AR137),0,Schweine_Werte!$C137))</f>
        <v>0</v>
      </c>
      <c r="AV137" s="781">
        <f>IF(OR($C$48=$AR137,$D$48=$AR137),Schweine_Werte!$C137*0.5,IF(OR($C$48&gt;$AR137,$D$48&lt;$AR137),0,Schweine_Werte!$C137))</f>
        <v>0</v>
      </c>
      <c r="AW137" s="781">
        <f>IF(OR($C$60=$AR137,$D$60=$AR137),Schweine_Werte!$C137*0.5,IF(OR($C$60&gt;$AR137,$D$60&lt;$AR137),0,Schweine_Werte!$C137))</f>
        <v>0</v>
      </c>
      <c r="AX137" s="781">
        <f>IF(OR($C$12=$AR137,$D$12=$AR137),Schweine_Werte!$E137*0.5,IF(OR($C$12&gt;$AR137,$D$12&lt;$AR137),0,Schweine_Werte!$E137))</f>
        <v>0</v>
      </c>
      <c r="AY137" s="716">
        <f>IF(OR($C$24=$AR137,$D$24=$AR137),Schweine_Werte!$E137*0.5,IF(OR($C$24&gt;$AR137,$D$24&lt;$AR137),0,Schweine_Werte!$E137))</f>
        <v>0</v>
      </c>
      <c r="AZ137" s="716">
        <f>IF(OR($C$36=$AR137,$D$36=$AR137),Schweine_Werte!$E137*0.5,IF(OR($C$36&gt;$AR137,$D$36&lt;$AR137),0,Schweine_Werte!$E137))</f>
        <v>0</v>
      </c>
      <c r="BA137" s="716">
        <f>IF(OR($C$48=$AR137,$D$48=$AR137),Schweine_Werte!$E137*0.5,IF(OR($C$48&gt;$AR137,$D$48&lt;$AR137),0,Schweine_Werte!$E137))</f>
        <v>0</v>
      </c>
      <c r="BB137" s="716">
        <f>IF(OR($C$60=$AR137,$D$60=$AR137),Schweine_Werte!$E137*0.5,IF(OR($C$60&gt;$AR137,$D$60&lt;$AR137),0,Schweine_Werte!$E137))</f>
        <v>0</v>
      </c>
      <c r="BC137" s="781">
        <f>IF(OR($C$12=$AR137,$D$12=$AR137),Schweine_Werte!$G137*0.5,IF(OR($C$12&gt;$AR137,$D$12&lt;$AR137),0,Schweine_Werte!$G137))</f>
        <v>0</v>
      </c>
      <c r="BD137" s="716">
        <f>IF(OR($C$24=$AR137,$D$24=$AR137),Schweine_Werte!$G137*0.5,IF(OR($C$24&gt;$AR137,$D$24&lt;$AR137),0,Schweine_Werte!$G137))</f>
        <v>0</v>
      </c>
      <c r="BE137" s="716">
        <f>IF(OR($C$36=$AR137,$D$36=$AR137),Schweine_Werte!$G137*0.5,IF(OR($C$36&gt;$AR137,$D$36&lt;$AR137),0,Schweine_Werte!$G137))</f>
        <v>0</v>
      </c>
      <c r="BF137" s="716">
        <f>IF(OR($C$48=$AR137,$D$48=$AR137),Schweine_Werte!$G137*0.5,IF(OR($C$48&gt;$AR137,$D$48&lt;$AR137),0,Schweine_Werte!$G137))</f>
        <v>0</v>
      </c>
      <c r="BG137" s="716">
        <f>IF(OR($C$60=$AR137,$D$60=$AR137),Schweine_Werte!$G137*0.5,IF(OR($C$60&gt;$AR137,$D$60&lt;$AR137),0,Schweine_Werte!$G137))</f>
        <v>0</v>
      </c>
      <c r="BH137" s="781">
        <f>IF(OR($C$12=$AR137,$D$12=$AR137),Schweine_Werte!$I137*0.5,IF(OR($C$12&gt;$AR137,$D$12&lt;$AR137),0,Schweine_Werte!$I137))</f>
        <v>0</v>
      </c>
      <c r="BI137" s="716">
        <f>IF(OR($C$24=$AR137,$D$24=$AR137),Schweine_Werte!$I137*0.5,IF(OR($C$24&gt;$AR137,$D$24&lt;$AR137),0,Schweine_Werte!$I137))</f>
        <v>0</v>
      </c>
      <c r="BJ137" s="716">
        <f>IF(OR($C$36=$AR137,$D$36=$AR137),Schweine_Werte!$I137*0.5,IF(OR($C$36&gt;$AR137,$D$36&lt;$AR137),0,Schweine_Werte!$I137))</f>
        <v>0</v>
      </c>
      <c r="BK137" s="716">
        <f>IF(OR($C$48=$AR137,$D$48=$AR137),Schweine_Werte!$I137*0.5,IF(OR($C$48&gt;$AR137,$D$48&lt;$AR137),0,Schweine_Werte!$I137))</f>
        <v>0</v>
      </c>
      <c r="BL137" s="716">
        <f>IF(OR($C$60=$AR137,$D$60=$AR137),Schweine_Werte!$I137*0.5,IF(OR($C$60&gt;$AR137,$D$60&lt;$AR137),0,Schweine_Werte!$I137))</f>
        <v>0</v>
      </c>
      <c r="BM137" s="781"/>
      <c r="BN137" s="716"/>
      <c r="BO137" s="716"/>
      <c r="BP137" s="716"/>
      <c r="BQ137" s="716"/>
      <c r="BR137" s="781">
        <f>IF(OR($C$74=$AR137,$D$74=$AR137),Schweine_Werte!$M137*0.5,IF(OR($C$74&gt;$AR137,$D$74&lt;$AR137),0,Schweine_Werte!$M137))</f>
        <v>0</v>
      </c>
      <c r="BS137" s="781">
        <f>IF(OR($C$83=$AR137,$D$83=$AR137),Schweine_Werte!$M137*0.5,IF(OR($C$83&gt;$AR137,$D$83&lt;$AR137),0,Schweine_Werte!$M137))</f>
        <v>0</v>
      </c>
      <c r="BT137" s="783">
        <f>IF(OR($C$92=$AR137,$D$92=$AR137),Schweine_Werte!$M137*0.5,IF(OR($C$92&gt;$AR137,$D$92&lt;$AR137),0,Schweine_Werte!$M137))</f>
        <v>0</v>
      </c>
      <c r="BU137" s="783">
        <f>IF(OR($C$101=$AR137,$D$101=$AR137),Schweine_Werte!$M137*0.5,IF(OR($C$101&gt;$AR137,$D$101&lt;$AR137),0,Schweine_Werte!$M137))</f>
        <v>0</v>
      </c>
      <c r="BV137" s="783">
        <f>IF(OR($C$110=$AR137,$D$110=$AR137),Schweine_Werte!$M137*0.5,IF(OR($C$110&gt;$AR137,$D$110&lt;$AR137),0,Schweine_Werte!$M137))</f>
        <v>0</v>
      </c>
      <c r="BW137" s="783">
        <f>IF(OR(8=$AR137,$E$127=$AR137),Schweine_Werte!$M137*0.5,IF(OR(8&gt;$AR137,$E$127&lt;$AR137),0,Schweine_Werte!$M137))</f>
        <v>1.4477278921508818</v>
      </c>
      <c r="BX137" s="783">
        <f>IF(OR(8=$AR137,$E$145=$AR137),Schweine_Werte!$M137*0.5,IF(OR(8&gt;$AR137,$E$145&lt;$AR137),0,Schweine_Werte!$M137))</f>
        <v>1.4477278921508818</v>
      </c>
      <c r="BY137" s="781">
        <f>IF(OR($C$74=$AR137,$D$74=$AR137),Schweine_Werte!$O137*0.5,IF(OR($C$74&gt;$AR137,$D$74&lt;$AR137),0,Schweine_Werte!$O137))</f>
        <v>0</v>
      </c>
      <c r="BZ137" s="781">
        <f>IF(OR($C$83=$AR137,$D$83=$AR137),Schweine_Werte!$O137*0.5,IF(OR($C$83&gt;$AR137,$D$83&lt;$AR137),0,Schweine_Werte!$O137))</f>
        <v>0</v>
      </c>
      <c r="CA137" s="783">
        <f>IF(OR($C$92=$AR137,$D$92=$AR137),Schweine_Werte!$O137*0.5,IF(OR($C$92&gt;$AR137,$D$92&lt;$AR137),0,Schweine_Werte!$O137))</f>
        <v>0</v>
      </c>
      <c r="CB137" s="783">
        <f>IF(OR($C$101=$AR137,$D$101=$AR137),Schweine_Werte!$O137*0.5,IF(OR($C$101&gt;$AR137,$D$101&lt;$AR137),0,Schweine_Werte!$O137))</f>
        <v>0</v>
      </c>
      <c r="CC137" s="783">
        <f>IF(OR($C$110=$AR137,$D$110=$AR137),Schweine_Werte!$O137*0.5,IF(OR($C$110&gt;$AR137,$D$110&lt;$AR137),0,Schweine_Werte!$O137))</f>
        <v>0</v>
      </c>
    </row>
    <row r="138" spans="2:81" x14ac:dyDescent="0.2">
      <c r="C138" s="358" t="s">
        <v>7728</v>
      </c>
      <c r="D138">
        <f>IF(D145&lt;22,22,IF(D145&gt;34,34,D145))</f>
        <v>34</v>
      </c>
      <c r="F138" s="716">
        <v>0.32</v>
      </c>
      <c r="G138" s="716"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16"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16"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16">
        <f>VLOOKUP($D$138,Schweine_Werte!$IA$4:$IR$16,COLUMNS(Schweine_Werte!$IA$3:IN21),FALSE)</f>
        <v>4.8</v>
      </c>
      <c r="K138" s="716">
        <f>VLOOKUP($D$138,Schweine_Werte!$IA$4:$IR$16,COLUMNS(Schweine_Werte!$IA$3:IO21),FALSE)</f>
        <v>1.6</v>
      </c>
      <c r="M138" s="716"/>
      <c r="N138" s="716"/>
      <c r="O138" s="716"/>
      <c r="P138" s="716"/>
      <c r="Q138" s="800">
        <f t="shared" si="57"/>
        <v>2</v>
      </c>
      <c r="R138" s="800">
        <f t="shared" si="57"/>
        <v>2.56</v>
      </c>
      <c r="S138" s="800">
        <f t="shared" si="57"/>
        <v>3.52</v>
      </c>
      <c r="T138" s="716">
        <f>VLOOKUP($D$138,Schweine_Werte!$IA$4:$IR$16,COLUMNS(Schweine_Werte!$IA$3:IP$3),FALSE)</f>
        <v>6.25</v>
      </c>
      <c r="U138" s="716">
        <f>VLOOKUP($D$138,Schweine_Werte!$IA$4:$IR$16,COLUMNS(Schweine_Werte!$IA$3:IQ$3),FALSE)</f>
        <v>8</v>
      </c>
      <c r="V138" s="716">
        <f>VLOOKUP($D$138,Schweine_Werte!$IA$4:$IR$16,COLUMNS(Schweine_Werte!$IA$3:IR$3),FALSE)</f>
        <v>11</v>
      </c>
      <c r="AR138" s="792">
        <v>142</v>
      </c>
      <c r="AS138" s="781">
        <f>IF(OR($C$12=$AR138,$D$12=$AR138),Schweine_Werte!$C138*0.5,IF(OR($C$12&gt;$AR138,$D$12&lt;$AR138),0,Schweine_Werte!$C138))</f>
        <v>0</v>
      </c>
      <c r="AT138" s="716">
        <f>IF(OR($C$24=$AR138,$D$24=$AR138),Schweine_Werte!$C138*0.5,IF(OR($C$24&gt;$AR138,$D$24&lt;$AR138),0,Schweine_Werte!$C138))</f>
        <v>0</v>
      </c>
      <c r="AU138" s="781">
        <f>IF(OR($C$36=$AR138,$D$36=$AR138),Schweine_Werte!$C138*0.5,IF(OR($C$36&gt;$AR138,$D$36&lt;$AR138),0,Schweine_Werte!$C138))</f>
        <v>0</v>
      </c>
      <c r="AV138" s="781">
        <f>IF(OR($C$48=$AR138,$D$48=$AR138),Schweine_Werte!$C138*0.5,IF(OR($C$48&gt;$AR138,$D$48&lt;$AR138),0,Schweine_Werte!$C138))</f>
        <v>0</v>
      </c>
      <c r="AW138" s="781">
        <f>IF(OR($C$60=$AR138,$D$60=$AR138),Schweine_Werte!$C138*0.5,IF(OR($C$60&gt;$AR138,$D$60&lt;$AR138),0,Schweine_Werte!$C138))</f>
        <v>0</v>
      </c>
      <c r="AX138" s="781">
        <f>IF(OR($C$12=$AR138,$D$12=$AR138),Schweine_Werte!$E138*0.5,IF(OR($C$12&gt;$AR138,$D$12&lt;$AR138),0,Schweine_Werte!$E138))</f>
        <v>0</v>
      </c>
      <c r="AY138" s="716">
        <f>IF(OR($C$24=$AR138,$D$24=$AR138),Schweine_Werte!$E138*0.5,IF(OR($C$24&gt;$AR138,$D$24&lt;$AR138),0,Schweine_Werte!$E138))</f>
        <v>0</v>
      </c>
      <c r="AZ138" s="716">
        <f>IF(OR($C$36=$AR138,$D$36=$AR138),Schweine_Werte!$E138*0.5,IF(OR($C$36&gt;$AR138,$D$36&lt;$AR138),0,Schweine_Werte!$E138))</f>
        <v>0</v>
      </c>
      <c r="BA138" s="716">
        <f>IF(OR($C$48=$AR138,$D$48=$AR138),Schweine_Werte!$E138*0.5,IF(OR($C$48&gt;$AR138,$D$48&lt;$AR138),0,Schweine_Werte!$E138))</f>
        <v>0</v>
      </c>
      <c r="BB138" s="716">
        <f>IF(OR($C$60=$AR138,$D$60=$AR138),Schweine_Werte!$E138*0.5,IF(OR($C$60&gt;$AR138,$D$60&lt;$AR138),0,Schweine_Werte!$E138))</f>
        <v>0</v>
      </c>
      <c r="BC138" s="781">
        <f>IF(OR($C$12=$AR138,$D$12=$AR138),Schweine_Werte!$G138*0.5,IF(OR($C$12&gt;$AR138,$D$12&lt;$AR138),0,Schweine_Werte!$G138))</f>
        <v>0</v>
      </c>
      <c r="BD138" s="716">
        <f>IF(OR($C$24=$AR138,$D$24=$AR138),Schweine_Werte!$G138*0.5,IF(OR($C$24&gt;$AR138,$D$24&lt;$AR138),0,Schweine_Werte!$G138))</f>
        <v>0</v>
      </c>
      <c r="BE138" s="716">
        <f>IF(OR($C$36=$AR138,$D$36=$AR138),Schweine_Werte!$G138*0.5,IF(OR($C$36&gt;$AR138,$D$36&lt;$AR138),0,Schweine_Werte!$G138))</f>
        <v>0</v>
      </c>
      <c r="BF138" s="716">
        <f>IF(OR($C$48=$AR138,$D$48=$AR138),Schweine_Werte!$G138*0.5,IF(OR($C$48&gt;$AR138,$D$48&lt;$AR138),0,Schweine_Werte!$G138))</f>
        <v>0</v>
      </c>
      <c r="BG138" s="716">
        <f>IF(OR($C$60=$AR138,$D$60=$AR138),Schweine_Werte!$G138*0.5,IF(OR($C$60&gt;$AR138,$D$60&lt;$AR138),0,Schweine_Werte!$G138))</f>
        <v>0</v>
      </c>
      <c r="BH138" s="781">
        <f>IF(OR($C$12=$AR138,$D$12=$AR138),Schweine_Werte!$I138*0.5,IF(OR($C$12&gt;$AR138,$D$12&lt;$AR138),0,Schweine_Werte!$I138))</f>
        <v>0</v>
      </c>
      <c r="BI138" s="716">
        <f>IF(OR($C$24=$AR138,$D$24=$AR138),Schweine_Werte!$I138*0.5,IF(OR($C$24&gt;$AR138,$D$24&lt;$AR138),0,Schweine_Werte!$I138))</f>
        <v>0</v>
      </c>
      <c r="BJ138" s="716">
        <f>IF(OR($C$36=$AR138,$D$36=$AR138),Schweine_Werte!$I138*0.5,IF(OR($C$36&gt;$AR138,$D$36&lt;$AR138),0,Schweine_Werte!$I138))</f>
        <v>0</v>
      </c>
      <c r="BK138" s="716">
        <f>IF(OR($C$48=$AR138,$D$48=$AR138),Schweine_Werte!$I138*0.5,IF(OR($C$48&gt;$AR138,$D$48&lt;$AR138),0,Schweine_Werte!$I138))</f>
        <v>0</v>
      </c>
      <c r="BL138" s="716">
        <f>IF(OR($C$60=$AR138,$D$60=$AR138),Schweine_Werte!$I138*0.5,IF(OR($C$60&gt;$AR138,$D$60&lt;$AR138),0,Schweine_Werte!$I138))</f>
        <v>0</v>
      </c>
      <c r="BM138" s="781"/>
      <c r="BN138" s="716"/>
      <c r="BO138" s="716"/>
      <c r="BP138" s="716"/>
      <c r="BQ138" s="716"/>
      <c r="BR138" s="781">
        <f>IF(OR($C$74=$AR138,$D$74=$AR138),Schweine_Werte!$M138*0.5,IF(OR($C$74&gt;$AR138,$D$74&lt;$AR138),0,Schweine_Werte!$M138))</f>
        <v>0</v>
      </c>
      <c r="BS138" s="781">
        <f>IF(OR($C$83=$AR138,$D$83=$AR138),Schweine_Werte!$M138*0.5,IF(OR($C$83&gt;$AR138,$D$83&lt;$AR138),0,Schweine_Werte!$M138))</f>
        <v>0</v>
      </c>
      <c r="BT138" s="783">
        <f>IF(OR($C$92=$AR138,$D$92=$AR138),Schweine_Werte!$M138*0.5,IF(OR($C$92&gt;$AR138,$D$92&lt;$AR138),0,Schweine_Werte!$M138))</f>
        <v>0</v>
      </c>
      <c r="BU138" s="783">
        <f>IF(OR($C$101=$AR138,$D$101=$AR138),Schweine_Werte!$M138*0.5,IF(OR($C$101&gt;$AR138,$D$101&lt;$AR138),0,Schweine_Werte!$M138))</f>
        <v>0</v>
      </c>
      <c r="BV138" s="783">
        <f>IF(OR($C$110=$AR138,$D$110=$AR138),Schweine_Werte!$M138*0.5,IF(OR($C$110&gt;$AR138,$D$110&lt;$AR138),0,Schweine_Werte!$M138))</f>
        <v>0</v>
      </c>
      <c r="BW138" s="783">
        <f>IF(OR(8=$AR138,$E$127=$AR138),Schweine_Werte!$M138*0.5,IF(OR(8&gt;$AR138,$E$127&lt;$AR138),0,Schweine_Werte!$M138))</f>
        <v>1.4477278921508818</v>
      </c>
      <c r="BX138" s="783">
        <f>IF(OR(8=$AR138,$E$145=$AR138),Schweine_Werte!$M138*0.5,IF(OR(8&gt;$AR138,$E$145&lt;$AR138),0,Schweine_Werte!$M138))</f>
        <v>1.4477278921508818</v>
      </c>
      <c r="BY138" s="781">
        <f>IF(OR($C$74=$AR138,$D$74=$AR138),Schweine_Werte!$O138*0.5,IF(OR($C$74&gt;$AR138,$D$74&lt;$AR138),0,Schweine_Werte!$O138))</f>
        <v>0</v>
      </c>
      <c r="BZ138" s="781">
        <f>IF(OR($C$83=$AR138,$D$83=$AR138),Schweine_Werte!$O138*0.5,IF(OR($C$83&gt;$AR138,$D$83&lt;$AR138),0,Schweine_Werte!$O138))</f>
        <v>0</v>
      </c>
      <c r="CA138" s="783">
        <f>IF(OR($C$92=$AR138,$D$92=$AR138),Schweine_Werte!$O138*0.5,IF(OR($C$92&gt;$AR138,$D$92&lt;$AR138),0,Schweine_Werte!$O138))</f>
        <v>0</v>
      </c>
      <c r="CB138" s="783">
        <f>IF(OR($C$101=$AR138,$D$101=$AR138),Schweine_Werte!$O138*0.5,IF(OR($C$101&gt;$AR138,$D$101&lt;$AR138),0,Schweine_Werte!$O138))</f>
        <v>0</v>
      </c>
      <c r="CC138" s="783">
        <f>IF(OR($C$110=$AR138,$D$110=$AR138),Schweine_Werte!$O138*0.5,IF(OR($C$110&gt;$AR138,$D$110&lt;$AR138),0,Schweine_Werte!$O138))</f>
        <v>0</v>
      </c>
    </row>
    <row r="139" spans="2:81" x14ac:dyDescent="0.2">
      <c r="B139" t="s">
        <v>7729</v>
      </c>
      <c r="C139" s="691"/>
      <c r="AR139" s="792">
        <v>143</v>
      </c>
      <c r="AS139" s="781">
        <f>IF(OR($C$12=$AR139,$D$12=$AR139),Schweine_Werte!$C139*0.5,IF(OR($C$12&gt;$AR139,$D$12&lt;$AR139),0,Schweine_Werte!$C139))</f>
        <v>0</v>
      </c>
      <c r="AT139" s="716">
        <f>IF(OR($C$24=$AR139,$D$24=$AR139),Schweine_Werte!$C139*0.5,IF(OR($C$24&gt;$AR139,$D$24&lt;$AR139),0,Schweine_Werte!$C139))</f>
        <v>0</v>
      </c>
      <c r="AU139" s="781">
        <f>IF(OR($C$36=$AR139,$D$36=$AR139),Schweine_Werte!$C139*0.5,IF(OR($C$36&gt;$AR139,$D$36&lt;$AR139),0,Schweine_Werte!$C139))</f>
        <v>0</v>
      </c>
      <c r="AV139" s="781">
        <f>IF(OR($C$48=$AR139,$D$48=$AR139),Schweine_Werte!$C139*0.5,IF(OR($C$48&gt;$AR139,$D$48&lt;$AR139),0,Schweine_Werte!$C139))</f>
        <v>0</v>
      </c>
      <c r="AW139" s="781">
        <f>IF(OR($C$60=$AR139,$D$60=$AR139),Schweine_Werte!$C139*0.5,IF(OR($C$60&gt;$AR139,$D$60&lt;$AR139),0,Schweine_Werte!$C139))</f>
        <v>0</v>
      </c>
      <c r="AX139" s="781">
        <f>IF(OR($C$12=$AR139,$D$12=$AR139),Schweine_Werte!$E139*0.5,IF(OR($C$12&gt;$AR139,$D$12&lt;$AR139),0,Schweine_Werte!$E139))</f>
        <v>0</v>
      </c>
      <c r="AY139" s="716">
        <f>IF(OR($C$24=$AR139,$D$24=$AR139),Schweine_Werte!$E139*0.5,IF(OR($C$24&gt;$AR139,$D$24&lt;$AR139),0,Schweine_Werte!$E139))</f>
        <v>0</v>
      </c>
      <c r="AZ139" s="716">
        <f>IF(OR($C$36=$AR139,$D$36=$AR139),Schweine_Werte!$E139*0.5,IF(OR($C$36&gt;$AR139,$D$36&lt;$AR139),0,Schweine_Werte!$E139))</f>
        <v>0</v>
      </c>
      <c r="BA139" s="716">
        <f>IF(OR($C$48=$AR139,$D$48=$AR139),Schweine_Werte!$E139*0.5,IF(OR($C$48&gt;$AR139,$D$48&lt;$AR139),0,Schweine_Werte!$E139))</f>
        <v>0</v>
      </c>
      <c r="BB139" s="716">
        <f>IF(OR($C$60=$AR139,$D$60=$AR139),Schweine_Werte!$E139*0.5,IF(OR($C$60&gt;$AR139,$D$60&lt;$AR139),0,Schweine_Werte!$E139))</f>
        <v>0</v>
      </c>
      <c r="BC139" s="781">
        <f>IF(OR($C$12=$AR139,$D$12=$AR139),Schweine_Werte!$G139*0.5,IF(OR($C$12&gt;$AR139,$D$12&lt;$AR139),0,Schweine_Werte!$G139))</f>
        <v>0</v>
      </c>
      <c r="BD139" s="716">
        <f>IF(OR($C$24=$AR139,$D$24=$AR139),Schweine_Werte!$G139*0.5,IF(OR($C$24&gt;$AR139,$D$24&lt;$AR139),0,Schweine_Werte!$G139))</f>
        <v>0</v>
      </c>
      <c r="BE139" s="716">
        <f>IF(OR($C$36=$AR139,$D$36=$AR139),Schweine_Werte!$G139*0.5,IF(OR($C$36&gt;$AR139,$D$36&lt;$AR139),0,Schweine_Werte!$G139))</f>
        <v>0</v>
      </c>
      <c r="BF139" s="716">
        <f>IF(OR($C$48=$AR139,$D$48=$AR139),Schweine_Werte!$G139*0.5,IF(OR($C$48&gt;$AR139,$D$48&lt;$AR139),0,Schweine_Werte!$G139))</f>
        <v>0</v>
      </c>
      <c r="BG139" s="716">
        <f>IF(OR($C$60=$AR139,$D$60=$AR139),Schweine_Werte!$G139*0.5,IF(OR($C$60&gt;$AR139,$D$60&lt;$AR139),0,Schweine_Werte!$G139))</f>
        <v>0</v>
      </c>
      <c r="BH139" s="781">
        <f>IF(OR($C$12=$AR139,$D$12=$AR139),Schweine_Werte!$I139*0.5,IF(OR($C$12&gt;$AR139,$D$12&lt;$AR139),0,Schweine_Werte!$I139))</f>
        <v>0</v>
      </c>
      <c r="BI139" s="716">
        <f>IF(OR($C$24=$AR139,$D$24=$AR139),Schweine_Werte!$I139*0.5,IF(OR($C$24&gt;$AR139,$D$24&lt;$AR139),0,Schweine_Werte!$I139))</f>
        <v>0</v>
      </c>
      <c r="BJ139" s="716">
        <f>IF(OR($C$36=$AR139,$D$36=$AR139),Schweine_Werte!$I139*0.5,IF(OR($C$36&gt;$AR139,$D$36&lt;$AR139),0,Schweine_Werte!$I139))</f>
        <v>0</v>
      </c>
      <c r="BK139" s="716">
        <f>IF(OR($C$48=$AR139,$D$48=$AR139),Schweine_Werte!$I139*0.5,IF(OR($C$48&gt;$AR139,$D$48&lt;$AR139),0,Schweine_Werte!$I139))</f>
        <v>0</v>
      </c>
      <c r="BL139" s="716">
        <f>IF(OR($C$60=$AR139,$D$60=$AR139),Schweine_Werte!$I139*0.5,IF(OR($C$60&gt;$AR139,$D$60&lt;$AR139),0,Schweine_Werte!$I139))</f>
        <v>0</v>
      </c>
      <c r="BM139" s="781"/>
      <c r="BN139" s="716"/>
      <c r="BO139" s="716"/>
      <c r="BP139" s="716"/>
      <c r="BQ139" s="716"/>
      <c r="BR139" s="781">
        <f>IF(OR($C$74=$AR139,$D$74=$AR139),Schweine_Werte!$M139*0.5,IF(OR($C$74&gt;$AR139,$D$74&lt;$AR139),0,Schweine_Werte!$M139))</f>
        <v>0</v>
      </c>
      <c r="BS139" s="781">
        <f>IF(OR($C$83=$AR139,$D$83=$AR139),Schweine_Werte!$M139*0.5,IF(OR($C$83&gt;$AR139,$D$83&lt;$AR139),0,Schweine_Werte!$M139))</f>
        <v>0</v>
      </c>
      <c r="BT139" s="783">
        <f>IF(OR($C$92=$AR139,$D$92=$AR139),Schweine_Werte!$M139*0.5,IF(OR($C$92&gt;$AR139,$D$92&lt;$AR139),0,Schweine_Werte!$M139))</f>
        <v>0</v>
      </c>
      <c r="BU139" s="783">
        <f>IF(OR($C$101=$AR139,$D$101=$AR139),Schweine_Werte!$M139*0.5,IF(OR($C$101&gt;$AR139,$D$101&lt;$AR139),0,Schweine_Werte!$M139))</f>
        <v>0</v>
      </c>
      <c r="BV139" s="783">
        <f>IF(OR($C$110=$AR139,$D$110=$AR139),Schweine_Werte!$M139*0.5,IF(OR($C$110&gt;$AR139,$D$110&lt;$AR139),0,Schweine_Werte!$M139))</f>
        <v>0</v>
      </c>
      <c r="BW139" s="783">
        <f>IF(OR(8=$AR139,$E$127=$AR139),Schweine_Werte!$M139*0.5,IF(OR(8&gt;$AR139,$E$127&lt;$AR139),0,Schweine_Werte!$M139))</f>
        <v>1.4477278921508818</v>
      </c>
      <c r="BX139" s="783">
        <f>IF(OR(8=$AR139,$E$145=$AR139),Schweine_Werte!$M139*0.5,IF(OR(8&gt;$AR139,$E$145&lt;$AR139),0,Schweine_Werte!$M139))</f>
        <v>1.4477278921508818</v>
      </c>
      <c r="BY139" s="781">
        <f>IF(OR($C$74=$AR139,$D$74=$AR139),Schweine_Werte!$O139*0.5,IF(OR($C$74&gt;$AR139,$D$74&lt;$AR139),0,Schweine_Werte!$O139))</f>
        <v>0</v>
      </c>
      <c r="BZ139" s="781">
        <f>IF(OR($C$83=$AR139,$D$83=$AR139),Schweine_Werte!$O139*0.5,IF(OR($C$83&gt;$AR139,$D$83&lt;$AR139),0,Schweine_Werte!$O139))</f>
        <v>0</v>
      </c>
      <c r="CA139" s="783">
        <f>IF(OR($C$92=$AR139,$D$92=$AR139),Schweine_Werte!$O139*0.5,IF(OR($C$92&gt;$AR139,$D$92&lt;$AR139),0,Schweine_Werte!$O139))</f>
        <v>0</v>
      </c>
      <c r="CB139" s="783">
        <f>IF(OR($C$101=$AR139,$D$101=$AR139),Schweine_Werte!$O139*0.5,IF(OR($C$101&gt;$AR139,$D$101&lt;$AR139),0,Schweine_Werte!$O139))</f>
        <v>0</v>
      </c>
      <c r="CC139" s="783">
        <f>IF(OR($C$110=$AR139,$D$110=$AR139),Schweine_Werte!$O139*0.5,IF(OR($C$110&gt;$AR139,$D$110&lt;$AR139),0,Schweine_Werte!$O139))</f>
        <v>0</v>
      </c>
    </row>
    <row r="140" spans="2:81" x14ac:dyDescent="0.2">
      <c r="B140" s="794" t="e">
        <f>+B137*D145/365</f>
        <v>#VALUE!</v>
      </c>
      <c r="C140" s="691"/>
      <c r="D140" s="358"/>
      <c r="E140" s="716"/>
      <c r="F140" s="716"/>
      <c r="G140" s="716"/>
      <c r="H140" s="716"/>
      <c r="I140" s="716"/>
      <c r="J140" s="716"/>
      <c r="K140" s="716"/>
      <c r="L140" s="716"/>
      <c r="M140" s="716"/>
      <c r="N140" s="716"/>
      <c r="O140" s="716"/>
      <c r="P140" s="716"/>
      <c r="Q140" s="716"/>
      <c r="R140" s="716"/>
      <c r="S140" s="716"/>
      <c r="U140" s="716"/>
      <c r="V140" s="716"/>
      <c r="AR140" s="792">
        <v>144</v>
      </c>
      <c r="AS140" s="781">
        <f>IF(OR($C$12=$AR140,$D$12=$AR140),Schweine_Werte!$C140*0.5,IF(OR($C$12&gt;$AR140,$D$12&lt;$AR140),0,Schweine_Werte!$C140))</f>
        <v>0</v>
      </c>
      <c r="AT140" s="716">
        <f>IF(OR($C$24=$AR140,$D$24=$AR140),Schweine_Werte!$C140*0.5,IF(OR($C$24&gt;$AR140,$D$24&lt;$AR140),0,Schweine_Werte!$C140))</f>
        <v>0</v>
      </c>
      <c r="AU140" s="781">
        <f>IF(OR($C$36=$AR140,$D$36=$AR140),Schweine_Werte!$C140*0.5,IF(OR($C$36&gt;$AR140,$D$36&lt;$AR140),0,Schweine_Werte!$C140))</f>
        <v>0</v>
      </c>
      <c r="AV140" s="781">
        <f>IF(OR($C$48=$AR140,$D$48=$AR140),Schweine_Werte!$C140*0.5,IF(OR($C$48&gt;$AR140,$D$48&lt;$AR140),0,Schweine_Werte!$C140))</f>
        <v>0</v>
      </c>
      <c r="AW140" s="781">
        <f>IF(OR($C$60=$AR140,$D$60=$AR140),Schweine_Werte!$C140*0.5,IF(OR($C$60&gt;$AR140,$D$60&lt;$AR140),0,Schweine_Werte!$C140))</f>
        <v>0</v>
      </c>
      <c r="AX140" s="781">
        <f>IF(OR($C$12=$AR140,$D$12=$AR140),Schweine_Werte!$E140*0.5,IF(OR($C$12&gt;$AR140,$D$12&lt;$AR140),0,Schweine_Werte!$E140))</f>
        <v>0</v>
      </c>
      <c r="AY140" s="716">
        <f>IF(OR($C$24=$AR140,$D$24=$AR140),Schweine_Werte!$E140*0.5,IF(OR($C$24&gt;$AR140,$D$24&lt;$AR140),0,Schweine_Werte!$E140))</f>
        <v>0</v>
      </c>
      <c r="AZ140" s="716">
        <f>IF(OR($C$36=$AR140,$D$36=$AR140),Schweine_Werte!$E140*0.5,IF(OR($C$36&gt;$AR140,$D$36&lt;$AR140),0,Schweine_Werte!$E140))</f>
        <v>0</v>
      </c>
      <c r="BA140" s="716">
        <f>IF(OR($C$48=$AR140,$D$48=$AR140),Schweine_Werte!$E140*0.5,IF(OR($C$48&gt;$AR140,$D$48&lt;$AR140),0,Schweine_Werte!$E140))</f>
        <v>0</v>
      </c>
      <c r="BB140" s="716">
        <f>IF(OR($C$60=$AR140,$D$60=$AR140),Schweine_Werte!$E140*0.5,IF(OR($C$60&gt;$AR140,$D$60&lt;$AR140),0,Schweine_Werte!$E140))</f>
        <v>0</v>
      </c>
      <c r="BC140" s="781">
        <f>IF(OR($C$12=$AR140,$D$12=$AR140),Schweine_Werte!$G140*0.5,IF(OR($C$12&gt;$AR140,$D$12&lt;$AR140),0,Schweine_Werte!$G140))</f>
        <v>0</v>
      </c>
      <c r="BD140" s="716">
        <f>IF(OR($C$24=$AR140,$D$24=$AR140),Schweine_Werte!$G140*0.5,IF(OR($C$24&gt;$AR140,$D$24&lt;$AR140),0,Schweine_Werte!$G140))</f>
        <v>0</v>
      </c>
      <c r="BE140" s="716">
        <f>IF(OR($C$36=$AR140,$D$36=$AR140),Schweine_Werte!$G140*0.5,IF(OR($C$36&gt;$AR140,$D$36&lt;$AR140),0,Schweine_Werte!$G140))</f>
        <v>0</v>
      </c>
      <c r="BF140" s="716">
        <f>IF(OR($C$48=$AR140,$D$48=$AR140),Schweine_Werte!$G140*0.5,IF(OR($C$48&gt;$AR140,$D$48&lt;$AR140),0,Schweine_Werte!$G140))</f>
        <v>0</v>
      </c>
      <c r="BG140" s="716">
        <f>IF(OR($C$60=$AR140,$D$60=$AR140),Schweine_Werte!$G140*0.5,IF(OR($C$60&gt;$AR140,$D$60&lt;$AR140),0,Schweine_Werte!$G140))</f>
        <v>0</v>
      </c>
      <c r="BH140" s="781">
        <f>IF(OR($C$12=$AR140,$D$12=$AR140),Schweine_Werte!$I140*0.5,IF(OR($C$12&gt;$AR140,$D$12&lt;$AR140),0,Schweine_Werte!$I140))</f>
        <v>0</v>
      </c>
      <c r="BI140" s="716">
        <f>IF(OR($C$24=$AR140,$D$24=$AR140),Schweine_Werte!$I140*0.5,IF(OR($C$24&gt;$AR140,$D$24&lt;$AR140),0,Schweine_Werte!$I140))</f>
        <v>0</v>
      </c>
      <c r="BJ140" s="716">
        <f>IF(OR($C$36=$AR140,$D$36=$AR140),Schweine_Werte!$I140*0.5,IF(OR($C$36&gt;$AR140,$D$36&lt;$AR140),0,Schweine_Werte!$I140))</f>
        <v>0</v>
      </c>
      <c r="BK140" s="716">
        <f>IF(OR($C$48=$AR140,$D$48=$AR140),Schweine_Werte!$I140*0.5,IF(OR($C$48&gt;$AR140,$D$48&lt;$AR140),0,Schweine_Werte!$I140))</f>
        <v>0</v>
      </c>
      <c r="BL140" s="716">
        <f>IF(OR($C$60=$AR140,$D$60=$AR140),Schweine_Werte!$I140*0.5,IF(OR($C$60&gt;$AR140,$D$60&lt;$AR140),0,Schweine_Werte!$I140))</f>
        <v>0</v>
      </c>
      <c r="BM140" s="781"/>
      <c r="BN140" s="716"/>
      <c r="BO140" s="716"/>
      <c r="BP140" s="716"/>
      <c r="BQ140" s="716"/>
      <c r="BR140" s="781">
        <f>IF(OR($C$74=$AR140,$D$74=$AR140),Schweine_Werte!$M140*0.5,IF(OR($C$74&gt;$AR140,$D$74&lt;$AR140),0,Schweine_Werte!$M140))</f>
        <v>0</v>
      </c>
      <c r="BS140" s="781">
        <f>IF(OR($C$83=$AR140,$D$83=$AR140),Schweine_Werte!$M140*0.5,IF(OR($C$83&gt;$AR140,$D$83&lt;$AR140),0,Schweine_Werte!$M140))</f>
        <v>0</v>
      </c>
      <c r="BT140" s="783">
        <f>IF(OR($C$92=$AR140,$D$92=$AR140),Schweine_Werte!$M140*0.5,IF(OR($C$92&gt;$AR140,$D$92&lt;$AR140),0,Schweine_Werte!$M140))</f>
        <v>0</v>
      </c>
      <c r="BU140" s="783">
        <f>IF(OR($C$101=$AR140,$D$101=$AR140),Schweine_Werte!$M140*0.5,IF(OR($C$101&gt;$AR140,$D$101&lt;$AR140),0,Schweine_Werte!$M140))</f>
        <v>0</v>
      </c>
      <c r="BV140" s="783">
        <f>IF(OR($C$110=$AR140,$D$110=$AR140),Schweine_Werte!$M140*0.5,IF(OR($C$110&gt;$AR140,$D$110&lt;$AR140),0,Schweine_Werte!$M140))</f>
        <v>0</v>
      </c>
      <c r="BW140" s="783">
        <f>IF(OR(8=$AR140,$E$127=$AR140),Schweine_Werte!$M140*0.5,IF(OR(8&gt;$AR140,$E$127&lt;$AR140),0,Schweine_Werte!$M140))</f>
        <v>1.4477278921508818</v>
      </c>
      <c r="BX140" s="783">
        <f>IF(OR(8=$AR140,$E$145=$AR140),Schweine_Werte!$M140*0.5,IF(OR(8&gt;$AR140,$E$145&lt;$AR140),0,Schweine_Werte!$M140))</f>
        <v>1.4477278921508818</v>
      </c>
      <c r="BY140" s="781">
        <f>IF(OR($C$74=$AR140,$D$74=$AR140),Schweine_Werte!$O140*0.5,IF(OR($C$74&gt;$AR140,$D$74&lt;$AR140),0,Schweine_Werte!$O140))</f>
        <v>0</v>
      </c>
      <c r="BZ140" s="781">
        <f>IF(OR($C$83=$AR140,$D$83=$AR140),Schweine_Werte!$O140*0.5,IF(OR($C$83&gt;$AR140,$D$83&lt;$AR140),0,Schweine_Werte!$O140))</f>
        <v>0</v>
      </c>
      <c r="CA140" s="783">
        <f>IF(OR($C$92=$AR140,$D$92=$AR140),Schweine_Werte!$O140*0.5,IF(OR($C$92&gt;$AR140,$D$92&lt;$AR140),0,Schweine_Werte!$O140))</f>
        <v>0</v>
      </c>
      <c r="CB140" s="783">
        <f>IF(OR($C$101=$AR140,$D$101=$AR140),Schweine_Werte!$O140*0.5,IF(OR($C$101&gt;$AR140,$D$101&lt;$AR140),0,Schweine_Werte!$O140))</f>
        <v>0</v>
      </c>
      <c r="CC140" s="783">
        <f>IF(OR($C$110=$AR140,$D$110=$AR140),Schweine_Werte!$O140*0.5,IF(OR($C$110&gt;$AR140,$D$110&lt;$AR140),0,Schweine_Werte!$O140))</f>
        <v>0</v>
      </c>
    </row>
    <row r="141" spans="2:81" x14ac:dyDescent="0.2">
      <c r="C141" s="691"/>
      <c r="D141" s="358"/>
      <c r="F141" s="716"/>
      <c r="G141" s="716"/>
      <c r="H141" s="716"/>
      <c r="I141" s="716"/>
      <c r="J141" s="716"/>
      <c r="K141" s="716"/>
      <c r="L141" s="716"/>
      <c r="M141" s="716"/>
      <c r="N141" s="716"/>
      <c r="O141" s="716"/>
      <c r="P141" s="716"/>
      <c r="Q141" s="716"/>
      <c r="R141" s="716"/>
      <c r="S141" s="716"/>
      <c r="T141" s="716"/>
      <c r="U141" s="716"/>
      <c r="V141" s="716"/>
      <c r="AR141" s="792">
        <v>145</v>
      </c>
      <c r="AS141" s="781">
        <f>IF(OR($C$12=$AR141,$D$12=$AR141),Schweine_Werte!$C141*0.5,IF(OR($C$12&gt;$AR141,$D$12&lt;$AR141),0,Schweine_Werte!$C141))</f>
        <v>0</v>
      </c>
      <c r="AT141" s="716">
        <f>IF(OR($C$24=$AR141,$D$24=$AR141),Schweine_Werte!$C141*0.5,IF(OR($C$24&gt;$AR141,$D$24&lt;$AR141),0,Schweine_Werte!$C141))</f>
        <v>0</v>
      </c>
      <c r="AU141" s="781">
        <f>IF(OR($C$36=$AR141,$D$36=$AR141),Schweine_Werte!$C141*0.5,IF(OR($C$36&gt;$AR141,$D$36&lt;$AR141),0,Schweine_Werte!$C141))</f>
        <v>0</v>
      </c>
      <c r="AV141" s="781">
        <f>IF(OR($C$48=$AR141,$D$48=$AR141),Schweine_Werte!$C141*0.5,IF(OR($C$48&gt;$AR141,$D$48&lt;$AR141),0,Schweine_Werte!$C141))</f>
        <v>0</v>
      </c>
      <c r="AW141" s="781">
        <f>IF(OR($C$60=$AR141,$D$60=$AR141),Schweine_Werte!$C141*0.5,IF(OR($C$60&gt;$AR141,$D$60&lt;$AR141),0,Schweine_Werte!$C141))</f>
        <v>0</v>
      </c>
      <c r="AX141" s="781">
        <f>IF(OR($C$12=$AR141,$D$12=$AR141),Schweine_Werte!$E141*0.5,IF(OR($C$12&gt;$AR141,$D$12&lt;$AR141),0,Schweine_Werte!$E141))</f>
        <v>0</v>
      </c>
      <c r="AY141" s="716">
        <f>IF(OR($C$24=$AR141,$D$24=$AR141),Schweine_Werte!$E141*0.5,IF(OR($C$24&gt;$AR141,$D$24&lt;$AR141),0,Schweine_Werte!$E141))</f>
        <v>0</v>
      </c>
      <c r="AZ141" s="716">
        <f>IF(OR($C$36=$AR141,$D$36=$AR141),Schweine_Werte!$E141*0.5,IF(OR($C$36&gt;$AR141,$D$36&lt;$AR141),0,Schweine_Werte!$E141))</f>
        <v>0</v>
      </c>
      <c r="BA141" s="716">
        <f>IF(OR($C$48=$AR141,$D$48=$AR141),Schweine_Werte!$E141*0.5,IF(OR($C$48&gt;$AR141,$D$48&lt;$AR141),0,Schweine_Werte!$E141))</f>
        <v>0</v>
      </c>
      <c r="BB141" s="716">
        <f>IF(OR($C$60=$AR141,$D$60=$AR141),Schweine_Werte!$E141*0.5,IF(OR($C$60&gt;$AR141,$D$60&lt;$AR141),0,Schweine_Werte!$E141))</f>
        <v>0</v>
      </c>
      <c r="BC141" s="781">
        <f>IF(OR($C$12=$AR141,$D$12=$AR141),Schweine_Werte!$G141*0.5,IF(OR($C$12&gt;$AR141,$D$12&lt;$AR141),0,Schweine_Werte!$G141))</f>
        <v>0</v>
      </c>
      <c r="BD141" s="716">
        <f>IF(OR($C$24=$AR141,$D$24=$AR141),Schweine_Werte!$G141*0.5,IF(OR($C$24&gt;$AR141,$D$24&lt;$AR141),0,Schweine_Werte!$G141))</f>
        <v>0</v>
      </c>
      <c r="BE141" s="716">
        <f>IF(OR($C$36=$AR141,$D$36=$AR141),Schweine_Werte!$G141*0.5,IF(OR($C$36&gt;$AR141,$D$36&lt;$AR141),0,Schweine_Werte!$G141))</f>
        <v>0</v>
      </c>
      <c r="BF141" s="716">
        <f>IF(OR($C$48=$AR141,$D$48=$AR141),Schweine_Werte!$G141*0.5,IF(OR($C$48&gt;$AR141,$D$48&lt;$AR141),0,Schweine_Werte!$G141))</f>
        <v>0</v>
      </c>
      <c r="BG141" s="716">
        <f>IF(OR($C$60=$AR141,$D$60=$AR141),Schweine_Werte!$G141*0.5,IF(OR($C$60&gt;$AR141,$D$60&lt;$AR141),0,Schweine_Werte!$G141))</f>
        <v>0</v>
      </c>
      <c r="BH141" s="781">
        <f>IF(OR($C$12=$AR141,$D$12=$AR141),Schweine_Werte!$I141*0.5,IF(OR($C$12&gt;$AR141,$D$12&lt;$AR141),0,Schweine_Werte!$I141))</f>
        <v>0</v>
      </c>
      <c r="BI141" s="716">
        <f>IF(OR($C$24=$AR141,$D$24=$AR141),Schweine_Werte!$I141*0.5,IF(OR($C$24&gt;$AR141,$D$24&lt;$AR141),0,Schweine_Werte!$I141))</f>
        <v>0</v>
      </c>
      <c r="BJ141" s="716">
        <f>IF(OR($C$36=$AR141,$D$36=$AR141),Schweine_Werte!$I141*0.5,IF(OR($C$36&gt;$AR141,$D$36&lt;$AR141),0,Schweine_Werte!$I141))</f>
        <v>0</v>
      </c>
      <c r="BK141" s="716">
        <f>IF(OR($C$48=$AR141,$D$48=$AR141),Schweine_Werte!$I141*0.5,IF(OR($C$48&gt;$AR141,$D$48&lt;$AR141),0,Schweine_Werte!$I141))</f>
        <v>0</v>
      </c>
      <c r="BL141" s="716">
        <f>IF(OR($C$60=$AR141,$D$60=$AR141),Schweine_Werte!$I141*0.5,IF(OR($C$60&gt;$AR141,$D$60&lt;$AR141),0,Schweine_Werte!$I141))</f>
        <v>0</v>
      </c>
      <c r="BM141" s="781"/>
      <c r="BN141" s="716"/>
      <c r="BO141" s="716"/>
      <c r="BP141" s="716"/>
      <c r="BQ141" s="716"/>
      <c r="BR141" s="781">
        <f>IF(OR($C$74=$AR141,$D$74=$AR141),Schweine_Werte!$M141*0.5,IF(OR($C$74&gt;$AR141,$D$74&lt;$AR141),0,Schweine_Werte!$M141))</f>
        <v>0</v>
      </c>
      <c r="BS141" s="781">
        <f>IF(OR($C$83=$AR141,$D$83=$AR141),Schweine_Werte!$M141*0.5,IF(OR($C$83&gt;$AR141,$D$83&lt;$AR141),0,Schweine_Werte!$M141))</f>
        <v>0</v>
      </c>
      <c r="BT141" s="783">
        <f>IF(OR($C$92=$AR141,$D$92=$AR141),Schweine_Werte!$M141*0.5,IF(OR($C$92&gt;$AR141,$D$92&lt;$AR141),0,Schweine_Werte!$M141))</f>
        <v>0</v>
      </c>
      <c r="BU141" s="783">
        <f>IF(OR($C$101=$AR141,$D$101=$AR141),Schweine_Werte!$M141*0.5,IF(OR($C$101&gt;$AR141,$D$101&lt;$AR141),0,Schweine_Werte!$M141))</f>
        <v>0</v>
      </c>
      <c r="BV141" s="783">
        <f>IF(OR($C$110=$AR141,$D$110=$AR141),Schweine_Werte!$M141*0.5,IF(OR($C$110&gt;$AR141,$D$110&lt;$AR141),0,Schweine_Werte!$M141))</f>
        <v>0</v>
      </c>
      <c r="BW141" s="783">
        <f>IF(OR(8=$AR141,$E$127=$AR141),Schweine_Werte!$M141*0.5,IF(OR(8&gt;$AR141,$E$127&lt;$AR141),0,Schweine_Werte!$M141))</f>
        <v>1.4477278921508818</v>
      </c>
      <c r="BX141" s="783">
        <f>IF(OR(8=$AR141,$E$145=$AR141),Schweine_Werte!$M141*0.5,IF(OR(8&gt;$AR141,$E$145&lt;$AR141),0,Schweine_Werte!$M141))</f>
        <v>1.4477278921508818</v>
      </c>
      <c r="BY141" s="781">
        <f>IF(OR($C$74=$AR141,$D$74=$AR141),Schweine_Werte!$O141*0.5,IF(OR($C$74&gt;$AR141,$D$74&lt;$AR141),0,Schweine_Werte!$O141))</f>
        <v>0</v>
      </c>
      <c r="BZ141" s="781">
        <f>IF(OR($C$83=$AR141,$D$83=$AR141),Schweine_Werte!$O141*0.5,IF(OR($C$83&gt;$AR141,$D$83&lt;$AR141),0,Schweine_Werte!$O141))</f>
        <v>0</v>
      </c>
      <c r="CA141" s="783">
        <f>IF(OR($C$92=$AR141,$D$92=$AR141),Schweine_Werte!$O141*0.5,IF(OR($C$92&gt;$AR141,$D$92&lt;$AR141),0,Schweine_Werte!$O141))</f>
        <v>0</v>
      </c>
      <c r="CB141" s="783">
        <f>IF(OR($C$101=$AR141,$D$101=$AR141),Schweine_Werte!$O141*0.5,IF(OR($C$101&gt;$AR141,$D$101&lt;$AR141),0,Schweine_Werte!$O141))</f>
        <v>0</v>
      </c>
      <c r="CC141" s="783">
        <f>IF(OR($C$110=$AR141,$D$110=$AR141),Schweine_Werte!$O141*0.5,IF(OR($C$110&gt;$AR141,$D$110&lt;$AR141),0,Schweine_Werte!$O141))</f>
        <v>0</v>
      </c>
    </row>
    <row r="142" spans="2:81" x14ac:dyDescent="0.2">
      <c r="C142" s="691"/>
      <c r="D142" s="358"/>
      <c r="E142" s="716"/>
      <c r="F142" s="716"/>
      <c r="G142" s="716"/>
      <c r="H142" s="716"/>
      <c r="I142" s="716"/>
      <c r="J142" s="716"/>
      <c r="K142" s="716"/>
      <c r="L142" s="716"/>
      <c r="M142" s="716"/>
      <c r="N142" s="716"/>
      <c r="O142" s="716"/>
      <c r="P142" s="716"/>
      <c r="Q142" s="716"/>
      <c r="R142" s="716"/>
      <c r="S142" s="716"/>
      <c r="T142" s="716"/>
      <c r="U142" s="716"/>
      <c r="V142" s="716"/>
      <c r="AR142" s="792">
        <v>146</v>
      </c>
      <c r="AS142" s="781">
        <f>IF(OR($C$12=$AR142,$D$12=$AR142),Schweine_Werte!$C142*0.5,IF(OR($C$12&gt;$AR142,$D$12&lt;$AR142),0,Schweine_Werte!$C142))</f>
        <v>0</v>
      </c>
      <c r="AT142" s="716">
        <f>IF(OR($C$24=$AR142,$D$24=$AR142),Schweine_Werte!$C142*0.5,IF(OR($C$24&gt;$AR142,$D$24&lt;$AR142),0,Schweine_Werte!$C142))</f>
        <v>0</v>
      </c>
      <c r="AU142" s="781">
        <f>IF(OR($C$36=$AR142,$D$36=$AR142),Schweine_Werte!$C142*0.5,IF(OR($C$36&gt;$AR142,$D$36&lt;$AR142),0,Schweine_Werte!$C142))</f>
        <v>0</v>
      </c>
      <c r="AV142" s="781">
        <f>IF(OR($C$48=$AR142,$D$48=$AR142),Schweine_Werte!$C142*0.5,IF(OR($C$48&gt;$AR142,$D$48&lt;$AR142),0,Schweine_Werte!$C142))</f>
        <v>0</v>
      </c>
      <c r="AW142" s="781">
        <f>IF(OR($C$60=$AR142,$D$60=$AR142),Schweine_Werte!$C142*0.5,IF(OR($C$60&gt;$AR142,$D$60&lt;$AR142),0,Schweine_Werte!$C142))</f>
        <v>0</v>
      </c>
      <c r="AX142" s="781">
        <f>IF(OR($C$12=$AR142,$D$12=$AR142),Schweine_Werte!$E142*0.5,IF(OR($C$12&gt;$AR142,$D$12&lt;$AR142),0,Schweine_Werte!$E142))</f>
        <v>0</v>
      </c>
      <c r="AY142" s="716">
        <f>IF(OR($C$24=$AR142,$D$24=$AR142),Schweine_Werte!$E142*0.5,IF(OR($C$24&gt;$AR142,$D$24&lt;$AR142),0,Schweine_Werte!$E142))</f>
        <v>0</v>
      </c>
      <c r="AZ142" s="716">
        <f>IF(OR($C$36=$AR142,$D$36=$AR142),Schweine_Werte!$E142*0.5,IF(OR($C$36&gt;$AR142,$D$36&lt;$AR142),0,Schweine_Werte!$E142))</f>
        <v>0</v>
      </c>
      <c r="BA142" s="716">
        <f>IF(OR($C$48=$AR142,$D$48=$AR142),Schweine_Werte!$E142*0.5,IF(OR($C$48&gt;$AR142,$D$48&lt;$AR142),0,Schweine_Werte!$E142))</f>
        <v>0</v>
      </c>
      <c r="BB142" s="716">
        <f>IF(OR($C$60=$AR142,$D$60=$AR142),Schweine_Werte!$E142*0.5,IF(OR($C$60&gt;$AR142,$D$60&lt;$AR142),0,Schweine_Werte!$E142))</f>
        <v>0</v>
      </c>
      <c r="BC142" s="781">
        <f>IF(OR($C$12=$AR142,$D$12=$AR142),Schweine_Werte!$G142*0.5,IF(OR($C$12&gt;$AR142,$D$12&lt;$AR142),0,Schweine_Werte!$G142))</f>
        <v>0</v>
      </c>
      <c r="BD142" s="716">
        <f>IF(OR($C$24=$AR142,$D$24=$AR142),Schweine_Werte!$G142*0.5,IF(OR($C$24&gt;$AR142,$D$24&lt;$AR142),0,Schweine_Werte!$G142))</f>
        <v>0</v>
      </c>
      <c r="BE142" s="716">
        <f>IF(OR($C$36=$AR142,$D$36=$AR142),Schweine_Werte!$G142*0.5,IF(OR($C$36&gt;$AR142,$D$36&lt;$AR142),0,Schweine_Werte!$G142))</f>
        <v>0</v>
      </c>
      <c r="BF142" s="716">
        <f>IF(OR($C$48=$AR142,$D$48=$AR142),Schweine_Werte!$G142*0.5,IF(OR($C$48&gt;$AR142,$D$48&lt;$AR142),0,Schweine_Werte!$G142))</f>
        <v>0</v>
      </c>
      <c r="BG142" s="716">
        <f>IF(OR($C$60=$AR142,$D$60=$AR142),Schweine_Werte!$G142*0.5,IF(OR($C$60&gt;$AR142,$D$60&lt;$AR142),0,Schweine_Werte!$G142))</f>
        <v>0</v>
      </c>
      <c r="BH142" s="781">
        <f>IF(OR($C$12=$AR142,$D$12=$AR142),Schweine_Werte!$I142*0.5,IF(OR($C$12&gt;$AR142,$D$12&lt;$AR142),0,Schweine_Werte!$I142))</f>
        <v>0</v>
      </c>
      <c r="BI142" s="716">
        <f>IF(OR($C$24=$AR142,$D$24=$AR142),Schweine_Werte!$I142*0.5,IF(OR($C$24&gt;$AR142,$D$24&lt;$AR142),0,Schweine_Werte!$I142))</f>
        <v>0</v>
      </c>
      <c r="BJ142" s="716">
        <f>IF(OR($C$36=$AR142,$D$36=$AR142),Schweine_Werte!$I142*0.5,IF(OR($C$36&gt;$AR142,$D$36&lt;$AR142),0,Schweine_Werte!$I142))</f>
        <v>0</v>
      </c>
      <c r="BK142" s="716">
        <f>IF(OR($C$48=$AR142,$D$48=$AR142),Schweine_Werte!$I142*0.5,IF(OR($C$48&gt;$AR142,$D$48&lt;$AR142),0,Schweine_Werte!$I142))</f>
        <v>0</v>
      </c>
      <c r="BL142" s="716">
        <f>IF(OR($C$60=$AR142,$D$60=$AR142),Schweine_Werte!$I142*0.5,IF(OR($C$60&gt;$AR142,$D$60&lt;$AR142),0,Schweine_Werte!$I142))</f>
        <v>0</v>
      </c>
      <c r="BM142" s="781"/>
      <c r="BN142" s="716"/>
      <c r="BO142" s="716"/>
      <c r="BP142" s="716"/>
      <c r="BQ142" s="716"/>
      <c r="BR142" s="781">
        <f>IF(OR($C$74=$AR142,$D$74=$AR142),Schweine_Werte!$M142*0.5,IF(OR($C$74&gt;$AR142,$D$74&lt;$AR142),0,Schweine_Werte!$M142))</f>
        <v>0</v>
      </c>
      <c r="BS142" s="781">
        <f>IF(OR($C$83=$AR142,$D$83=$AR142),Schweine_Werte!$M142*0.5,IF(OR($C$83&gt;$AR142,$D$83&lt;$AR142),0,Schweine_Werte!$M142))</f>
        <v>0</v>
      </c>
      <c r="BT142" s="783">
        <f>IF(OR($C$92=$AR142,$D$92=$AR142),Schweine_Werte!$M142*0.5,IF(OR($C$92&gt;$AR142,$D$92&lt;$AR142),0,Schweine_Werte!$M142))</f>
        <v>0</v>
      </c>
      <c r="BU142" s="783">
        <f>IF(OR($C$101=$AR142,$D$101=$AR142),Schweine_Werte!$M142*0.5,IF(OR($C$101&gt;$AR142,$D$101&lt;$AR142),0,Schweine_Werte!$M142))</f>
        <v>0</v>
      </c>
      <c r="BV142" s="783">
        <f>IF(OR($C$110=$AR142,$D$110=$AR142),Schweine_Werte!$M142*0.5,IF(OR($C$110&gt;$AR142,$D$110&lt;$AR142),0,Schweine_Werte!$M142))</f>
        <v>0</v>
      </c>
      <c r="BW142" s="783">
        <f>IF(OR(8=$AR142,$E$127=$AR142),Schweine_Werte!$M142*0.5,IF(OR(8&gt;$AR142,$E$127&lt;$AR142),0,Schweine_Werte!$M142))</f>
        <v>1.4477278921508818</v>
      </c>
      <c r="BX142" s="783">
        <f>IF(OR(8=$AR142,$E$145=$AR142),Schweine_Werte!$M142*0.5,IF(OR(8&gt;$AR142,$E$145&lt;$AR142),0,Schweine_Werte!$M142))</f>
        <v>1.4477278921508818</v>
      </c>
      <c r="BY142" s="781">
        <f>IF(OR($C$74=$AR142,$D$74=$AR142),Schweine_Werte!$O142*0.5,IF(OR($C$74&gt;$AR142,$D$74&lt;$AR142),0,Schweine_Werte!$O142))</f>
        <v>0</v>
      </c>
      <c r="BZ142" s="781">
        <f>IF(OR($C$83=$AR142,$D$83=$AR142),Schweine_Werte!$O142*0.5,IF(OR($C$83&gt;$AR142,$D$83&lt;$AR142),0,Schweine_Werte!$O142))</f>
        <v>0</v>
      </c>
      <c r="CA142" s="783">
        <f>IF(OR($C$92=$AR142,$D$92=$AR142),Schweine_Werte!$O142*0.5,IF(OR($C$92&gt;$AR142,$D$92&lt;$AR142),0,Schweine_Werte!$O142))</f>
        <v>0</v>
      </c>
      <c r="CB142" s="783">
        <f>IF(OR($C$101=$AR142,$D$101=$AR142),Schweine_Werte!$O142*0.5,IF(OR($C$101&gt;$AR142,$D$101&lt;$AR142),0,Schweine_Werte!$O142))</f>
        <v>0</v>
      </c>
      <c r="CC142" s="783">
        <f>IF(OR($C$110=$AR142,$D$110=$AR142),Schweine_Werte!$O142*0.5,IF(OR($C$110&gt;$AR142,$D$110&lt;$AR142),0,Schweine_Werte!$O142))</f>
        <v>0</v>
      </c>
    </row>
    <row r="143" spans="2:81" ht="15.75" x14ac:dyDescent="0.25">
      <c r="F143" s="352"/>
      <c r="G143" s="1588" t="s">
        <v>7701</v>
      </c>
      <c r="H143" s="1589"/>
      <c r="I143" s="1590"/>
      <c r="J143" s="973" t="s">
        <v>589</v>
      </c>
      <c r="K143" s="973" t="s">
        <v>224</v>
      </c>
      <c r="L143" s="1591" t="s">
        <v>7702</v>
      </c>
      <c r="M143" s="1592"/>
      <c r="N143" s="1593"/>
      <c r="O143" s="1591" t="s">
        <v>7703</v>
      </c>
      <c r="P143" s="1593"/>
      <c r="Q143" s="1591" t="s">
        <v>7758</v>
      </c>
      <c r="R143" s="1592"/>
      <c r="S143" s="1593"/>
      <c r="T143" s="1591" t="s">
        <v>7704</v>
      </c>
      <c r="U143" s="1592"/>
      <c r="V143" s="1593"/>
      <c r="W143" s="1591" t="s">
        <v>7785</v>
      </c>
      <c r="X143" s="1592"/>
      <c r="Y143" s="1593"/>
      <c r="AR143" s="792">
        <v>147</v>
      </c>
      <c r="AS143" s="781">
        <f>IF(OR($C$12=$AR143,$D$12=$AR143),Schweine_Werte!$C143*0.5,IF(OR($C$12&gt;$AR143,$D$12&lt;$AR143),0,Schweine_Werte!$C143))</f>
        <v>0</v>
      </c>
      <c r="AT143" s="716">
        <f>IF(OR($C$24=$AR143,$D$24=$AR143),Schweine_Werte!$C143*0.5,IF(OR($C$24&gt;$AR143,$D$24&lt;$AR143),0,Schweine_Werte!$C143))</f>
        <v>0</v>
      </c>
      <c r="AU143" s="781">
        <f>IF(OR($C$36=$AR143,$D$36=$AR143),Schweine_Werte!$C143*0.5,IF(OR($C$36&gt;$AR143,$D$36&lt;$AR143),0,Schweine_Werte!$C143))</f>
        <v>0</v>
      </c>
      <c r="AV143" s="781">
        <f>IF(OR($C$48=$AR143,$D$48=$AR143),Schweine_Werte!$C143*0.5,IF(OR($C$48&gt;$AR143,$D$48&lt;$AR143),0,Schweine_Werte!$C143))</f>
        <v>0</v>
      </c>
      <c r="AW143" s="781">
        <f>IF(OR($C$60=$AR143,$D$60=$AR143),Schweine_Werte!$C143*0.5,IF(OR($C$60&gt;$AR143,$D$60&lt;$AR143),0,Schweine_Werte!$C143))</f>
        <v>0</v>
      </c>
      <c r="AX143" s="781">
        <f>IF(OR($C$12=$AR143,$D$12=$AR143),Schweine_Werte!$E143*0.5,IF(OR($C$12&gt;$AR143,$D$12&lt;$AR143),0,Schweine_Werte!$E143))</f>
        <v>0</v>
      </c>
      <c r="AY143" s="716">
        <f>IF(OR($C$24=$AR143,$D$24=$AR143),Schweine_Werte!$E143*0.5,IF(OR($C$24&gt;$AR143,$D$24&lt;$AR143),0,Schweine_Werte!$E143))</f>
        <v>0</v>
      </c>
      <c r="AZ143" s="716">
        <f>IF(OR($C$36=$AR143,$D$36=$AR143),Schweine_Werte!$E143*0.5,IF(OR($C$36&gt;$AR143,$D$36&lt;$AR143),0,Schweine_Werte!$E143))</f>
        <v>0</v>
      </c>
      <c r="BA143" s="716">
        <f>IF(OR($C$48=$AR143,$D$48=$AR143),Schweine_Werte!$E143*0.5,IF(OR($C$48&gt;$AR143,$D$48&lt;$AR143),0,Schweine_Werte!$E143))</f>
        <v>0</v>
      </c>
      <c r="BB143" s="716">
        <f>IF(OR($C$60=$AR143,$D$60=$AR143),Schweine_Werte!$E143*0.5,IF(OR($C$60&gt;$AR143,$D$60&lt;$AR143),0,Schweine_Werte!$E143))</f>
        <v>0</v>
      </c>
      <c r="BC143" s="781">
        <f>IF(OR($C$12=$AR143,$D$12=$AR143),Schweine_Werte!$G143*0.5,IF(OR($C$12&gt;$AR143,$D$12&lt;$AR143),0,Schweine_Werte!$G143))</f>
        <v>0</v>
      </c>
      <c r="BD143" s="716">
        <f>IF(OR($C$24=$AR143,$D$24=$AR143),Schweine_Werte!$G143*0.5,IF(OR($C$24&gt;$AR143,$D$24&lt;$AR143),0,Schweine_Werte!$G143))</f>
        <v>0</v>
      </c>
      <c r="BE143" s="716">
        <f>IF(OR($C$36=$AR143,$D$36=$AR143),Schweine_Werte!$G143*0.5,IF(OR($C$36&gt;$AR143,$D$36&lt;$AR143),0,Schweine_Werte!$G143))</f>
        <v>0</v>
      </c>
      <c r="BF143" s="716">
        <f>IF(OR($C$48=$AR143,$D$48=$AR143),Schweine_Werte!$G143*0.5,IF(OR($C$48&gt;$AR143,$D$48&lt;$AR143),0,Schweine_Werte!$G143))</f>
        <v>0</v>
      </c>
      <c r="BG143" s="716">
        <f>IF(OR($C$60=$AR143,$D$60=$AR143),Schweine_Werte!$G143*0.5,IF(OR($C$60&gt;$AR143,$D$60&lt;$AR143),0,Schweine_Werte!$G143))</f>
        <v>0</v>
      </c>
      <c r="BH143" s="781">
        <f>IF(OR($C$12=$AR143,$D$12=$AR143),Schweine_Werte!$I143*0.5,IF(OR($C$12&gt;$AR143,$D$12&lt;$AR143),0,Schweine_Werte!$I143))</f>
        <v>0</v>
      </c>
      <c r="BI143" s="716">
        <f>IF(OR($C$24=$AR143,$D$24=$AR143),Schweine_Werte!$I143*0.5,IF(OR($C$24&gt;$AR143,$D$24&lt;$AR143),0,Schweine_Werte!$I143))</f>
        <v>0</v>
      </c>
      <c r="BJ143" s="716">
        <f>IF(OR($C$36=$AR143,$D$36=$AR143),Schweine_Werte!$I143*0.5,IF(OR($C$36&gt;$AR143,$D$36&lt;$AR143),0,Schweine_Werte!$I143))</f>
        <v>0</v>
      </c>
      <c r="BK143" s="716">
        <f>IF(OR($C$48=$AR143,$D$48=$AR143),Schweine_Werte!$I143*0.5,IF(OR($C$48&gt;$AR143,$D$48&lt;$AR143),0,Schweine_Werte!$I143))</f>
        <v>0</v>
      </c>
      <c r="BL143" s="716">
        <f>IF(OR($C$60=$AR143,$D$60=$AR143),Schweine_Werte!$I143*0.5,IF(OR($C$60&gt;$AR143,$D$60&lt;$AR143),0,Schweine_Werte!$I143))</f>
        <v>0</v>
      </c>
      <c r="BM143" s="781"/>
      <c r="BN143" s="716"/>
      <c r="BO143" s="716"/>
      <c r="BP143" s="716"/>
      <c r="BQ143" s="716"/>
      <c r="BR143" s="781">
        <f>IF(OR($C$74=$AR143,$D$74=$AR143),Schweine_Werte!$M143*0.5,IF(OR($C$74&gt;$AR143,$D$74&lt;$AR143),0,Schweine_Werte!$M143))</f>
        <v>0</v>
      </c>
      <c r="BS143" s="781">
        <f>IF(OR($C$83=$AR143,$D$83=$AR143),Schweine_Werte!$M143*0.5,IF(OR($C$83&gt;$AR143,$D$83&lt;$AR143),0,Schweine_Werte!$M143))</f>
        <v>0</v>
      </c>
      <c r="BT143" s="783">
        <f>IF(OR($C$92=$AR143,$D$92=$AR143),Schweine_Werte!$M143*0.5,IF(OR($C$92&gt;$AR143,$D$92&lt;$AR143),0,Schweine_Werte!$M143))</f>
        <v>0</v>
      </c>
      <c r="BU143" s="783">
        <f>IF(OR($C$101=$AR143,$D$101=$AR143),Schweine_Werte!$M143*0.5,IF(OR($C$101&gt;$AR143,$D$101&lt;$AR143),0,Schweine_Werte!$M143))</f>
        <v>0</v>
      </c>
      <c r="BV143" s="783">
        <f>IF(OR($C$110=$AR143,$D$110=$AR143),Schweine_Werte!$M143*0.5,IF(OR($C$110&gt;$AR143,$D$110&lt;$AR143),0,Schweine_Werte!$M143))</f>
        <v>0</v>
      </c>
      <c r="BW143" s="783">
        <f>IF(OR(8=$AR143,$E$127=$AR143),Schweine_Werte!$M143*0.5,IF(OR(8&gt;$AR143,$E$127&lt;$AR143),0,Schweine_Werte!$M143))</f>
        <v>1.4477278921508818</v>
      </c>
      <c r="BX143" s="783">
        <f>IF(OR(8=$AR143,$E$145=$AR143),Schweine_Werte!$M143*0.5,IF(OR(8&gt;$AR143,$E$145&lt;$AR143),0,Schweine_Werte!$M143))</f>
        <v>1.4477278921508818</v>
      </c>
      <c r="BY143" s="781">
        <f>IF(OR($C$74=$AR143,$D$74=$AR143),Schweine_Werte!$O143*0.5,IF(OR($C$74&gt;$AR143,$D$74&lt;$AR143),0,Schweine_Werte!$O143))</f>
        <v>0</v>
      </c>
      <c r="BZ143" s="781">
        <f>IF(OR($C$83=$AR143,$D$83=$AR143),Schweine_Werte!$O143*0.5,IF(OR($C$83&gt;$AR143,$D$83&lt;$AR143),0,Schweine_Werte!$O143))</f>
        <v>0</v>
      </c>
      <c r="CA143" s="783">
        <f>IF(OR($C$92=$AR143,$D$92=$AR143),Schweine_Werte!$O143*0.5,IF(OR($C$92&gt;$AR143,$D$92&lt;$AR143),0,Schweine_Werte!$O143))</f>
        <v>0</v>
      </c>
      <c r="CB143" s="783">
        <f>IF(OR($C$101=$AR143,$D$101=$AR143),Schweine_Werte!$O143*0.5,IF(OR($C$101&gt;$AR143,$D$101&lt;$AR143),0,Schweine_Werte!$O143))</f>
        <v>0</v>
      </c>
      <c r="CC143" s="783">
        <f>IF(OR($C$110=$AR143,$D$110=$AR143),Schweine_Werte!$O143*0.5,IF(OR($C$110&gt;$AR143,$D$110&lt;$AR143),0,Schweine_Werte!$O143))</f>
        <v>0</v>
      </c>
    </row>
    <row r="144" spans="2:81" ht="18.75" x14ac:dyDescent="0.25">
      <c r="B144" s="795" t="s">
        <v>7705</v>
      </c>
      <c r="C144" s="796"/>
      <c r="D144" s="797" t="s">
        <v>7732</v>
      </c>
      <c r="E144" s="798" t="s">
        <v>7648</v>
      </c>
      <c r="F144" s="733" t="s">
        <v>196</v>
      </c>
      <c r="G144" s="662" t="s">
        <v>4</v>
      </c>
      <c r="H144" s="662" t="s">
        <v>7707</v>
      </c>
      <c r="I144" s="662" t="s">
        <v>7708</v>
      </c>
      <c r="J144" s="663" t="s">
        <v>7709</v>
      </c>
      <c r="K144" s="663" t="s">
        <v>7709</v>
      </c>
      <c r="L144" s="664" t="s">
        <v>39</v>
      </c>
      <c r="M144" s="664" t="s">
        <v>7710</v>
      </c>
      <c r="N144" s="664" t="s">
        <v>41</v>
      </c>
      <c r="O144" s="665" t="s">
        <v>0</v>
      </c>
      <c r="P144" s="665" t="s">
        <v>8</v>
      </c>
      <c r="Q144" s="664" t="s">
        <v>39</v>
      </c>
      <c r="R144" s="664" t="s">
        <v>40</v>
      </c>
      <c r="S144" s="664" t="s">
        <v>41</v>
      </c>
      <c r="T144" s="664" t="s">
        <v>39</v>
      </c>
      <c r="U144" s="664" t="s">
        <v>40</v>
      </c>
      <c r="V144" s="664" t="s">
        <v>41</v>
      </c>
      <c r="W144" s="663" t="s">
        <v>7684</v>
      </c>
      <c r="X144" s="663" t="s">
        <v>7685</v>
      </c>
      <c r="Y144" s="663" t="s">
        <v>7686</v>
      </c>
      <c r="AR144" s="792">
        <v>148</v>
      </c>
      <c r="AS144" s="781">
        <f>IF(OR($C$12=$AR144,$D$12=$AR144),Schweine_Werte!$C144*0.5,IF(OR($C$12&gt;$AR144,$D$12&lt;$AR144),0,Schweine_Werte!$C144))</f>
        <v>0</v>
      </c>
      <c r="AT144" s="716">
        <f>IF(OR($C$24=$AR144,$D$24=$AR144),Schweine_Werte!$C144*0.5,IF(OR($C$24&gt;$AR144,$D$24&lt;$AR144),0,Schweine_Werte!$C144))</f>
        <v>0</v>
      </c>
      <c r="AU144" s="781">
        <f>IF(OR($C$36=$AR144,$D$36=$AR144),Schweine_Werte!$C144*0.5,IF(OR($C$36&gt;$AR144,$D$36&lt;$AR144),0,Schweine_Werte!$C144))</f>
        <v>0</v>
      </c>
      <c r="AV144" s="781">
        <f>IF(OR($C$48=$AR144,$D$48=$AR144),Schweine_Werte!$C144*0.5,IF(OR($C$48&gt;$AR144,$D$48&lt;$AR144),0,Schweine_Werte!$C144))</f>
        <v>0</v>
      </c>
      <c r="AW144" s="781">
        <f>IF(OR($C$60=$AR144,$D$60=$AR144),Schweine_Werte!$C144*0.5,IF(OR($C$60&gt;$AR144,$D$60&lt;$AR144),0,Schweine_Werte!$C144))</f>
        <v>0</v>
      </c>
      <c r="AX144" s="781">
        <f>IF(OR($C$12=$AR144,$D$12=$AR144),Schweine_Werte!$E144*0.5,IF(OR($C$12&gt;$AR144,$D$12&lt;$AR144),0,Schweine_Werte!$E144))</f>
        <v>0</v>
      </c>
      <c r="AY144" s="716">
        <f>IF(OR($C$24=$AR144,$D$24=$AR144),Schweine_Werte!$E144*0.5,IF(OR($C$24&gt;$AR144,$D$24&lt;$AR144),0,Schweine_Werte!$E144))</f>
        <v>0</v>
      </c>
      <c r="AZ144" s="716">
        <f>IF(OR($C$36=$AR144,$D$36=$AR144),Schweine_Werte!$E144*0.5,IF(OR($C$36&gt;$AR144,$D$36&lt;$AR144),0,Schweine_Werte!$E144))</f>
        <v>0</v>
      </c>
      <c r="BA144" s="716">
        <f>IF(OR($C$48=$AR144,$D$48=$AR144),Schweine_Werte!$E144*0.5,IF(OR($C$48&gt;$AR144,$D$48&lt;$AR144),0,Schweine_Werte!$E144))</f>
        <v>0</v>
      </c>
      <c r="BB144" s="716">
        <f>IF(OR($C$60=$AR144,$D$60=$AR144),Schweine_Werte!$E144*0.5,IF(OR($C$60&gt;$AR144,$D$60&lt;$AR144),0,Schweine_Werte!$E144))</f>
        <v>0</v>
      </c>
      <c r="BC144" s="781">
        <f>IF(OR($C$12=$AR144,$D$12=$AR144),Schweine_Werte!$G144*0.5,IF(OR($C$12&gt;$AR144,$D$12&lt;$AR144),0,Schweine_Werte!$G144))</f>
        <v>0</v>
      </c>
      <c r="BD144" s="716">
        <f>IF(OR($C$24=$AR144,$D$24=$AR144),Schweine_Werte!$G144*0.5,IF(OR($C$24&gt;$AR144,$D$24&lt;$AR144),0,Schweine_Werte!$G144))</f>
        <v>0</v>
      </c>
      <c r="BE144" s="716">
        <f>IF(OR($C$36=$AR144,$D$36=$AR144),Schweine_Werte!$G144*0.5,IF(OR($C$36&gt;$AR144,$D$36&lt;$AR144),0,Schweine_Werte!$G144))</f>
        <v>0</v>
      </c>
      <c r="BF144" s="716">
        <f>IF(OR($C$48=$AR144,$D$48=$AR144),Schweine_Werte!$G144*0.5,IF(OR($C$48&gt;$AR144,$D$48&lt;$AR144),0,Schweine_Werte!$G144))</f>
        <v>0</v>
      </c>
      <c r="BG144" s="716">
        <f>IF(OR($C$60=$AR144,$D$60=$AR144),Schweine_Werte!$G144*0.5,IF(OR($C$60&gt;$AR144,$D$60&lt;$AR144),0,Schweine_Werte!$G144))</f>
        <v>0</v>
      </c>
      <c r="BH144" s="781">
        <f>IF(OR($C$12=$AR144,$D$12=$AR144),Schweine_Werte!$I144*0.5,IF(OR($C$12&gt;$AR144,$D$12&lt;$AR144),0,Schweine_Werte!$I144))</f>
        <v>0</v>
      </c>
      <c r="BI144" s="716">
        <f>IF(OR($C$24=$AR144,$D$24=$AR144),Schweine_Werte!$I144*0.5,IF(OR($C$24&gt;$AR144,$D$24&lt;$AR144),0,Schweine_Werte!$I144))</f>
        <v>0</v>
      </c>
      <c r="BJ144" s="716">
        <f>IF(OR($C$36=$AR144,$D$36=$AR144),Schweine_Werte!$I144*0.5,IF(OR($C$36&gt;$AR144,$D$36&lt;$AR144),0,Schweine_Werte!$I144))</f>
        <v>0</v>
      </c>
      <c r="BK144" s="716">
        <f>IF(OR($C$48=$AR144,$D$48=$AR144),Schweine_Werte!$I144*0.5,IF(OR($C$48&gt;$AR144,$D$48&lt;$AR144),0,Schweine_Werte!$I144))</f>
        <v>0</v>
      </c>
      <c r="BL144" s="716">
        <f>IF(OR($C$60=$AR144,$D$60=$AR144),Schweine_Werte!$I144*0.5,IF(OR($C$60&gt;$AR144,$D$60&lt;$AR144),0,Schweine_Werte!$I144))</f>
        <v>0</v>
      </c>
      <c r="BM144" s="781"/>
      <c r="BN144" s="716"/>
      <c r="BO144" s="716"/>
      <c r="BP144" s="716"/>
      <c r="BQ144" s="716"/>
      <c r="BR144" s="781">
        <f>IF(OR($C$74=$AR144,$D$74=$AR144),Schweine_Werte!$M144*0.5,IF(OR($C$74&gt;$AR144,$D$74&lt;$AR144),0,Schweine_Werte!$M144))</f>
        <v>0</v>
      </c>
      <c r="BS144" s="781">
        <f>IF(OR($C$83=$AR144,$D$83=$AR144),Schweine_Werte!$M144*0.5,IF(OR($C$83&gt;$AR144,$D$83&lt;$AR144),0,Schweine_Werte!$M144))</f>
        <v>0</v>
      </c>
      <c r="BT144" s="783">
        <f>IF(OR($C$92=$AR144,$D$92=$AR144),Schweine_Werte!$M144*0.5,IF(OR($C$92&gt;$AR144,$D$92&lt;$AR144),0,Schweine_Werte!$M144))</f>
        <v>0</v>
      </c>
      <c r="BU144" s="783">
        <f>IF(OR($C$101=$AR144,$D$101=$AR144),Schweine_Werte!$M144*0.5,IF(OR($C$101&gt;$AR144,$D$101&lt;$AR144),0,Schweine_Werte!$M144))</f>
        <v>0</v>
      </c>
      <c r="BV144" s="783">
        <f>IF(OR($C$110=$AR144,$D$110=$AR144),Schweine_Werte!$M144*0.5,IF(OR($C$110&gt;$AR144,$D$110&lt;$AR144),0,Schweine_Werte!$M144))</f>
        <v>0</v>
      </c>
      <c r="BW144" s="783">
        <f>IF(OR(8=$AR144,$E$127=$AR144),Schweine_Werte!$M144*0.5,IF(OR(8&gt;$AR144,$E$127&lt;$AR144),0,Schweine_Werte!$M144))</f>
        <v>1.4477278921508818</v>
      </c>
      <c r="BX144" s="783">
        <f>IF(OR(8=$AR144,$E$145=$AR144),Schweine_Werte!$M144*0.5,IF(OR(8&gt;$AR144,$E$145&lt;$AR144),0,Schweine_Werte!$M144))</f>
        <v>1.4477278921508818</v>
      </c>
      <c r="BY144" s="781">
        <f>IF(OR($C$74=$AR144,$D$74=$AR144),Schweine_Werte!$O144*0.5,IF(OR($C$74&gt;$AR144,$D$74&lt;$AR144),0,Schweine_Werte!$O144))</f>
        <v>0</v>
      </c>
      <c r="BZ144" s="781">
        <f>IF(OR($C$83=$AR144,$D$83=$AR144),Schweine_Werte!$O144*0.5,IF(OR($C$83&gt;$AR144,$D$83&lt;$AR144),0,Schweine_Werte!$O144))</f>
        <v>0</v>
      </c>
      <c r="CA144" s="783">
        <f>IF(OR($C$92=$AR144,$D$92=$AR144),Schweine_Werte!$O144*0.5,IF(OR($C$92&gt;$AR144,$D$92&lt;$AR144),0,Schweine_Werte!$O144))</f>
        <v>0</v>
      </c>
      <c r="CB144" s="783">
        <f>IF(OR($C$101=$AR144,$D$101=$AR144),Schweine_Werte!$O144*0.5,IF(OR($C$101&gt;$AR144,$D$101&lt;$AR144),0,Schweine_Werte!$O144))</f>
        <v>0</v>
      </c>
      <c r="CC144" s="783">
        <f>IF(OR($C$110=$AR144,$D$110=$AR144),Schweine_Werte!$O144*0.5,IF(OR($C$110&gt;$AR144,$D$110&lt;$AR144),0,Schweine_Werte!$O144))</f>
        <v>0</v>
      </c>
    </row>
    <row r="145" spans="1:218" ht="15.75" x14ac:dyDescent="0.25">
      <c r="A145" t="s">
        <v>7784</v>
      </c>
      <c r="B145" s="803" t="str">
        <f>IF('Abweichende Werte'!W12=1,'Abweichende Werte'!F12,"")</f>
        <v/>
      </c>
      <c r="C145" s="803"/>
      <c r="D145" s="692" t="str">
        <f>IF('Abweichende Werte'!W12=1,'Abweichende Werte'!J12,"")</f>
        <v/>
      </c>
      <c r="E145" s="693" t="str">
        <f>IF('Abweichende Werte'!W12=1,'Abweichende Werte'!M12,"")</f>
        <v/>
      </c>
      <c r="F145" s="799" t="e">
        <f t="shared" ref="F145:K145" si="58">SUM(F137:F138)</f>
        <v>#VALUE!</v>
      </c>
      <c r="G145" s="799" t="e">
        <f t="shared" si="58"/>
        <v>#VALUE!</v>
      </c>
      <c r="H145" s="799" t="e">
        <f t="shared" si="58"/>
        <v>#VALUE!</v>
      </c>
      <c r="I145" s="799" t="e">
        <f t="shared" si="58"/>
        <v>#VALUE!</v>
      </c>
      <c r="J145" s="799" t="e">
        <f t="shared" si="58"/>
        <v>#VALUE!</v>
      </c>
      <c r="K145" s="799" t="e">
        <f t="shared" si="58"/>
        <v>#VALUE!</v>
      </c>
      <c r="L145" s="799" t="e">
        <f>Q145*365/1000+$J145-$K145</f>
        <v>#VALUE!</v>
      </c>
      <c r="M145" s="799" t="e">
        <f>R145*365/1000+$J145-$K145/2</f>
        <v>#VALUE!</v>
      </c>
      <c r="N145" s="799" t="e">
        <f>S145*365/1000+$J145</f>
        <v>#VALUE!</v>
      </c>
      <c r="O145" s="799">
        <v>5.5</v>
      </c>
      <c r="P145" s="799">
        <v>1.8</v>
      </c>
      <c r="Q145" s="799" t="e">
        <f>SUM(Q137:Q138)</f>
        <v>#VALUE!</v>
      </c>
      <c r="R145" s="799" t="e">
        <f>SUM(R137:R138)</f>
        <v>#VALUE!</v>
      </c>
      <c r="S145" s="799" t="e">
        <f>SUM(S137:S138)</f>
        <v>#VALUE!</v>
      </c>
      <c r="T145" s="799" t="e">
        <f>Q145/$F145</f>
        <v>#VALUE!</v>
      </c>
      <c r="U145" s="799" t="e">
        <f>R145/$F145</f>
        <v>#VALUE!</v>
      </c>
      <c r="V145" s="799" t="e">
        <f>S145/$F145</f>
        <v>#VALUE!</v>
      </c>
      <c r="W145" s="799" t="e">
        <f>($J145*0.055+Q145*0.365*0.86-$K145*0.018)/L145*100</f>
        <v>#VALUE!</v>
      </c>
      <c r="X145" s="799" t="e">
        <f>($J145*0.055+R145*0.365*0.86-$K145*0.018/2)/M145*100</f>
        <v>#VALUE!</v>
      </c>
      <c r="Y145" s="799" t="e">
        <f>($J145*0.055+S145*0.365*0.86)/N145*100</f>
        <v>#VALUE!</v>
      </c>
      <c r="AR145" s="792">
        <v>149</v>
      </c>
      <c r="AS145" s="781">
        <f>IF(OR($C$12=$AR145,$D$12=$AR145),Schweine_Werte!$C145*0.5,IF(OR($C$12&gt;$AR145,$D$12&lt;$AR145),0,Schweine_Werte!$C145))</f>
        <v>0</v>
      </c>
      <c r="AT145" s="716">
        <f>IF(OR($C$24=$AR145,$D$24=$AR145),Schweine_Werte!$C145*0.5,IF(OR($C$24&gt;$AR145,$D$24&lt;$AR145),0,Schweine_Werte!$C145))</f>
        <v>0</v>
      </c>
      <c r="AU145" s="781">
        <f>IF(OR($C$36=$AR145,$D$36=$AR145),Schweine_Werte!$C145*0.5,IF(OR($C$36&gt;$AR145,$D$36&lt;$AR145),0,Schweine_Werte!$C145))</f>
        <v>0</v>
      </c>
      <c r="AV145" s="781">
        <f>IF(OR($C$48=$AR145,$D$48=$AR145),Schweine_Werte!$C145*0.5,IF(OR($C$48&gt;$AR145,$D$48&lt;$AR145),0,Schweine_Werte!$C145))</f>
        <v>0</v>
      </c>
      <c r="AW145" s="781">
        <f>IF(OR($C$60=$AR145,$D$60=$AR145),Schweine_Werte!$C145*0.5,IF(OR($C$60&gt;$AR145,$D$60&lt;$AR145),0,Schweine_Werte!$C145))</f>
        <v>0</v>
      </c>
      <c r="AX145" s="781">
        <f>IF(OR($C$12=$AR145,$D$12=$AR145),Schweine_Werte!$E145*0.5,IF(OR($C$12&gt;$AR145,$D$12&lt;$AR145),0,Schweine_Werte!$E145))</f>
        <v>0</v>
      </c>
      <c r="AY145" s="716">
        <f>IF(OR($C$24=$AR145,$D$24=$AR145),Schweine_Werte!$E145*0.5,IF(OR($C$24&gt;$AR145,$D$24&lt;$AR145),0,Schweine_Werte!$E145))</f>
        <v>0</v>
      </c>
      <c r="AZ145" s="716">
        <f>IF(OR($C$36=$AR145,$D$36=$AR145),Schweine_Werte!$E145*0.5,IF(OR($C$36&gt;$AR145,$D$36&lt;$AR145),0,Schweine_Werte!$E145))</f>
        <v>0</v>
      </c>
      <c r="BA145" s="716">
        <f>IF(OR($C$48=$AR145,$D$48=$AR145),Schweine_Werte!$E145*0.5,IF(OR($C$48&gt;$AR145,$D$48&lt;$AR145),0,Schweine_Werte!$E145))</f>
        <v>0</v>
      </c>
      <c r="BB145" s="716">
        <f>IF(OR($C$60=$AR145,$D$60=$AR145),Schweine_Werte!$E145*0.5,IF(OR($C$60&gt;$AR145,$D$60&lt;$AR145),0,Schweine_Werte!$E145))</f>
        <v>0</v>
      </c>
      <c r="BC145" s="781">
        <f>IF(OR($C$12=$AR145,$D$12=$AR145),Schweine_Werte!$G145*0.5,IF(OR($C$12&gt;$AR145,$D$12&lt;$AR145),0,Schweine_Werte!$G145))</f>
        <v>0</v>
      </c>
      <c r="BD145" s="716">
        <f>IF(OR($C$24=$AR145,$D$24=$AR145),Schweine_Werte!$G145*0.5,IF(OR($C$24&gt;$AR145,$D$24&lt;$AR145),0,Schweine_Werte!$G145))</f>
        <v>0</v>
      </c>
      <c r="BE145" s="716">
        <f>IF(OR($C$36=$AR145,$D$36=$AR145),Schweine_Werte!$G145*0.5,IF(OR($C$36&gt;$AR145,$D$36&lt;$AR145),0,Schweine_Werte!$G145))</f>
        <v>0</v>
      </c>
      <c r="BF145" s="716">
        <f>IF(OR($C$48=$AR145,$D$48=$AR145),Schweine_Werte!$G145*0.5,IF(OR($C$48&gt;$AR145,$D$48&lt;$AR145),0,Schweine_Werte!$G145))</f>
        <v>0</v>
      </c>
      <c r="BG145" s="716">
        <f>IF(OR($C$60=$AR145,$D$60=$AR145),Schweine_Werte!$G145*0.5,IF(OR($C$60&gt;$AR145,$D$60&lt;$AR145),0,Schweine_Werte!$G145))</f>
        <v>0</v>
      </c>
      <c r="BH145" s="781">
        <f>IF(OR($C$12=$AR145,$D$12=$AR145),Schweine_Werte!$I145*0.5,IF(OR($C$12&gt;$AR145,$D$12&lt;$AR145),0,Schweine_Werte!$I145))</f>
        <v>0</v>
      </c>
      <c r="BI145" s="716">
        <f>IF(OR($C$24=$AR145,$D$24=$AR145),Schweine_Werte!$I145*0.5,IF(OR($C$24&gt;$AR145,$D$24&lt;$AR145),0,Schweine_Werte!$I145))</f>
        <v>0</v>
      </c>
      <c r="BJ145" s="716">
        <f>IF(OR($C$36=$AR145,$D$36=$AR145),Schweine_Werte!$I145*0.5,IF(OR($C$36&gt;$AR145,$D$36&lt;$AR145),0,Schweine_Werte!$I145))</f>
        <v>0</v>
      </c>
      <c r="BK145" s="716">
        <f>IF(OR($C$48=$AR145,$D$48=$AR145),Schweine_Werte!$I145*0.5,IF(OR($C$48&gt;$AR145,$D$48&lt;$AR145),0,Schweine_Werte!$I145))</f>
        <v>0</v>
      </c>
      <c r="BL145" s="716">
        <f>IF(OR($C$60=$AR145,$D$60=$AR145),Schweine_Werte!$I145*0.5,IF(OR($C$60&gt;$AR145,$D$60&lt;$AR145),0,Schweine_Werte!$I145))</f>
        <v>0</v>
      </c>
      <c r="BM145" s="781"/>
      <c r="BN145" s="716"/>
      <c r="BO145" s="716"/>
      <c r="BP145" s="716"/>
      <c r="BQ145" s="716"/>
      <c r="BR145" s="781">
        <f>IF(OR($C$74=$AR145,$D$74=$AR145),Schweine_Werte!$M145*0.5,IF(OR($C$74&gt;$AR145,$D$74&lt;$AR145),0,Schweine_Werte!$M145))</f>
        <v>0</v>
      </c>
      <c r="BS145" s="781">
        <f>IF(OR($C$83=$AR145,$D$83=$AR145),Schweine_Werte!$M145*0.5,IF(OR($C$83&gt;$AR145,$D$83&lt;$AR145),0,Schweine_Werte!$M145))</f>
        <v>0</v>
      </c>
      <c r="BT145" s="783">
        <f>IF(OR($C$92=$AR145,$D$92=$AR145),Schweine_Werte!$M145*0.5,IF(OR($C$92&gt;$AR145,$D$92&lt;$AR145),0,Schweine_Werte!$M145))</f>
        <v>0</v>
      </c>
      <c r="BU145" s="783">
        <f>IF(OR($C$101=$AR145,$D$101=$AR145),Schweine_Werte!$M145*0.5,IF(OR($C$101&gt;$AR145,$D$101&lt;$AR145),0,Schweine_Werte!$M145))</f>
        <v>0</v>
      </c>
      <c r="BV145" s="783">
        <f>IF(OR($C$110=$AR145,$D$110=$AR145),Schweine_Werte!$M145*0.5,IF(OR($C$110&gt;$AR145,$D$110&lt;$AR145),0,Schweine_Werte!$M145))</f>
        <v>0</v>
      </c>
      <c r="BW145" s="783">
        <f>IF(OR(8=$AR145,$E$127=$AR145),Schweine_Werte!$M145*0.5,IF(OR(8&gt;$AR145,$E$127&lt;$AR145),0,Schweine_Werte!$M145))</f>
        <v>1.4477278921508818</v>
      </c>
      <c r="BX145" s="783">
        <f>IF(OR(8=$AR145,$E$145=$AR145),Schweine_Werte!$M145*0.5,IF(OR(8&gt;$AR145,$E$145&lt;$AR145),0,Schweine_Werte!$M145))</f>
        <v>1.4477278921508818</v>
      </c>
      <c r="BY145" s="781">
        <f>IF(OR($C$74=$AR145,$D$74=$AR145),Schweine_Werte!$O145*0.5,IF(OR($C$74&gt;$AR145,$D$74&lt;$AR145),0,Schweine_Werte!$O145))</f>
        <v>0</v>
      </c>
      <c r="BZ145" s="781">
        <f>IF(OR($C$83=$AR145,$D$83=$AR145),Schweine_Werte!$O145*0.5,IF(OR($C$83&gt;$AR145,$D$83&lt;$AR145),0,Schweine_Werte!$O145))</f>
        <v>0</v>
      </c>
      <c r="CA145" s="783">
        <f>IF(OR($C$92=$AR145,$D$92=$AR145),Schweine_Werte!$O145*0.5,IF(OR($C$92&gt;$AR145,$D$92&lt;$AR145),0,Schweine_Werte!$O145))</f>
        <v>0</v>
      </c>
      <c r="CB145" s="783">
        <f>IF(OR($C$101=$AR145,$D$101=$AR145),Schweine_Werte!$O145*0.5,IF(OR($C$101&gt;$AR145,$D$101&lt;$AR145),0,Schweine_Werte!$O145))</f>
        <v>0</v>
      </c>
      <c r="CC145" s="783">
        <f>IF(OR($C$110=$AR145,$D$110=$AR145),Schweine_Werte!$O145*0.5,IF(OR($C$110&gt;$AR145,$D$110&lt;$AR145),0,Schweine_Werte!$O145))</f>
        <v>0</v>
      </c>
    </row>
    <row r="146" spans="1:218" x14ac:dyDescent="0.2">
      <c r="AR146" s="792">
        <v>150</v>
      </c>
      <c r="AS146" s="781">
        <f>IF(OR($C$12=$AR146,$D$12=$AR146),Schweine_Werte!$C146*0.5,IF(OR($C$12&gt;$AR146,$D$12&lt;$AR146),0,Schweine_Werte!$C146))</f>
        <v>0</v>
      </c>
      <c r="AT146" s="716">
        <f>IF(OR($C$24=$AR146,$D$24=$AR146),Schweine_Werte!$C146*0.5,IF(OR($C$24&gt;$AR146,$D$24&lt;$AR146),0,Schweine_Werte!$C146))</f>
        <v>0</v>
      </c>
      <c r="AU146" s="781">
        <f>IF(OR($C$36=$AR146,$D$36=$AR146),Schweine_Werte!$C146*0.5,IF(OR($C$36&gt;$AR146,$D$36&lt;$AR146),0,Schweine_Werte!$C146))</f>
        <v>0</v>
      </c>
      <c r="AV146" s="781">
        <f>IF(OR($C$48=$AR146,$D$48=$AR146),Schweine_Werte!$C146*0.5,IF(OR($C$48&gt;$AR146,$D$48&lt;$AR146),0,Schweine_Werte!$C146))</f>
        <v>0</v>
      </c>
      <c r="AW146" s="781">
        <f>IF(OR($C$60=$AR146,$D$60=$AR146),Schweine_Werte!$C146*0.5,IF(OR($C$60&gt;$AR146,$D$60&lt;$AR146),0,Schweine_Werte!$C146))</f>
        <v>0</v>
      </c>
      <c r="AX146" s="781">
        <f>IF(OR($C$12=$AR146,$D$12=$AR146),Schweine_Werte!$E146*0.5,IF(OR($C$12&gt;$AR146,$D$12&lt;$AR146),0,Schweine_Werte!$E146))</f>
        <v>0</v>
      </c>
      <c r="AY146" s="716">
        <f>IF(OR($C$24=$AR146,$D$24=$AR146),Schweine_Werte!$E146*0.5,IF(OR($C$24&gt;$AR146,$D$24&lt;$AR146),0,Schweine_Werte!$E146))</f>
        <v>0</v>
      </c>
      <c r="AZ146" s="716">
        <f>IF(OR($C$36=$AR146,$D$36=$AR146),Schweine_Werte!$E146*0.5,IF(OR($C$36&gt;$AR146,$D$36&lt;$AR146),0,Schweine_Werte!$E146))</f>
        <v>0</v>
      </c>
      <c r="BA146" s="716">
        <f>IF(OR($C$48=$AR146,$D$48=$AR146),Schweine_Werte!$E146*0.5,IF(OR($C$48&gt;$AR146,$D$48&lt;$AR146),0,Schweine_Werte!$E146))</f>
        <v>0</v>
      </c>
      <c r="BB146" s="716">
        <f>IF(OR($C$60=$AR146,$D$60=$AR146),Schweine_Werte!$E146*0.5,IF(OR($C$60&gt;$AR146,$D$60&lt;$AR146),0,Schweine_Werte!$E146))</f>
        <v>0</v>
      </c>
      <c r="BC146" s="781">
        <f>IF(OR($C$12=$AR146,$D$12=$AR146),Schweine_Werte!$G146*0.5,IF(OR($C$12&gt;$AR146,$D$12&lt;$AR146),0,Schweine_Werte!$G146))</f>
        <v>0</v>
      </c>
      <c r="BD146" s="716">
        <f>IF(OR($C$24=$AR146,$D$24=$AR146),Schweine_Werte!$G146*0.5,IF(OR($C$24&gt;$AR146,$D$24&lt;$AR146),0,Schweine_Werte!$G146))</f>
        <v>0</v>
      </c>
      <c r="BE146" s="716">
        <f>IF(OR($C$36=$AR146,$D$36=$AR146),Schweine_Werte!$G146*0.5,IF(OR($C$36&gt;$AR146,$D$36&lt;$AR146),0,Schweine_Werte!$G146))</f>
        <v>0</v>
      </c>
      <c r="BF146" s="716">
        <f>IF(OR($C$48=$AR146,$D$48=$AR146),Schweine_Werte!$G146*0.5,IF(OR($C$48&gt;$AR146,$D$48&lt;$AR146),0,Schweine_Werte!$G146))</f>
        <v>0</v>
      </c>
      <c r="BG146" s="716">
        <f>IF(OR($C$60=$AR146,$D$60=$AR146),Schweine_Werte!$G146*0.5,IF(OR($C$60&gt;$AR146,$D$60&lt;$AR146),0,Schweine_Werte!$G146))</f>
        <v>0</v>
      </c>
      <c r="BH146" s="781">
        <f>IF(OR($C$12=$AR146,$D$12=$AR146),Schweine_Werte!$I146*0.5,IF(OR($C$12&gt;$AR146,$D$12&lt;$AR146),0,Schweine_Werte!$I146))</f>
        <v>0</v>
      </c>
      <c r="BI146" s="716">
        <f>IF(OR($C$24=$AR146,$D$24=$AR146),Schweine_Werte!$I146*0.5,IF(OR($C$24&gt;$AR146,$D$24&lt;$AR146),0,Schweine_Werte!$I146))</f>
        <v>0</v>
      </c>
      <c r="BJ146" s="716">
        <f>IF(OR($C$36=$AR146,$D$36=$AR146),Schweine_Werte!$I146*0.5,IF(OR($C$36&gt;$AR146,$D$36&lt;$AR146),0,Schweine_Werte!$I146))</f>
        <v>0</v>
      </c>
      <c r="BK146" s="716">
        <f>IF(OR($C$48=$AR146,$D$48=$AR146),Schweine_Werte!$I146*0.5,IF(OR($C$48&gt;$AR146,$D$48&lt;$AR146),0,Schweine_Werte!$I146))</f>
        <v>0</v>
      </c>
      <c r="BL146" s="716">
        <f>IF(OR($C$60=$AR146,$D$60=$AR146),Schweine_Werte!$I146*0.5,IF(OR($C$60&gt;$AR146,$D$60&lt;$AR146),0,Schweine_Werte!$I146))</f>
        <v>0</v>
      </c>
      <c r="BM146" s="781"/>
      <c r="BN146" s="716"/>
      <c r="BO146" s="716"/>
      <c r="BP146" s="716"/>
      <c r="BQ146" s="716"/>
      <c r="BR146" s="781">
        <f>IF(OR($C$74=$AR146,$D$74=$AR146),Schweine_Werte!$M146*0.5,IF(OR($C$74&gt;$AR146,$D$74&lt;$AR146),0,Schweine_Werte!$M146))</f>
        <v>0</v>
      </c>
      <c r="BS146" s="781">
        <f>IF(OR($C$83=$AR146,$D$83=$AR146),Schweine_Werte!$M146*0.5,IF(OR($C$83&gt;$AR146,$D$83&lt;$AR146),0,Schweine_Werte!$M146))</f>
        <v>0</v>
      </c>
      <c r="BT146" s="783">
        <f>IF(OR($C$92=$AR146,$D$92=$AR146),Schweine_Werte!$M146*0.5,IF(OR($C$92&gt;$AR146,$D$92&lt;$AR146),0,Schweine_Werte!$M146))</f>
        <v>0</v>
      </c>
      <c r="BU146" s="783">
        <f>IF(OR($C$101=$AR146,$D$101=$AR146),Schweine_Werte!$M146*0.5,IF(OR($C$101&gt;$AR146,$D$101&lt;$AR146),0,Schweine_Werte!$M146))</f>
        <v>0</v>
      </c>
      <c r="BV146" s="783">
        <f>IF(OR($C$110=$AR146,$D$110=$AR146),Schweine_Werte!$M146*0.5,IF(OR($C$110&gt;$AR146,$D$110&lt;$AR146),0,Schweine_Werte!$M146))</f>
        <v>0</v>
      </c>
      <c r="BW146" s="783">
        <f>IF(OR(8=$AR146,$E$127=$AR146),Schweine_Werte!$M146*0.5,IF(OR(8&gt;$AR146,$E$127&lt;$AR146),0,Schweine_Werte!$M146))</f>
        <v>1.4477278921508818</v>
      </c>
      <c r="BX146" s="783">
        <f>IF(OR(8=$AR146,$E$145=$AR146),Schweine_Werte!$M146*0.5,IF(OR(8&gt;$AR146,$E$145&lt;$AR146),0,Schweine_Werte!$M146))</f>
        <v>1.4477278921508818</v>
      </c>
      <c r="BY146" s="781">
        <f>IF(OR($C$74=$AR146,$D$74=$AR146),Schweine_Werte!$O146*0.5,IF(OR($C$74&gt;$AR146,$D$74&lt;$AR146),0,Schweine_Werte!$O146))</f>
        <v>0</v>
      </c>
      <c r="BZ146" s="781">
        <f>IF(OR($C$83=$AR146,$D$83=$AR146),Schweine_Werte!$O146*0.5,IF(OR($C$83&gt;$AR146,$D$83&lt;$AR146),0,Schweine_Werte!$O146))</f>
        <v>0</v>
      </c>
      <c r="CA146" s="783">
        <f>IF(OR($C$92=$AR146,$D$92=$AR146),Schweine_Werte!$O146*0.5,IF(OR($C$92&gt;$AR146,$D$92&lt;$AR146),0,Schweine_Werte!$O146))</f>
        <v>0</v>
      </c>
      <c r="CB146" s="783">
        <f>IF(OR($C$101=$AR146,$D$101=$AR146),Schweine_Werte!$O146*0.5,IF(OR($C$101&gt;$AR146,$D$101&lt;$AR146),0,Schweine_Werte!$O146))</f>
        <v>0</v>
      </c>
      <c r="CC146" s="783">
        <f>IF(OR($C$110=$AR146,$D$110=$AR146),Schweine_Werte!$O146*0.5,IF(OR($C$110&gt;$AR146,$D$110&lt;$AR146),0,Schweine_Werte!$O146))</f>
        <v>0</v>
      </c>
    </row>
    <row r="147" spans="1:218" x14ac:dyDescent="0.2">
      <c r="AS147" s="781"/>
      <c r="AT147" s="781"/>
      <c r="AU147" s="781"/>
      <c r="AV147" s="781"/>
      <c r="AW147" s="781"/>
      <c r="CN147" s="781"/>
      <c r="CO147" s="781"/>
      <c r="CP147" s="781"/>
      <c r="CQ147" s="781"/>
      <c r="CR147" s="781"/>
      <c r="CS147" s="781"/>
      <c r="CT147" s="781"/>
      <c r="CU147" s="781"/>
      <c r="CV147" s="781"/>
      <c r="CW147" s="781"/>
      <c r="CX147" s="781"/>
      <c r="CY147" s="781"/>
      <c r="CZ147" s="781"/>
      <c r="DA147" s="781"/>
      <c r="DB147" s="781"/>
      <c r="DC147" s="781"/>
      <c r="DD147" s="781"/>
      <c r="DE147" s="781"/>
      <c r="DF147" s="781"/>
      <c r="DG147" s="781"/>
      <c r="DH147" s="781"/>
      <c r="DI147" s="781"/>
      <c r="DJ147" s="781"/>
      <c r="DK147" s="781"/>
      <c r="DL147" s="781"/>
      <c r="DM147" s="781"/>
      <c r="DN147" s="781"/>
      <c r="DO147" s="781"/>
      <c r="DP147" s="781"/>
      <c r="DQ147" s="781"/>
      <c r="DR147" s="781"/>
      <c r="DS147" s="781"/>
      <c r="DT147" s="781"/>
      <c r="DU147" s="781"/>
      <c r="DV147" s="781"/>
      <c r="DW147" s="781"/>
      <c r="DX147" s="781"/>
      <c r="DY147" s="781"/>
      <c r="DZ147" s="781"/>
      <c r="EA147" s="781"/>
      <c r="EB147" s="781"/>
      <c r="EC147" s="781"/>
      <c r="ED147" s="781"/>
      <c r="EE147" s="781"/>
      <c r="EF147" s="781"/>
      <c r="EG147" s="781"/>
      <c r="EH147" s="781"/>
      <c r="EI147" s="781"/>
      <c r="EJ147" s="781"/>
      <c r="EK147" s="781"/>
      <c r="EL147" s="781"/>
      <c r="EM147" s="781"/>
      <c r="EN147" s="781"/>
      <c r="EO147" s="781"/>
      <c r="EP147" s="781"/>
      <c r="EQ147" s="781"/>
      <c r="ER147" s="781"/>
      <c r="ES147" s="781"/>
      <c r="ET147" s="781"/>
      <c r="EU147" s="781"/>
      <c r="EV147" s="781"/>
      <c r="EW147" s="781"/>
      <c r="EX147" s="781"/>
      <c r="EY147" s="781"/>
      <c r="EZ147" s="781"/>
      <c r="FA147" s="781"/>
      <c r="FB147" s="781"/>
      <c r="FC147" s="781"/>
      <c r="FD147" s="781"/>
      <c r="FE147" s="781"/>
      <c r="FF147" s="781"/>
      <c r="FG147" s="781"/>
      <c r="FH147" s="781"/>
      <c r="FI147" s="781"/>
      <c r="FJ147" s="781"/>
      <c r="FK147" s="781"/>
      <c r="FL147" s="781"/>
      <c r="FM147" s="781"/>
      <c r="FN147" s="781"/>
      <c r="FO147" s="781"/>
      <c r="FP147" s="781"/>
      <c r="FQ147" s="781"/>
      <c r="FR147" s="781"/>
      <c r="FS147" s="781"/>
      <c r="FT147" s="781"/>
      <c r="FU147" s="781"/>
      <c r="FV147" s="781"/>
      <c r="FW147" s="781"/>
      <c r="FX147" s="781"/>
      <c r="FY147" s="781"/>
      <c r="FZ147" s="781"/>
      <c r="GA147" s="781"/>
      <c r="GB147" s="781"/>
      <c r="GC147" s="781"/>
      <c r="GD147" s="781"/>
      <c r="GE147" s="781"/>
      <c r="GF147" s="781"/>
      <c r="GG147" s="781"/>
      <c r="GH147" s="781"/>
      <c r="GI147" s="781"/>
      <c r="GJ147" s="781"/>
      <c r="GK147" s="781"/>
      <c r="GL147" s="781"/>
      <c r="GM147" s="781"/>
      <c r="GN147" s="781"/>
      <c r="GO147" s="781"/>
      <c r="GP147" s="781"/>
      <c r="GQ147" s="781"/>
      <c r="GR147" s="781"/>
      <c r="GS147" s="781"/>
      <c r="GT147" s="781"/>
      <c r="GU147" s="781"/>
      <c r="GV147" s="781"/>
      <c r="GW147" s="781"/>
      <c r="GX147" s="781"/>
      <c r="GY147" s="781"/>
      <c r="GZ147" s="781"/>
      <c r="HA147" s="781"/>
      <c r="HB147" s="781"/>
      <c r="HC147" s="781"/>
      <c r="HD147" s="781"/>
      <c r="HE147" s="781"/>
      <c r="HF147" s="781"/>
      <c r="HG147" s="781"/>
      <c r="HH147" s="781"/>
      <c r="HI147" s="781"/>
      <c r="HJ147" s="781"/>
    </row>
    <row r="148" spans="1:218" x14ac:dyDescent="0.2">
      <c r="AS148" s="781"/>
      <c r="AT148" s="781"/>
      <c r="AU148" s="781"/>
      <c r="AV148" s="781"/>
      <c r="AW148" s="781"/>
      <c r="CN148" s="781"/>
      <c r="CO148" s="781"/>
      <c r="CP148" s="781"/>
      <c r="CQ148" s="781"/>
      <c r="CR148" s="781"/>
      <c r="CS148" s="781"/>
      <c r="CT148" s="781"/>
      <c r="CU148" s="781"/>
      <c r="CV148" s="781"/>
      <c r="CW148" s="781"/>
      <c r="CX148" s="781"/>
      <c r="CY148" s="781"/>
      <c r="CZ148" s="781"/>
      <c r="DA148" s="781"/>
      <c r="DB148" s="781"/>
      <c r="DC148" s="781"/>
      <c r="DD148" s="781"/>
      <c r="DE148" s="781"/>
      <c r="DF148" s="781"/>
      <c r="DG148" s="781"/>
      <c r="DH148" s="781"/>
      <c r="DI148" s="781"/>
      <c r="DJ148" s="781"/>
      <c r="DK148" s="781"/>
      <c r="DL148" s="781"/>
      <c r="DM148" s="781"/>
      <c r="DN148" s="781"/>
      <c r="DO148" s="781"/>
      <c r="DP148" s="781"/>
      <c r="DQ148" s="781"/>
      <c r="DR148" s="781"/>
      <c r="DS148" s="781"/>
      <c r="DT148" s="781"/>
      <c r="DU148" s="781"/>
      <c r="DV148" s="781"/>
      <c r="DW148" s="781"/>
      <c r="DX148" s="781"/>
      <c r="DY148" s="781"/>
      <c r="DZ148" s="781"/>
      <c r="EA148" s="781"/>
      <c r="EB148" s="781"/>
      <c r="EC148" s="781"/>
      <c r="ED148" s="781"/>
      <c r="EE148" s="781"/>
      <c r="EF148" s="781"/>
      <c r="EG148" s="781"/>
      <c r="EH148" s="781"/>
      <c r="EI148" s="781"/>
      <c r="EJ148" s="781"/>
      <c r="EK148" s="781"/>
      <c r="EL148" s="781"/>
      <c r="EM148" s="781"/>
      <c r="EN148" s="781"/>
      <c r="EO148" s="781"/>
      <c r="EP148" s="781"/>
      <c r="EQ148" s="781"/>
      <c r="ER148" s="781"/>
      <c r="ES148" s="781"/>
      <c r="ET148" s="781"/>
      <c r="EU148" s="781"/>
      <c r="EV148" s="781"/>
      <c r="EW148" s="781"/>
      <c r="EX148" s="781"/>
      <c r="EY148" s="781"/>
      <c r="EZ148" s="781"/>
      <c r="FA148" s="781"/>
      <c r="FB148" s="781"/>
      <c r="FC148" s="781"/>
      <c r="FD148" s="781"/>
      <c r="FE148" s="781"/>
      <c r="FF148" s="781"/>
      <c r="FG148" s="781"/>
      <c r="FH148" s="781"/>
      <c r="FI148" s="781"/>
      <c r="FJ148" s="781"/>
      <c r="FK148" s="781"/>
      <c r="FL148" s="781"/>
      <c r="FM148" s="781"/>
      <c r="FN148" s="781"/>
      <c r="FO148" s="781"/>
      <c r="FP148" s="781"/>
      <c r="FQ148" s="781"/>
      <c r="FR148" s="781"/>
      <c r="FS148" s="781"/>
      <c r="FT148" s="781"/>
      <c r="FU148" s="781"/>
      <c r="FV148" s="781"/>
      <c r="FW148" s="781"/>
      <c r="FX148" s="781"/>
      <c r="FY148" s="781"/>
      <c r="FZ148" s="781"/>
      <c r="GA148" s="781"/>
      <c r="GB148" s="781"/>
      <c r="GC148" s="781"/>
      <c r="GD148" s="781"/>
      <c r="GE148" s="781"/>
      <c r="GF148" s="781"/>
      <c r="GG148" s="781"/>
      <c r="GH148" s="781"/>
      <c r="GI148" s="781"/>
      <c r="GJ148" s="781"/>
      <c r="GK148" s="781"/>
      <c r="GL148" s="781"/>
      <c r="GM148" s="781"/>
      <c r="GN148" s="781"/>
      <c r="GO148" s="781"/>
      <c r="GP148" s="781"/>
      <c r="GQ148" s="781"/>
      <c r="GR148" s="781"/>
      <c r="GS148" s="781"/>
      <c r="GT148" s="781"/>
      <c r="GU148" s="781"/>
      <c r="GV148" s="781"/>
      <c r="GW148" s="781"/>
      <c r="GX148" s="781"/>
      <c r="GY148" s="781"/>
      <c r="GZ148" s="781"/>
      <c r="HA148" s="781"/>
      <c r="HB148" s="781"/>
      <c r="HC148" s="781"/>
      <c r="HD148" s="781"/>
      <c r="HE148" s="781"/>
      <c r="HF148" s="781"/>
      <c r="HG148" s="781"/>
      <c r="HH148" s="781"/>
      <c r="HI148" s="781"/>
      <c r="HJ148" s="781"/>
    </row>
    <row r="149" spans="1:218" x14ac:dyDescent="0.2">
      <c r="CN149" s="781"/>
      <c r="CO149" s="781"/>
      <c r="CP149" s="781"/>
      <c r="CQ149" s="781"/>
      <c r="CR149" s="781"/>
      <c r="CS149" s="781"/>
      <c r="CT149" s="781"/>
      <c r="CU149" s="781"/>
      <c r="CV149" s="781"/>
      <c r="CW149" s="781"/>
      <c r="CX149" s="781"/>
      <c r="CY149" s="781"/>
      <c r="CZ149" s="781"/>
      <c r="DA149" s="781"/>
      <c r="DB149" s="781"/>
      <c r="DC149" s="781"/>
      <c r="DD149" s="781"/>
      <c r="DE149" s="781"/>
      <c r="DF149" s="781"/>
      <c r="DG149" s="781"/>
      <c r="DH149" s="781"/>
      <c r="DI149" s="781"/>
      <c r="DJ149" s="781"/>
      <c r="DK149" s="781"/>
      <c r="DL149" s="781"/>
      <c r="DM149" s="781"/>
      <c r="DN149" s="781"/>
      <c r="DO149" s="781"/>
      <c r="DP149" s="781"/>
      <c r="DQ149" s="781"/>
      <c r="DR149" s="781"/>
      <c r="DS149" s="781"/>
      <c r="DT149" s="781"/>
      <c r="DU149" s="781"/>
      <c r="DV149" s="781"/>
      <c r="DW149" s="781"/>
      <c r="DX149" s="781"/>
      <c r="DY149" s="781"/>
      <c r="DZ149" s="781"/>
      <c r="EA149" s="781"/>
      <c r="EB149" s="781"/>
      <c r="EC149" s="781"/>
      <c r="ED149" s="781"/>
      <c r="EE149" s="781"/>
      <c r="EF149" s="781"/>
      <c r="EG149" s="781"/>
      <c r="EH149" s="781"/>
      <c r="EI149" s="781"/>
      <c r="EJ149" s="781"/>
      <c r="EK149" s="781"/>
      <c r="EL149" s="781"/>
      <c r="EM149" s="781"/>
      <c r="EN149" s="781"/>
      <c r="EO149" s="781"/>
      <c r="EP149" s="781"/>
      <c r="EQ149" s="781"/>
      <c r="ER149" s="781"/>
      <c r="ES149" s="781"/>
      <c r="ET149" s="781"/>
      <c r="EU149" s="781"/>
      <c r="EV149" s="781"/>
      <c r="EW149" s="781"/>
      <c r="EX149" s="781"/>
      <c r="EY149" s="781"/>
      <c r="EZ149" s="781"/>
      <c r="FA149" s="781"/>
      <c r="FB149" s="781"/>
      <c r="FC149" s="781"/>
      <c r="FD149" s="781"/>
      <c r="FE149" s="781"/>
      <c r="FF149" s="781"/>
      <c r="FG149" s="781"/>
      <c r="FH149" s="781"/>
      <c r="FI149" s="781"/>
      <c r="FJ149" s="781"/>
      <c r="FK149" s="781"/>
      <c r="FL149" s="781"/>
      <c r="FM149" s="781"/>
      <c r="FN149" s="781"/>
      <c r="FO149" s="781"/>
      <c r="FP149" s="781"/>
      <c r="FQ149" s="781"/>
      <c r="FR149" s="781"/>
      <c r="FS149" s="781"/>
      <c r="FT149" s="781"/>
      <c r="FU149" s="781"/>
      <c r="FV149" s="781"/>
      <c r="FW149" s="781"/>
      <c r="FX149" s="781"/>
      <c r="FY149" s="781"/>
      <c r="FZ149" s="781"/>
      <c r="GA149" s="781"/>
      <c r="GB149" s="781"/>
      <c r="GC149" s="781"/>
      <c r="GD149" s="781"/>
      <c r="GE149" s="781"/>
      <c r="GF149" s="781"/>
      <c r="GG149" s="781"/>
      <c r="GH149" s="781"/>
      <c r="GI149" s="781"/>
      <c r="GJ149" s="781"/>
      <c r="GK149" s="781"/>
      <c r="GL149" s="781"/>
      <c r="GM149" s="781"/>
      <c r="GN149" s="781"/>
      <c r="GO149" s="781"/>
      <c r="GP149" s="781"/>
      <c r="GQ149" s="781"/>
      <c r="GR149" s="781"/>
      <c r="GS149" s="781"/>
      <c r="GT149" s="781"/>
      <c r="GU149" s="781"/>
      <c r="GV149" s="781"/>
      <c r="GW149" s="781"/>
      <c r="GX149" s="781"/>
      <c r="GY149" s="781"/>
      <c r="GZ149" s="781"/>
      <c r="HA149" s="781"/>
      <c r="HB149" s="781"/>
      <c r="HC149" s="781"/>
      <c r="HD149" s="781"/>
      <c r="HE149" s="781"/>
      <c r="HF149" s="781"/>
      <c r="HG149" s="781"/>
      <c r="HH149" s="781"/>
      <c r="HI149" s="781"/>
      <c r="HJ149" s="781"/>
    </row>
    <row r="150" spans="1:218" x14ac:dyDescent="0.2">
      <c r="CN150" s="781"/>
      <c r="CO150" s="781"/>
      <c r="CP150" s="781"/>
      <c r="CQ150" s="781"/>
      <c r="CR150" s="781"/>
      <c r="CS150" s="781"/>
      <c r="CT150" s="781"/>
      <c r="CU150" s="781"/>
      <c r="CV150" s="781"/>
      <c r="CW150" s="781"/>
      <c r="CX150" s="781"/>
      <c r="CY150" s="781"/>
      <c r="CZ150" s="781"/>
      <c r="DA150" s="781"/>
      <c r="DB150" s="781"/>
      <c r="DC150" s="781"/>
      <c r="DD150" s="781"/>
      <c r="DE150" s="781"/>
      <c r="DF150" s="781"/>
      <c r="DG150" s="781"/>
      <c r="DH150" s="781"/>
      <c r="DI150" s="781"/>
      <c r="DJ150" s="781"/>
      <c r="DK150" s="781"/>
      <c r="DL150" s="781"/>
      <c r="DM150" s="781"/>
      <c r="DN150" s="781"/>
      <c r="DO150" s="781"/>
      <c r="DP150" s="781"/>
      <c r="DQ150" s="781"/>
      <c r="DR150" s="781"/>
      <c r="DS150" s="781"/>
      <c r="DT150" s="781"/>
      <c r="DU150" s="781"/>
      <c r="DV150" s="781"/>
      <c r="DW150" s="781"/>
      <c r="DX150" s="781"/>
      <c r="DY150" s="781"/>
      <c r="DZ150" s="781"/>
      <c r="EA150" s="781"/>
      <c r="EB150" s="781"/>
      <c r="EC150" s="781"/>
      <c r="ED150" s="781"/>
      <c r="EE150" s="781"/>
      <c r="EF150" s="781"/>
      <c r="EG150" s="781"/>
      <c r="EH150" s="781"/>
      <c r="EI150" s="781"/>
      <c r="EJ150" s="781"/>
      <c r="EK150" s="781"/>
      <c r="EL150" s="781"/>
      <c r="EM150" s="781"/>
      <c r="EN150" s="781"/>
      <c r="EO150" s="781"/>
      <c r="EP150" s="781"/>
      <c r="EQ150" s="781"/>
      <c r="ER150" s="781"/>
      <c r="ES150" s="781"/>
      <c r="ET150" s="781"/>
      <c r="EU150" s="781"/>
      <c r="EV150" s="781"/>
      <c r="EW150" s="781"/>
      <c r="EX150" s="781"/>
      <c r="EY150" s="781"/>
      <c r="EZ150" s="781"/>
      <c r="FA150" s="781"/>
      <c r="FB150" s="781"/>
      <c r="FC150" s="781"/>
      <c r="FD150" s="781"/>
      <c r="FE150" s="781"/>
      <c r="FF150" s="781"/>
      <c r="FG150" s="781"/>
      <c r="FH150" s="781"/>
      <c r="FI150" s="781"/>
      <c r="FJ150" s="781"/>
      <c r="FK150" s="781"/>
      <c r="FL150" s="781"/>
      <c r="FM150" s="781"/>
      <c r="FN150" s="781"/>
      <c r="FO150" s="781"/>
      <c r="FP150" s="781"/>
      <c r="FQ150" s="781"/>
      <c r="FR150" s="781"/>
      <c r="FS150" s="781"/>
      <c r="FT150" s="781"/>
      <c r="FU150" s="781"/>
      <c r="FV150" s="781"/>
      <c r="FW150" s="781"/>
      <c r="FX150" s="781"/>
      <c r="FY150" s="781"/>
      <c r="FZ150" s="781"/>
      <c r="GA150" s="781"/>
      <c r="GB150" s="781"/>
      <c r="GC150" s="781"/>
      <c r="GD150" s="781"/>
      <c r="GE150" s="781"/>
      <c r="GF150" s="781"/>
      <c r="GG150" s="781"/>
      <c r="GH150" s="781"/>
      <c r="GI150" s="781"/>
      <c r="GJ150" s="781"/>
      <c r="GK150" s="781"/>
      <c r="GL150" s="781"/>
      <c r="GM150" s="781"/>
      <c r="GN150" s="781"/>
      <c r="GO150" s="781"/>
      <c r="GP150" s="781"/>
      <c r="GQ150" s="781"/>
      <c r="GR150" s="781"/>
      <c r="GS150" s="781"/>
      <c r="GT150" s="781"/>
      <c r="GU150" s="781"/>
      <c r="GV150" s="781"/>
      <c r="GW150" s="781"/>
      <c r="GX150" s="781"/>
      <c r="GY150" s="781"/>
      <c r="GZ150" s="781"/>
      <c r="HA150" s="781"/>
      <c r="HB150" s="781"/>
      <c r="HC150" s="781"/>
      <c r="HD150" s="781"/>
      <c r="HE150" s="781"/>
      <c r="HF150" s="781"/>
      <c r="HG150" s="781"/>
      <c r="HH150" s="781"/>
      <c r="HI150" s="781"/>
      <c r="HJ150" s="781"/>
    </row>
  </sheetData>
  <mergeCells count="178">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W50:Y50"/>
    <mergeCell ref="Q51:S51"/>
    <mergeCell ref="T51:V51"/>
    <mergeCell ref="W46:Y46"/>
    <mergeCell ref="Z46:AA46"/>
    <mergeCell ref="AB46:AC46"/>
    <mergeCell ref="AD46:AE46"/>
    <mergeCell ref="AJ46:AK46"/>
    <mergeCell ref="AL72:AM72"/>
    <mergeCell ref="AG46:AH46"/>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C13:D13"/>
    <mergeCell ref="W14:Y14"/>
    <mergeCell ref="Q15:S15"/>
    <mergeCell ref="T15:V15"/>
    <mergeCell ref="G22:I22"/>
    <mergeCell ref="L22:N22"/>
    <mergeCell ref="O22:P22"/>
    <mergeCell ref="Q22:S22"/>
    <mergeCell ref="T22:V22"/>
    <mergeCell ref="W22:Y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xr:uid="{E0565DE4-B39E-4369-8CED-1B46C18BC102}">
      <formula1>$A$4:$A$8</formula1>
    </dataValidation>
    <dataValidation type="whole" allowBlank="1" showInputMessage="1" showErrorMessage="1" sqref="C74:D74 C83:D83 C92:D92 C101:D101 C110:D110" xr:uid="{9B4637AD-1B2A-433B-8B17-6C5040CCE8F1}">
      <formula1>8</formula1>
      <formula2>35</formula2>
    </dataValidation>
    <dataValidation type="whole" allowBlank="1" showInputMessage="1" showErrorMessage="1" sqref="C12:D12 C24:D24 C36:D36 C48:D48 C60:D60" xr:uid="{F6D06D2C-8C79-4495-82AA-50D43F60E710}">
      <formula1>20</formula1>
      <formula2>150</formula2>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AS130"/>
  <sheetViews>
    <sheetView topLeftCell="A17" workbookViewId="0">
      <selection activeCell="B30" sqref="B30"/>
    </sheetView>
  </sheetViews>
  <sheetFormatPr baseColWidth="10" defaultColWidth="11.42578125" defaultRowHeight="12.75" x14ac:dyDescent="0.2"/>
  <cols>
    <col min="1" max="1" width="1" style="941" customWidth="1"/>
    <col min="2" max="2" width="49.7109375" style="948" customWidth="1"/>
    <col min="3" max="3" width="11.42578125" style="839"/>
    <col min="4" max="4" width="10.28515625" style="840" customWidth="1"/>
    <col min="5" max="5" width="7.140625" style="841" customWidth="1"/>
    <col min="6" max="7" width="5.7109375" style="841" customWidth="1"/>
    <col min="8" max="9" width="11" style="841" customWidth="1"/>
    <col min="10" max="12" width="11.42578125" style="839" customWidth="1"/>
    <col min="13" max="15" width="11.28515625" style="841" customWidth="1"/>
    <col min="16" max="21" width="10.7109375" style="841" customWidth="1"/>
    <col min="22" max="23" width="13.7109375" style="841" customWidth="1"/>
    <col min="24" max="24" width="7.85546875" style="841" customWidth="1"/>
    <col min="25" max="25" width="8.7109375" style="841" customWidth="1"/>
    <col min="26" max="26" width="12.5703125" style="841" customWidth="1"/>
    <col min="27" max="29" width="11.42578125" style="844"/>
    <col min="30" max="31" width="11.42578125" style="839" customWidth="1"/>
    <col min="32" max="34" width="11.42578125" style="839"/>
    <col min="35" max="35" width="11.42578125" style="844"/>
    <col min="36" max="16384" width="11.42578125" style="839"/>
  </cols>
  <sheetData>
    <row r="1" spans="1:45" x14ac:dyDescent="0.2">
      <c r="A1" s="958" t="s">
        <v>7940</v>
      </c>
      <c r="B1" s="942"/>
      <c r="D1" s="959" t="s">
        <v>222</v>
      </c>
      <c r="F1" s="842"/>
      <c r="G1" s="843"/>
      <c r="H1" s="843"/>
      <c r="I1" s="843"/>
      <c r="M1" s="843"/>
      <c r="N1" s="843"/>
      <c r="O1" s="843"/>
      <c r="P1" s="843"/>
      <c r="Q1" s="843"/>
      <c r="R1" s="843"/>
      <c r="S1" s="843"/>
      <c r="T1" s="843"/>
      <c r="U1" s="843"/>
      <c r="V1" s="843"/>
      <c r="W1" s="843"/>
      <c r="X1" s="843"/>
      <c r="Y1" s="843"/>
    </row>
    <row r="2" spans="1:45" x14ac:dyDescent="0.2">
      <c r="A2" s="842"/>
      <c r="B2" s="942" t="s">
        <v>336</v>
      </c>
      <c r="D2" s="845"/>
      <c r="E2" s="843"/>
      <c r="F2" s="843"/>
      <c r="G2" s="843"/>
      <c r="H2" s="843"/>
      <c r="I2" s="843"/>
      <c r="M2" s="843"/>
      <c r="N2" s="843"/>
      <c r="O2" s="843"/>
      <c r="P2" s="843"/>
      <c r="Q2" s="843"/>
      <c r="R2" s="843"/>
      <c r="S2" s="843"/>
      <c r="T2" s="843"/>
      <c r="U2" s="843"/>
      <c r="V2" s="843"/>
      <c r="W2" s="843"/>
      <c r="X2" s="843"/>
      <c r="Y2" s="843"/>
      <c r="Z2" s="846" t="s">
        <v>331</v>
      </c>
    </row>
    <row r="3" spans="1:45" x14ac:dyDescent="0.2">
      <c r="A3" s="842"/>
      <c r="B3" s="523" t="s">
        <v>7810</v>
      </c>
      <c r="C3" s="844" t="s">
        <v>7811</v>
      </c>
      <c r="D3" s="844" t="s">
        <v>7812</v>
      </c>
      <c r="E3" s="844" t="s">
        <v>7813</v>
      </c>
      <c r="F3" s="844" t="s">
        <v>7814</v>
      </c>
      <c r="G3" s="844" t="s">
        <v>7815</v>
      </c>
      <c r="H3" s="844" t="s">
        <v>7816</v>
      </c>
      <c r="I3" s="844" t="s">
        <v>7817</v>
      </c>
      <c r="J3" s="844" t="s">
        <v>7818</v>
      </c>
      <c r="K3" s="844" t="s">
        <v>7806</v>
      </c>
      <c r="L3" s="844" t="s">
        <v>7807</v>
      </c>
      <c r="M3" s="844" t="s">
        <v>7819</v>
      </c>
      <c r="N3" s="844" t="s">
        <v>7820</v>
      </c>
      <c r="O3" s="844" t="s">
        <v>7821</v>
      </c>
      <c r="P3" s="844" t="s">
        <v>7822</v>
      </c>
      <c r="Q3" s="844" t="s">
        <v>7823</v>
      </c>
      <c r="R3" s="844" t="s">
        <v>7824</v>
      </c>
      <c r="S3" s="844" t="s">
        <v>7825</v>
      </c>
      <c r="T3" s="844" t="s">
        <v>7826</v>
      </c>
      <c r="U3" s="844" t="s">
        <v>7827</v>
      </c>
      <c r="V3" s="844" t="s">
        <v>7828</v>
      </c>
      <c r="W3" s="844" t="s">
        <v>7829</v>
      </c>
      <c r="X3" s="844" t="s">
        <v>7830</v>
      </c>
      <c r="Y3" s="844" t="s">
        <v>7831</v>
      </c>
      <c r="Z3" s="846"/>
    </row>
    <row r="4" spans="1:45" ht="13.5" thickBot="1" x14ac:dyDescent="0.25">
      <c r="A4" s="842"/>
      <c r="B4" s="942"/>
      <c r="C4" s="847" t="s">
        <v>579</v>
      </c>
      <c r="D4" s="848" t="s">
        <v>580</v>
      </c>
      <c r="E4" s="849" t="s">
        <v>581</v>
      </c>
      <c r="F4" s="849" t="s">
        <v>582</v>
      </c>
      <c r="G4" s="849" t="s">
        <v>583</v>
      </c>
      <c r="H4" s="849" t="s">
        <v>588</v>
      </c>
      <c r="I4" s="850" t="s">
        <v>593</v>
      </c>
      <c r="J4" s="851" t="s">
        <v>594</v>
      </c>
      <c r="K4" s="851" t="s">
        <v>595</v>
      </c>
      <c r="L4" s="851" t="s">
        <v>596</v>
      </c>
      <c r="M4" s="850" t="s">
        <v>597</v>
      </c>
      <c r="N4" s="852" t="s">
        <v>7808</v>
      </c>
      <c r="O4" s="852" t="s">
        <v>7809</v>
      </c>
      <c r="P4" s="850" t="s">
        <v>598</v>
      </c>
      <c r="Q4" s="850" t="s">
        <v>599</v>
      </c>
      <c r="R4" s="850" t="s">
        <v>600</v>
      </c>
      <c r="S4" s="850" t="s">
        <v>601</v>
      </c>
      <c r="T4" s="850"/>
      <c r="U4" s="850"/>
      <c r="V4" s="850" t="s">
        <v>611</v>
      </c>
      <c r="W4" s="848" t="s">
        <v>612</v>
      </c>
      <c r="X4" s="850" t="s">
        <v>613</v>
      </c>
      <c r="Y4" s="850" t="s">
        <v>614</v>
      </c>
      <c r="Z4" s="843"/>
    </row>
    <row r="5" spans="1:45" ht="14.25" x14ac:dyDescent="0.2">
      <c r="A5" s="853"/>
      <c r="B5" s="943"/>
      <c r="C5" s="854"/>
      <c r="D5" s="1611" t="s">
        <v>584</v>
      </c>
      <c r="E5" s="855" t="s">
        <v>3</v>
      </c>
      <c r="F5" s="856"/>
      <c r="G5" s="856"/>
      <c r="H5" s="837" t="s">
        <v>589</v>
      </c>
      <c r="I5" s="857" t="s">
        <v>602</v>
      </c>
      <c r="J5" s="1620" t="s">
        <v>299</v>
      </c>
      <c r="K5" s="1621"/>
      <c r="L5" s="1622"/>
      <c r="M5" s="1614" t="s">
        <v>603</v>
      </c>
      <c r="N5" s="1618"/>
      <c r="O5" s="1615"/>
      <c r="P5" s="1614" t="s">
        <v>604</v>
      </c>
      <c r="Q5" s="1618"/>
      <c r="R5" s="1615"/>
      <c r="S5" s="504" t="s">
        <v>602</v>
      </c>
      <c r="T5" s="504" t="s">
        <v>602</v>
      </c>
      <c r="U5" s="504" t="s">
        <v>602</v>
      </c>
      <c r="V5" s="857" t="s">
        <v>615</v>
      </c>
      <c r="W5" s="858" t="s">
        <v>602</v>
      </c>
      <c r="X5" s="1614" t="s">
        <v>225</v>
      </c>
      <c r="Y5" s="1615"/>
      <c r="Z5" s="841" t="s">
        <v>267</v>
      </c>
      <c r="AA5" s="844" t="s">
        <v>7630</v>
      </c>
      <c r="AD5" s="839" t="s">
        <v>315</v>
      </c>
      <c r="AF5" s="1613" t="s">
        <v>462</v>
      </c>
      <c r="AG5" s="1613"/>
      <c r="AH5" s="1613"/>
      <c r="AI5" s="1617" t="s">
        <v>640</v>
      </c>
      <c r="AJ5" s="1617"/>
      <c r="AK5" s="1617"/>
    </row>
    <row r="6" spans="1:45" ht="14.25" x14ac:dyDescent="0.2">
      <c r="A6" s="860"/>
      <c r="B6" s="944" t="s">
        <v>51</v>
      </c>
      <c r="C6" s="843" t="s">
        <v>249</v>
      </c>
      <c r="D6" s="1612"/>
      <c r="E6" s="861" t="s">
        <v>585</v>
      </c>
      <c r="F6" s="845"/>
      <c r="G6" s="845"/>
      <c r="H6" s="862" t="s">
        <v>590</v>
      </c>
      <c r="I6" s="863" t="s">
        <v>0</v>
      </c>
      <c r="J6" s="1623" t="s">
        <v>300</v>
      </c>
      <c r="K6" s="1624"/>
      <c r="L6" s="1625"/>
      <c r="M6" s="1605" t="s">
        <v>605</v>
      </c>
      <c r="N6" s="1606"/>
      <c r="O6" s="1616"/>
      <c r="P6" s="1605" t="s">
        <v>606</v>
      </c>
      <c r="Q6" s="1606"/>
      <c r="R6" s="1616"/>
      <c r="S6" s="505" t="s">
        <v>10</v>
      </c>
      <c r="T6" s="505" t="s">
        <v>10</v>
      </c>
      <c r="U6" s="505" t="s">
        <v>10</v>
      </c>
      <c r="V6" s="863" t="s">
        <v>616</v>
      </c>
      <c r="W6" s="864" t="s">
        <v>8</v>
      </c>
      <c r="X6" s="1605" t="s">
        <v>227</v>
      </c>
      <c r="Y6" s="1616"/>
      <c r="Z6" s="841" t="s">
        <v>10</v>
      </c>
      <c r="AA6" s="844" t="s">
        <v>7631</v>
      </c>
      <c r="AD6" s="839" t="s">
        <v>313</v>
      </c>
      <c r="AE6" s="839" t="s">
        <v>314</v>
      </c>
      <c r="AF6" s="839" t="s">
        <v>0</v>
      </c>
      <c r="AG6" s="865" t="s">
        <v>463</v>
      </c>
      <c r="AH6" s="865" t="s">
        <v>10</v>
      </c>
      <c r="AI6" s="1609" t="s">
        <v>641</v>
      </c>
      <c r="AJ6" s="1609"/>
      <c r="AK6" s="1609"/>
    </row>
    <row r="7" spans="1:45" ht="14.25" x14ac:dyDescent="0.2">
      <c r="A7" s="867"/>
      <c r="B7" s="944" t="s">
        <v>578</v>
      </c>
      <c r="C7" s="843"/>
      <c r="D7" s="1612"/>
      <c r="E7" s="861" t="s">
        <v>586</v>
      </c>
      <c r="F7" s="845"/>
      <c r="G7" s="845"/>
      <c r="H7" s="863" t="s">
        <v>591</v>
      </c>
      <c r="I7" s="868" t="s">
        <v>9</v>
      </c>
      <c r="J7" s="1626" t="s">
        <v>607</v>
      </c>
      <c r="K7" s="1627"/>
      <c r="L7" s="1628"/>
      <c r="M7" s="1605" t="s">
        <v>608</v>
      </c>
      <c r="N7" s="1606"/>
      <c r="O7" s="1606"/>
      <c r="P7" s="1619" t="s">
        <v>608</v>
      </c>
      <c r="Q7" s="1619"/>
      <c r="R7" s="1616"/>
      <c r="S7" s="869" t="s">
        <v>228</v>
      </c>
      <c r="T7" s="869" t="s">
        <v>228</v>
      </c>
      <c r="U7" s="869" t="s">
        <v>228</v>
      </c>
      <c r="V7" s="863" t="s">
        <v>591</v>
      </c>
      <c r="W7" s="864" t="s">
        <v>9</v>
      </c>
      <c r="X7" s="838" t="s">
        <v>0</v>
      </c>
      <c r="Y7" s="870" t="s">
        <v>617</v>
      </c>
      <c r="Z7" s="841" t="s">
        <v>331</v>
      </c>
      <c r="AA7" s="844" t="s">
        <v>7632</v>
      </c>
    </row>
    <row r="8" spans="1:45" ht="26.25" thickBot="1" x14ac:dyDescent="0.25">
      <c r="A8" s="873"/>
      <c r="B8" s="945"/>
      <c r="C8" s="874"/>
      <c r="D8" s="875" t="s">
        <v>587</v>
      </c>
      <c r="E8" s="876" t="s">
        <v>4</v>
      </c>
      <c r="F8" s="877" t="s">
        <v>229</v>
      </c>
      <c r="G8" s="877" t="s">
        <v>230</v>
      </c>
      <c r="H8" s="878" t="s">
        <v>592</v>
      </c>
      <c r="I8" s="879" t="s">
        <v>609</v>
      </c>
      <c r="J8" s="880" t="s">
        <v>39</v>
      </c>
      <c r="K8" s="881" t="s">
        <v>40</v>
      </c>
      <c r="L8" s="882" t="s">
        <v>41</v>
      </c>
      <c r="M8" s="883" t="s">
        <v>39</v>
      </c>
      <c r="N8" s="884" t="s">
        <v>40</v>
      </c>
      <c r="O8" s="885" t="s">
        <v>41</v>
      </c>
      <c r="P8" s="883" t="s">
        <v>39</v>
      </c>
      <c r="Q8" s="884" t="s">
        <v>40</v>
      </c>
      <c r="R8" s="885" t="s">
        <v>41</v>
      </c>
      <c r="S8" s="886" t="s">
        <v>610</v>
      </c>
      <c r="T8" s="886" t="s">
        <v>647</v>
      </c>
      <c r="U8" s="886" t="s">
        <v>646</v>
      </c>
      <c r="V8" s="887" t="s">
        <v>618</v>
      </c>
      <c r="W8" s="888" t="s">
        <v>619</v>
      </c>
      <c r="X8" s="889" t="s">
        <v>0</v>
      </c>
      <c r="Y8" s="890" t="s">
        <v>8</v>
      </c>
      <c r="AI8" s="834" t="s">
        <v>4</v>
      </c>
      <c r="AJ8" s="835" t="s">
        <v>248</v>
      </c>
      <c r="AK8" s="836" t="s">
        <v>5</v>
      </c>
    </row>
    <row r="9" spans="1:45" x14ac:dyDescent="0.2">
      <c r="A9" s="891" t="s">
        <v>52</v>
      </c>
      <c r="B9" s="946"/>
      <c r="C9" s="892">
        <v>0</v>
      </c>
      <c r="D9" s="893"/>
      <c r="E9" s="894"/>
      <c r="F9" s="895"/>
      <c r="G9" s="896"/>
      <c r="H9" s="897"/>
      <c r="I9" s="898"/>
      <c r="J9" s="899"/>
      <c r="K9" s="865"/>
      <c r="L9" s="900"/>
      <c r="M9" s="901"/>
      <c r="N9" s="902"/>
      <c r="O9" s="902"/>
      <c r="P9" s="902"/>
      <c r="Q9" s="903"/>
      <c r="R9" s="904"/>
      <c r="S9" s="905"/>
      <c r="T9" s="902"/>
      <c r="U9" s="902"/>
      <c r="V9" s="893"/>
      <c r="W9" s="906"/>
      <c r="X9" s="906"/>
      <c r="Y9" s="907"/>
      <c r="Z9" s="846"/>
      <c r="AQ9" s="912"/>
      <c r="AR9" s="913"/>
      <c r="AS9" s="913"/>
    </row>
    <row r="10" spans="1:45" x14ac:dyDescent="0.2">
      <c r="A10" s="914"/>
      <c r="B10" s="125" t="s">
        <v>568</v>
      </c>
      <c r="C10">
        <v>1</v>
      </c>
      <c r="D10"/>
      <c r="E10"/>
      <c r="F10"/>
      <c r="G10"/>
      <c r="H10"/>
      <c r="I10"/>
      <c r="J10"/>
      <c r="K10"/>
      <c r="L10"/>
      <c r="M10"/>
      <c r="N10"/>
      <c r="O10"/>
      <c r="P10"/>
      <c r="Q10"/>
      <c r="R10"/>
      <c r="S10"/>
      <c r="T10"/>
      <c r="U10"/>
      <c r="V10"/>
      <c r="W10"/>
      <c r="X10"/>
      <c r="Y10"/>
      <c r="Z10"/>
      <c r="AA10"/>
      <c r="AB10"/>
      <c r="AC10"/>
      <c r="AD10"/>
      <c r="AE10"/>
      <c r="AF10"/>
      <c r="AG10"/>
      <c r="AH10"/>
      <c r="AI10"/>
      <c r="AJ10"/>
      <c r="AK10"/>
      <c r="AQ10" s="912"/>
      <c r="AR10" s="913"/>
      <c r="AS10" s="913"/>
    </row>
    <row r="11" spans="1:45" ht="13.5" thickBot="1" x14ac:dyDescent="0.25">
      <c r="A11" s="860"/>
      <c r="B11" s="125" t="s">
        <v>7805</v>
      </c>
      <c r="C11">
        <v>1</v>
      </c>
      <c r="D11">
        <v>0.4</v>
      </c>
      <c r="E11">
        <v>37</v>
      </c>
      <c r="F11">
        <v>11.5</v>
      </c>
      <c r="G11">
        <v>45.3</v>
      </c>
      <c r="H11">
        <v>7.6</v>
      </c>
      <c r="I11">
        <v>8.2100000000000009</v>
      </c>
      <c r="J11">
        <v>5.4</v>
      </c>
      <c r="K11">
        <v>6</v>
      </c>
      <c r="L11">
        <v>11</v>
      </c>
      <c r="M11">
        <v>2.16</v>
      </c>
      <c r="N11">
        <v>2.4</v>
      </c>
      <c r="O11">
        <v>4.4000000000000004</v>
      </c>
      <c r="P11">
        <v>6.3</v>
      </c>
      <c r="Q11">
        <v>7.48</v>
      </c>
      <c r="R11">
        <v>9.2100000000000009</v>
      </c>
      <c r="S11">
        <v>20.09</v>
      </c>
      <c r="T11">
        <v>18.170000000000002</v>
      </c>
      <c r="U11">
        <v>21.77</v>
      </c>
      <c r="V11">
        <v>2</v>
      </c>
      <c r="W11">
        <v>1.8</v>
      </c>
      <c r="X11">
        <v>15</v>
      </c>
      <c r="Y11">
        <v>30</v>
      </c>
      <c r="Z11">
        <v>0.9</v>
      </c>
      <c r="AA11">
        <v>1</v>
      </c>
      <c r="AB11"/>
      <c r="AC11"/>
      <c r="AD11"/>
      <c r="AE11">
        <v>2</v>
      </c>
      <c r="AF11">
        <v>50</v>
      </c>
      <c r="AG11">
        <v>90</v>
      </c>
      <c r="AH11">
        <v>10</v>
      </c>
      <c r="AI11">
        <v>3.2</v>
      </c>
      <c r="AJ11">
        <v>0.2</v>
      </c>
      <c r="AK11">
        <v>7.9</v>
      </c>
    </row>
    <row r="12" spans="1:45" x14ac:dyDescent="0.2">
      <c r="A12" s="860"/>
      <c r="B12" s="125" t="s">
        <v>6</v>
      </c>
      <c r="C12">
        <v>1</v>
      </c>
      <c r="D12">
        <v>0.7</v>
      </c>
      <c r="E12">
        <v>56</v>
      </c>
      <c r="F12">
        <v>18.8</v>
      </c>
      <c r="G12">
        <v>68</v>
      </c>
      <c r="H12">
        <v>11.5</v>
      </c>
      <c r="I12">
        <v>8.1999999999999993</v>
      </c>
      <c r="J12">
        <v>5.4</v>
      </c>
      <c r="K12">
        <v>6</v>
      </c>
      <c r="L12">
        <v>11</v>
      </c>
      <c r="M12">
        <v>3.78</v>
      </c>
      <c r="N12">
        <v>4.2</v>
      </c>
      <c r="O12">
        <v>7.7</v>
      </c>
      <c r="P12">
        <v>10</v>
      </c>
      <c r="Q12">
        <v>11.53</v>
      </c>
      <c r="R12">
        <v>14.31</v>
      </c>
      <c r="S12">
        <v>20.76</v>
      </c>
      <c r="T12">
        <v>19.38</v>
      </c>
      <c r="U12">
        <v>23.48</v>
      </c>
      <c r="V12">
        <v>3</v>
      </c>
      <c r="W12">
        <v>1.8</v>
      </c>
      <c r="X12">
        <v>15</v>
      </c>
      <c r="Y12">
        <v>30</v>
      </c>
      <c r="Z12">
        <v>0.9</v>
      </c>
      <c r="AA12">
        <v>1</v>
      </c>
      <c r="AB12"/>
      <c r="AC12"/>
      <c r="AD12"/>
      <c r="AE12">
        <v>2</v>
      </c>
      <c r="AF12">
        <v>50</v>
      </c>
      <c r="AG12">
        <v>90</v>
      </c>
      <c r="AH12">
        <v>10</v>
      </c>
      <c r="AI12">
        <v>3.2</v>
      </c>
      <c r="AJ12">
        <v>0.2</v>
      </c>
      <c r="AK12">
        <v>7.9</v>
      </c>
      <c r="AN12" s="859"/>
      <c r="AO12" s="1607" t="s">
        <v>640</v>
      </c>
      <c r="AP12" s="1607"/>
      <c r="AQ12" s="1608"/>
    </row>
    <row r="13" spans="1:45" x14ac:dyDescent="0.2">
      <c r="A13" s="860"/>
      <c r="B13" s="125" t="s">
        <v>7</v>
      </c>
      <c r="C13">
        <v>1</v>
      </c>
      <c r="D13">
        <v>1</v>
      </c>
      <c r="E13">
        <v>64</v>
      </c>
      <c r="F13">
        <v>21.9</v>
      </c>
      <c r="G13">
        <v>76.900000000000006</v>
      </c>
      <c r="H13">
        <v>13.1</v>
      </c>
      <c r="I13">
        <v>8.19</v>
      </c>
      <c r="J13">
        <v>5.4</v>
      </c>
      <c r="K13">
        <v>6</v>
      </c>
      <c r="L13">
        <v>11</v>
      </c>
      <c r="M13">
        <v>5.4</v>
      </c>
      <c r="N13">
        <v>6</v>
      </c>
      <c r="O13">
        <v>11</v>
      </c>
      <c r="P13">
        <v>11.4</v>
      </c>
      <c r="Q13">
        <v>13.59</v>
      </c>
      <c r="R13">
        <v>17.12</v>
      </c>
      <c r="S13">
        <v>23.74</v>
      </c>
      <c r="T13">
        <v>21.53</v>
      </c>
      <c r="U13">
        <v>26.44</v>
      </c>
      <c r="V13">
        <v>3.4</v>
      </c>
      <c r="W13">
        <v>1.8</v>
      </c>
      <c r="X13">
        <v>15</v>
      </c>
      <c r="Y13">
        <v>30</v>
      </c>
      <c r="Z13">
        <v>0.9</v>
      </c>
      <c r="AA13">
        <v>1</v>
      </c>
      <c r="AB13"/>
      <c r="AC13"/>
      <c r="AD13"/>
      <c r="AE13">
        <v>2</v>
      </c>
      <c r="AF13">
        <v>50</v>
      </c>
      <c r="AG13">
        <v>90</v>
      </c>
      <c r="AH13">
        <v>10</v>
      </c>
      <c r="AI13">
        <v>3.2</v>
      </c>
      <c r="AJ13">
        <v>0.2</v>
      </c>
      <c r="AK13">
        <v>7.9</v>
      </c>
      <c r="AN13" s="866"/>
      <c r="AO13" s="1609" t="s">
        <v>641</v>
      </c>
      <c r="AP13" s="1609"/>
      <c r="AQ13" s="1610"/>
    </row>
    <row r="14" spans="1:45" x14ac:dyDescent="0.2">
      <c r="A14" s="860"/>
      <c r="B14" s="125" t="s">
        <v>231</v>
      </c>
      <c r="C14">
        <v>1</v>
      </c>
      <c r="D14">
        <v>1</v>
      </c>
      <c r="E14">
        <v>100</v>
      </c>
      <c r="F14">
        <v>36</v>
      </c>
      <c r="G14">
        <v>104</v>
      </c>
      <c r="H14">
        <v>19</v>
      </c>
      <c r="I14">
        <v>8.9</v>
      </c>
      <c r="J14">
        <v>4</v>
      </c>
      <c r="K14">
        <v>6</v>
      </c>
      <c r="L14">
        <v>11</v>
      </c>
      <c r="M14">
        <v>4</v>
      </c>
      <c r="N14">
        <v>6</v>
      </c>
      <c r="O14">
        <v>11</v>
      </c>
      <c r="P14">
        <v>14.4</v>
      </c>
      <c r="Q14">
        <v>18.190000000000001</v>
      </c>
      <c r="R14">
        <v>23.02</v>
      </c>
      <c r="S14">
        <v>19.71</v>
      </c>
      <c r="T14">
        <v>19.350000000000001</v>
      </c>
      <c r="U14">
        <v>22.35</v>
      </c>
      <c r="V14">
        <v>6</v>
      </c>
      <c r="W14">
        <v>1.8</v>
      </c>
      <c r="X14">
        <v>15</v>
      </c>
      <c r="Y14">
        <v>30</v>
      </c>
      <c r="Z14">
        <v>0.9</v>
      </c>
      <c r="AA14">
        <v>1</v>
      </c>
      <c r="AB14"/>
      <c r="AC14"/>
      <c r="AD14"/>
      <c r="AE14">
        <v>2</v>
      </c>
      <c r="AF14">
        <v>50</v>
      </c>
      <c r="AG14">
        <v>90</v>
      </c>
      <c r="AH14">
        <v>10</v>
      </c>
      <c r="AI14">
        <v>3.2</v>
      </c>
      <c r="AJ14">
        <v>0.2</v>
      </c>
      <c r="AK14">
        <v>7.9</v>
      </c>
      <c r="AN14" s="866"/>
      <c r="AO14" s="871"/>
      <c r="AP14" s="865"/>
      <c r="AQ14" s="872"/>
    </row>
    <row r="15" spans="1:45" x14ac:dyDescent="0.2">
      <c r="A15" s="860"/>
      <c r="B15" s="125" t="s">
        <v>232</v>
      </c>
      <c r="C15">
        <v>1</v>
      </c>
      <c r="D15">
        <v>1</v>
      </c>
      <c r="E15">
        <v>115</v>
      </c>
      <c r="F15">
        <v>42</v>
      </c>
      <c r="G15">
        <v>116</v>
      </c>
      <c r="H15">
        <v>20</v>
      </c>
      <c r="I15">
        <v>9.32</v>
      </c>
      <c r="J15">
        <v>4</v>
      </c>
      <c r="K15">
        <v>6</v>
      </c>
      <c r="L15">
        <v>11</v>
      </c>
      <c r="M15">
        <v>4</v>
      </c>
      <c r="N15">
        <v>6</v>
      </c>
      <c r="O15">
        <v>11</v>
      </c>
      <c r="P15">
        <v>15</v>
      </c>
      <c r="Q15">
        <v>18.989999999999998</v>
      </c>
      <c r="R15">
        <v>24.02</v>
      </c>
      <c r="S15">
        <v>20.03</v>
      </c>
      <c r="T15">
        <v>19.43</v>
      </c>
      <c r="U15">
        <v>22.14</v>
      </c>
      <c r="V15">
        <v>6.4</v>
      </c>
      <c r="W15">
        <v>1.8</v>
      </c>
      <c r="X15">
        <v>15</v>
      </c>
      <c r="Y15">
        <v>30</v>
      </c>
      <c r="Z15">
        <v>0.9</v>
      </c>
      <c r="AA15">
        <v>1</v>
      </c>
      <c r="AB15"/>
      <c r="AC15"/>
      <c r="AD15"/>
      <c r="AE15">
        <v>2</v>
      </c>
      <c r="AF15">
        <v>50</v>
      </c>
      <c r="AG15">
        <v>90</v>
      </c>
      <c r="AH15">
        <v>10</v>
      </c>
      <c r="AI15">
        <v>3.2</v>
      </c>
      <c r="AJ15">
        <v>0.2</v>
      </c>
      <c r="AK15">
        <v>7.9</v>
      </c>
      <c r="AN15" s="515" t="s">
        <v>249</v>
      </c>
      <c r="AO15" s="834" t="s">
        <v>4</v>
      </c>
      <c r="AP15" s="835" t="s">
        <v>248</v>
      </c>
      <c r="AQ15" s="516" t="s">
        <v>5</v>
      </c>
    </row>
    <row r="16" spans="1:45" x14ac:dyDescent="0.2">
      <c r="A16" s="860"/>
      <c r="B16" s="125" t="s">
        <v>233</v>
      </c>
      <c r="C16">
        <v>1</v>
      </c>
      <c r="D16">
        <v>1</v>
      </c>
      <c r="E16">
        <v>133</v>
      </c>
      <c r="F16">
        <v>46.97</v>
      </c>
      <c r="G16">
        <v>125</v>
      </c>
      <c r="H16">
        <v>21</v>
      </c>
      <c r="I16">
        <v>9.35</v>
      </c>
      <c r="J16">
        <v>5</v>
      </c>
      <c r="K16">
        <v>6</v>
      </c>
      <c r="L16">
        <v>11</v>
      </c>
      <c r="M16">
        <v>5</v>
      </c>
      <c r="N16">
        <v>6</v>
      </c>
      <c r="O16">
        <v>11</v>
      </c>
      <c r="P16">
        <v>16</v>
      </c>
      <c r="Q16">
        <v>19.79</v>
      </c>
      <c r="R16">
        <v>25.02</v>
      </c>
      <c r="S16">
        <v>21.32</v>
      </c>
      <c r="T16">
        <v>19.13</v>
      </c>
      <c r="U16">
        <v>21.65</v>
      </c>
      <c r="V16">
        <v>6.8</v>
      </c>
      <c r="W16">
        <v>1.8</v>
      </c>
      <c r="X16">
        <v>15</v>
      </c>
      <c r="Y16">
        <v>30</v>
      </c>
      <c r="Z16">
        <v>0.9</v>
      </c>
      <c r="AA16">
        <v>1</v>
      </c>
      <c r="AB16"/>
      <c r="AC16"/>
      <c r="AD16"/>
      <c r="AE16">
        <v>2</v>
      </c>
      <c r="AF16">
        <v>50</v>
      </c>
      <c r="AG16">
        <v>90</v>
      </c>
      <c r="AH16">
        <v>10</v>
      </c>
      <c r="AI16">
        <v>3.2</v>
      </c>
      <c r="AJ16">
        <v>0.2</v>
      </c>
      <c r="AK16">
        <v>7.9</v>
      </c>
      <c r="AN16" s="908">
        <v>1</v>
      </c>
      <c r="AO16" s="909">
        <v>3.2</v>
      </c>
      <c r="AP16" s="910">
        <v>0.2</v>
      </c>
      <c r="AQ16" s="911">
        <v>7.9</v>
      </c>
    </row>
    <row r="17" spans="1:43" x14ac:dyDescent="0.2">
      <c r="A17" s="860"/>
      <c r="B17" s="125" t="s">
        <v>234</v>
      </c>
      <c r="C17">
        <v>1</v>
      </c>
      <c r="D17">
        <v>1</v>
      </c>
      <c r="E17">
        <v>152</v>
      </c>
      <c r="F17">
        <v>52</v>
      </c>
      <c r="G17">
        <v>135</v>
      </c>
      <c r="H17">
        <v>22</v>
      </c>
      <c r="I17">
        <v>10.31</v>
      </c>
      <c r="J17">
        <v>6</v>
      </c>
      <c r="K17">
        <v>7</v>
      </c>
      <c r="L17">
        <v>12</v>
      </c>
      <c r="M17">
        <v>6</v>
      </c>
      <c r="N17">
        <v>7</v>
      </c>
      <c r="O17">
        <v>12</v>
      </c>
      <c r="P17">
        <v>17</v>
      </c>
      <c r="Q17">
        <v>20.96</v>
      </c>
      <c r="R17">
        <v>26.38</v>
      </c>
      <c r="S17">
        <v>23.66</v>
      </c>
      <c r="T17">
        <v>21</v>
      </c>
      <c r="U17">
        <v>22.88</v>
      </c>
      <c r="V17">
        <v>7.2</v>
      </c>
      <c r="W17">
        <v>1.8</v>
      </c>
      <c r="X17">
        <v>15</v>
      </c>
      <c r="Y17">
        <v>30</v>
      </c>
      <c r="Z17">
        <v>0.9</v>
      </c>
      <c r="AA17">
        <v>1</v>
      </c>
      <c r="AB17"/>
      <c r="AC17"/>
      <c r="AD17"/>
      <c r="AE17">
        <v>2</v>
      </c>
      <c r="AF17">
        <v>50</v>
      </c>
      <c r="AG17">
        <v>90</v>
      </c>
      <c r="AH17">
        <v>10</v>
      </c>
      <c r="AI17">
        <v>3.2</v>
      </c>
      <c r="AJ17">
        <v>0.2</v>
      </c>
      <c r="AK17">
        <v>7.9</v>
      </c>
      <c r="AN17" s="908">
        <v>2</v>
      </c>
      <c r="AO17" s="909">
        <v>3.3</v>
      </c>
      <c r="AP17" s="910">
        <v>0.2</v>
      </c>
      <c r="AQ17" s="911">
        <v>3.1</v>
      </c>
    </row>
    <row r="18" spans="1:43" x14ac:dyDescent="0.2">
      <c r="A18" s="914"/>
      <c r="B18" s="125" t="s">
        <v>569</v>
      </c>
      <c r="C18">
        <v>1</v>
      </c>
      <c r="D18"/>
      <c r="E18"/>
      <c r="F18"/>
      <c r="G18"/>
      <c r="H18"/>
      <c r="I18"/>
      <c r="J18"/>
      <c r="K18"/>
      <c r="L18"/>
      <c r="M18"/>
      <c r="N18"/>
      <c r="O18"/>
      <c r="P18"/>
      <c r="Q18"/>
      <c r="R18"/>
      <c r="S18"/>
      <c r="T18"/>
      <c r="U18"/>
      <c r="V18"/>
      <c r="W18"/>
      <c r="X18"/>
      <c r="Y18"/>
      <c r="Z18"/>
      <c r="AA18"/>
      <c r="AB18"/>
      <c r="AC18"/>
      <c r="AD18"/>
      <c r="AE18"/>
      <c r="AF18"/>
      <c r="AG18"/>
      <c r="AH18"/>
      <c r="AI18"/>
      <c r="AJ18"/>
      <c r="AK18"/>
      <c r="AN18" s="917">
        <v>3</v>
      </c>
      <c r="AO18" s="918">
        <v>0</v>
      </c>
      <c r="AP18" s="918">
        <v>0</v>
      </c>
      <c r="AQ18" s="919">
        <v>0</v>
      </c>
    </row>
    <row r="19" spans="1:43" x14ac:dyDescent="0.2">
      <c r="A19" s="860"/>
      <c r="B19" s="125" t="s">
        <v>7805</v>
      </c>
      <c r="C19">
        <v>1</v>
      </c>
      <c r="D19">
        <v>0.4</v>
      </c>
      <c r="E19">
        <v>46.2</v>
      </c>
      <c r="F19">
        <v>13.5</v>
      </c>
      <c r="G19">
        <v>56</v>
      </c>
      <c r="H19">
        <v>7.6</v>
      </c>
      <c r="I19">
        <v>8.15</v>
      </c>
      <c r="J19">
        <v>5.4</v>
      </c>
      <c r="K19">
        <v>6</v>
      </c>
      <c r="L19">
        <v>11</v>
      </c>
      <c r="M19">
        <v>2.16</v>
      </c>
      <c r="N19">
        <v>2.4</v>
      </c>
      <c r="O19">
        <v>4.4000000000000004</v>
      </c>
      <c r="P19">
        <v>6.3</v>
      </c>
      <c r="Q19">
        <v>7.48</v>
      </c>
      <c r="R19">
        <v>9.2100000000000009</v>
      </c>
      <c r="S19">
        <v>20.02</v>
      </c>
      <c r="T19">
        <v>18.11</v>
      </c>
      <c r="U19">
        <v>21.72</v>
      </c>
      <c r="V19">
        <v>2</v>
      </c>
      <c r="W19">
        <v>1.8</v>
      </c>
      <c r="X19">
        <v>15</v>
      </c>
      <c r="Y19">
        <v>30</v>
      </c>
      <c r="Z19">
        <v>0.9</v>
      </c>
      <c r="AA19">
        <v>1</v>
      </c>
      <c r="AB19"/>
      <c r="AC19"/>
      <c r="AD19"/>
      <c r="AE19">
        <v>2</v>
      </c>
      <c r="AF19">
        <v>50</v>
      </c>
      <c r="AG19">
        <v>90</v>
      </c>
      <c r="AH19">
        <v>10</v>
      </c>
      <c r="AI19">
        <v>3.2</v>
      </c>
      <c r="AJ19">
        <v>0.2</v>
      </c>
      <c r="AK19">
        <v>7.9</v>
      </c>
      <c r="AN19" s="917">
        <v>4</v>
      </c>
      <c r="AO19" s="918">
        <v>0</v>
      </c>
      <c r="AP19" s="918">
        <v>0</v>
      </c>
      <c r="AQ19" s="919">
        <v>0</v>
      </c>
    </row>
    <row r="20" spans="1:43" x14ac:dyDescent="0.2">
      <c r="A20" s="860"/>
      <c r="B20" s="125" t="s">
        <v>6</v>
      </c>
      <c r="C20">
        <v>1</v>
      </c>
      <c r="D20">
        <v>0.7</v>
      </c>
      <c r="E20">
        <v>70.7</v>
      </c>
      <c r="F20">
        <v>20.2</v>
      </c>
      <c r="G20">
        <v>90.7</v>
      </c>
      <c r="H20">
        <v>11.5</v>
      </c>
      <c r="I20">
        <v>8.2799999999999994</v>
      </c>
      <c r="J20">
        <v>5.4</v>
      </c>
      <c r="K20">
        <v>6</v>
      </c>
      <c r="L20">
        <v>11</v>
      </c>
      <c r="M20">
        <v>3.78</v>
      </c>
      <c r="N20">
        <v>4.2</v>
      </c>
      <c r="O20">
        <v>7.7</v>
      </c>
      <c r="P20">
        <v>10</v>
      </c>
      <c r="Q20">
        <v>11.53</v>
      </c>
      <c r="R20">
        <v>14.31</v>
      </c>
      <c r="S20">
        <v>20.85</v>
      </c>
      <c r="T20">
        <v>19.46</v>
      </c>
      <c r="U20">
        <v>23.54</v>
      </c>
      <c r="V20">
        <v>3</v>
      </c>
      <c r="W20">
        <v>1.8</v>
      </c>
      <c r="X20">
        <v>15</v>
      </c>
      <c r="Y20">
        <v>30</v>
      </c>
      <c r="Z20">
        <v>0.9</v>
      </c>
      <c r="AA20">
        <v>1</v>
      </c>
      <c r="AB20"/>
      <c r="AC20"/>
      <c r="AD20"/>
      <c r="AE20">
        <v>2</v>
      </c>
      <c r="AF20">
        <v>50</v>
      </c>
      <c r="AG20">
        <v>90</v>
      </c>
      <c r="AH20">
        <v>10</v>
      </c>
      <c r="AI20">
        <v>3.2</v>
      </c>
      <c r="AJ20">
        <v>0.2</v>
      </c>
      <c r="AK20">
        <v>7.9</v>
      </c>
      <c r="AN20" s="917">
        <v>5</v>
      </c>
      <c r="AO20" s="918">
        <v>0</v>
      </c>
      <c r="AP20" s="918">
        <v>0</v>
      </c>
      <c r="AQ20" s="919">
        <v>0</v>
      </c>
    </row>
    <row r="21" spans="1:43" x14ac:dyDescent="0.2">
      <c r="A21" s="860"/>
      <c r="B21" s="125" t="s">
        <v>7</v>
      </c>
      <c r="C21">
        <v>1</v>
      </c>
      <c r="D21">
        <v>1</v>
      </c>
      <c r="E21">
        <v>82.5</v>
      </c>
      <c r="F21">
        <v>22.3</v>
      </c>
      <c r="G21">
        <v>96.5</v>
      </c>
      <c r="H21">
        <v>13.1</v>
      </c>
      <c r="I21">
        <v>8.48</v>
      </c>
      <c r="J21">
        <v>5.4</v>
      </c>
      <c r="K21">
        <v>6</v>
      </c>
      <c r="L21">
        <v>11</v>
      </c>
      <c r="M21">
        <v>5.4</v>
      </c>
      <c r="N21">
        <v>6</v>
      </c>
      <c r="O21">
        <v>11</v>
      </c>
      <c r="P21">
        <v>11.4</v>
      </c>
      <c r="Q21">
        <v>13.59</v>
      </c>
      <c r="R21">
        <v>17.12</v>
      </c>
      <c r="S21">
        <v>24.08</v>
      </c>
      <c r="T21">
        <v>21.81</v>
      </c>
      <c r="U21">
        <v>26.66</v>
      </c>
      <c r="V21">
        <v>3.4</v>
      </c>
      <c r="W21">
        <v>1.8</v>
      </c>
      <c r="X21">
        <v>15</v>
      </c>
      <c r="Y21">
        <v>30</v>
      </c>
      <c r="Z21">
        <v>0.9</v>
      </c>
      <c r="AA21">
        <v>1</v>
      </c>
      <c r="AB21"/>
      <c r="AC21"/>
      <c r="AD21"/>
      <c r="AE21">
        <v>2</v>
      </c>
      <c r="AF21">
        <v>50</v>
      </c>
      <c r="AG21">
        <v>90</v>
      </c>
      <c r="AH21">
        <v>10</v>
      </c>
      <c r="AI21">
        <v>3.2</v>
      </c>
      <c r="AJ21">
        <v>0.2</v>
      </c>
      <c r="AK21">
        <v>7.9</v>
      </c>
      <c r="AN21" s="917">
        <v>6</v>
      </c>
      <c r="AO21" s="918">
        <v>0</v>
      </c>
      <c r="AP21" s="918">
        <v>0</v>
      </c>
      <c r="AQ21" s="919">
        <v>0</v>
      </c>
    </row>
    <row r="22" spans="1:43" x14ac:dyDescent="0.2">
      <c r="A22" s="860"/>
      <c r="B22" s="125" t="s">
        <v>231</v>
      </c>
      <c r="C22">
        <v>1</v>
      </c>
      <c r="D22">
        <v>1</v>
      </c>
      <c r="E22">
        <v>109</v>
      </c>
      <c r="F22">
        <v>37</v>
      </c>
      <c r="G22">
        <v>129</v>
      </c>
      <c r="H22">
        <v>19</v>
      </c>
      <c r="I22">
        <v>9.6</v>
      </c>
      <c r="J22">
        <v>4</v>
      </c>
      <c r="K22">
        <v>6</v>
      </c>
      <c r="L22">
        <v>11</v>
      </c>
      <c r="M22">
        <v>4</v>
      </c>
      <c r="N22">
        <v>6</v>
      </c>
      <c r="O22">
        <v>11</v>
      </c>
      <c r="P22">
        <v>14.4</v>
      </c>
      <c r="Q22">
        <v>18.190000000000001</v>
      </c>
      <c r="R22">
        <v>23.02</v>
      </c>
      <c r="S22">
        <v>20.64</v>
      </c>
      <c r="T22">
        <v>20.079999999999998</v>
      </c>
      <c r="U22">
        <v>22.92</v>
      </c>
      <c r="V22">
        <v>6</v>
      </c>
      <c r="W22">
        <v>1.8</v>
      </c>
      <c r="X22">
        <v>15</v>
      </c>
      <c r="Y22">
        <v>30</v>
      </c>
      <c r="Z22">
        <v>0.9</v>
      </c>
      <c r="AA22">
        <v>1</v>
      </c>
      <c r="AB22"/>
      <c r="AC22"/>
      <c r="AD22"/>
      <c r="AE22">
        <v>2</v>
      </c>
      <c r="AF22">
        <v>50</v>
      </c>
      <c r="AG22">
        <v>90</v>
      </c>
      <c r="AH22">
        <v>10</v>
      </c>
      <c r="AI22">
        <v>3.2</v>
      </c>
      <c r="AJ22">
        <v>0.2</v>
      </c>
      <c r="AK22">
        <v>7.9</v>
      </c>
      <c r="AN22" s="917">
        <v>7</v>
      </c>
      <c r="AO22" s="918">
        <v>0</v>
      </c>
      <c r="AP22" s="918">
        <v>0</v>
      </c>
      <c r="AQ22" s="919">
        <v>0</v>
      </c>
    </row>
    <row r="23" spans="1:43" x14ac:dyDescent="0.2">
      <c r="A23" s="860"/>
      <c r="B23" s="125" t="s">
        <v>232</v>
      </c>
      <c r="C23">
        <v>1</v>
      </c>
      <c r="D23">
        <v>1</v>
      </c>
      <c r="E23">
        <v>124</v>
      </c>
      <c r="F23">
        <v>43</v>
      </c>
      <c r="G23">
        <v>134</v>
      </c>
      <c r="H23">
        <v>20</v>
      </c>
      <c r="I23">
        <v>9.5299999999999994</v>
      </c>
      <c r="J23">
        <v>4</v>
      </c>
      <c r="K23">
        <v>6</v>
      </c>
      <c r="L23">
        <v>11</v>
      </c>
      <c r="M23">
        <v>4</v>
      </c>
      <c r="N23">
        <v>6</v>
      </c>
      <c r="O23">
        <v>11</v>
      </c>
      <c r="P23">
        <v>15</v>
      </c>
      <c r="Q23">
        <v>18.989999999999998</v>
      </c>
      <c r="R23">
        <v>24.02</v>
      </c>
      <c r="S23">
        <v>20.309999999999999</v>
      </c>
      <c r="T23">
        <v>19.649999999999999</v>
      </c>
      <c r="U23">
        <v>22.31</v>
      </c>
      <c r="V23">
        <v>6.4</v>
      </c>
      <c r="W23">
        <v>1.8</v>
      </c>
      <c r="X23">
        <v>15</v>
      </c>
      <c r="Y23">
        <v>30</v>
      </c>
      <c r="Z23">
        <v>0.9</v>
      </c>
      <c r="AA23">
        <v>1</v>
      </c>
      <c r="AB23"/>
      <c r="AC23"/>
      <c r="AD23"/>
      <c r="AE23">
        <v>2</v>
      </c>
      <c r="AF23">
        <v>50</v>
      </c>
      <c r="AG23">
        <v>90</v>
      </c>
      <c r="AH23">
        <v>10</v>
      </c>
      <c r="AI23">
        <v>3.2</v>
      </c>
      <c r="AJ23">
        <v>0.2</v>
      </c>
      <c r="AK23">
        <v>7.9</v>
      </c>
      <c r="AN23" s="917">
        <v>8</v>
      </c>
      <c r="AO23" s="918">
        <v>0</v>
      </c>
      <c r="AP23" s="918">
        <v>0</v>
      </c>
      <c r="AQ23" s="919">
        <v>0</v>
      </c>
    </row>
    <row r="24" spans="1:43" ht="13.5" thickBot="1" x14ac:dyDescent="0.25">
      <c r="A24" s="860"/>
      <c r="B24" s="125" t="s">
        <v>233</v>
      </c>
      <c r="C24">
        <v>1</v>
      </c>
      <c r="D24">
        <v>1</v>
      </c>
      <c r="E24">
        <v>141</v>
      </c>
      <c r="F24">
        <v>48</v>
      </c>
      <c r="G24">
        <v>143</v>
      </c>
      <c r="H24">
        <v>21</v>
      </c>
      <c r="I24">
        <v>9.61</v>
      </c>
      <c r="J24">
        <v>5</v>
      </c>
      <c r="K24">
        <v>6</v>
      </c>
      <c r="L24">
        <v>11</v>
      </c>
      <c r="M24">
        <v>5</v>
      </c>
      <c r="N24">
        <v>6</v>
      </c>
      <c r="O24">
        <v>11</v>
      </c>
      <c r="P24">
        <v>16</v>
      </c>
      <c r="Q24">
        <v>19.79</v>
      </c>
      <c r="R24">
        <v>25.02</v>
      </c>
      <c r="S24">
        <v>21.66</v>
      </c>
      <c r="T24">
        <v>19.41</v>
      </c>
      <c r="U24">
        <v>21.87</v>
      </c>
      <c r="V24">
        <v>6.8</v>
      </c>
      <c r="W24">
        <v>1.8</v>
      </c>
      <c r="X24">
        <v>15</v>
      </c>
      <c r="Y24">
        <v>30</v>
      </c>
      <c r="Z24">
        <v>0.9</v>
      </c>
      <c r="AA24">
        <v>1</v>
      </c>
      <c r="AB24"/>
      <c r="AC24"/>
      <c r="AD24"/>
      <c r="AE24">
        <v>2</v>
      </c>
      <c r="AF24">
        <v>50</v>
      </c>
      <c r="AG24">
        <v>90</v>
      </c>
      <c r="AH24">
        <v>10</v>
      </c>
      <c r="AI24">
        <v>3.2</v>
      </c>
      <c r="AJ24">
        <v>0.2</v>
      </c>
      <c r="AK24">
        <v>7.9</v>
      </c>
      <c r="AN24" s="920">
        <v>9</v>
      </c>
      <c r="AO24" s="921">
        <v>0</v>
      </c>
      <c r="AP24" s="921">
        <v>0</v>
      </c>
      <c r="AQ24" s="922">
        <v>0</v>
      </c>
    </row>
    <row r="25" spans="1:43" x14ac:dyDescent="0.2">
      <c r="A25" s="860"/>
      <c r="B25" s="947"/>
      <c r="C25" s="892"/>
      <c r="D25" s="923"/>
      <c r="E25" s="924"/>
      <c r="F25" s="925"/>
      <c r="G25" s="926"/>
      <c r="H25" s="927"/>
      <c r="I25" s="923"/>
      <c r="J25" s="899"/>
      <c r="K25" s="865"/>
      <c r="L25" s="900"/>
      <c r="M25" s="928"/>
      <c r="N25" s="926"/>
      <c r="O25" s="926"/>
      <c r="P25" s="926"/>
      <c r="Q25" s="925"/>
      <c r="R25" s="929"/>
      <c r="S25" s="915"/>
      <c r="T25" s="916"/>
      <c r="V25" s="923"/>
      <c r="W25" s="927"/>
      <c r="X25" s="927"/>
      <c r="Y25" s="930"/>
    </row>
    <row r="26" spans="1:43" x14ac:dyDescent="0.2">
      <c r="A26" s="860"/>
      <c r="B26" s="1117" t="s">
        <v>235</v>
      </c>
      <c r="C26" s="1118">
        <v>0</v>
      </c>
      <c r="D26" s="1119">
        <f>+'Nährstoffe und Lagerraum'!BD12</f>
        <v>1</v>
      </c>
      <c r="E26" s="1120">
        <f>+$D26</f>
        <v>1</v>
      </c>
      <c r="F26" s="1120">
        <f t="shared" ref="F26:Y27" si="0">+$D26</f>
        <v>1</v>
      </c>
      <c r="G26" s="1120">
        <f t="shared" si="0"/>
        <v>1</v>
      </c>
      <c r="H26" s="1121">
        <f t="shared" si="0"/>
        <v>1</v>
      </c>
      <c r="I26" s="1121">
        <f t="shared" si="0"/>
        <v>1</v>
      </c>
      <c r="J26" s="1122">
        <f t="shared" si="0"/>
        <v>1</v>
      </c>
      <c r="K26" s="1123">
        <f t="shared" si="0"/>
        <v>1</v>
      </c>
      <c r="L26" s="1124">
        <f t="shared" si="0"/>
        <v>1</v>
      </c>
      <c r="M26" s="1125">
        <f t="shared" si="0"/>
        <v>1</v>
      </c>
      <c r="N26" s="1125">
        <f t="shared" si="0"/>
        <v>1</v>
      </c>
      <c r="O26" s="1125">
        <f t="shared" si="0"/>
        <v>1</v>
      </c>
      <c r="P26" s="1120">
        <f t="shared" si="0"/>
        <v>1</v>
      </c>
      <c r="Q26" s="1120">
        <f t="shared" si="0"/>
        <v>1</v>
      </c>
      <c r="R26" s="1121">
        <f t="shared" si="0"/>
        <v>1</v>
      </c>
      <c r="S26" s="1121">
        <f t="shared" si="0"/>
        <v>1</v>
      </c>
      <c r="T26" s="1121">
        <f t="shared" si="0"/>
        <v>1</v>
      </c>
      <c r="U26" s="1121">
        <f t="shared" si="0"/>
        <v>1</v>
      </c>
      <c r="V26" s="1120">
        <f t="shared" si="0"/>
        <v>1</v>
      </c>
      <c r="W26" s="1120">
        <f t="shared" si="0"/>
        <v>1</v>
      </c>
      <c r="X26" s="1120">
        <f t="shared" si="0"/>
        <v>1</v>
      </c>
      <c r="Y26" s="1120">
        <f t="shared" si="0"/>
        <v>1</v>
      </c>
    </row>
    <row r="27" spans="1:43" x14ac:dyDescent="0.2">
      <c r="A27" s="860"/>
      <c r="B27" s="1117" t="s">
        <v>197</v>
      </c>
      <c r="C27" s="1118">
        <v>0</v>
      </c>
      <c r="D27" s="1119">
        <f>+'Nährstoffe und Lagerraum'!B12</f>
        <v>0</v>
      </c>
      <c r="E27" s="1120">
        <f>+$D27</f>
        <v>0</v>
      </c>
      <c r="F27" s="1120">
        <f t="shared" si="0"/>
        <v>0</v>
      </c>
      <c r="G27" s="1120">
        <f t="shared" si="0"/>
        <v>0</v>
      </c>
      <c r="H27" s="1121">
        <f t="shared" si="0"/>
        <v>0</v>
      </c>
      <c r="I27" s="1121">
        <f t="shared" si="0"/>
        <v>0</v>
      </c>
      <c r="J27" s="1122">
        <f t="shared" si="0"/>
        <v>0</v>
      </c>
      <c r="K27" s="1123">
        <f t="shared" si="0"/>
        <v>0</v>
      </c>
      <c r="L27" s="1124">
        <f t="shared" si="0"/>
        <v>0</v>
      </c>
      <c r="M27" s="1125">
        <f t="shared" si="0"/>
        <v>0</v>
      </c>
      <c r="N27" s="1125">
        <f t="shared" si="0"/>
        <v>0</v>
      </c>
      <c r="O27" s="1125">
        <f t="shared" si="0"/>
        <v>0</v>
      </c>
      <c r="P27" s="1120">
        <f t="shared" si="0"/>
        <v>0</v>
      </c>
      <c r="Q27" s="1120">
        <f t="shared" si="0"/>
        <v>0</v>
      </c>
      <c r="R27" s="1121">
        <f t="shared" si="0"/>
        <v>0</v>
      </c>
      <c r="S27" s="1121">
        <f t="shared" si="0"/>
        <v>0</v>
      </c>
      <c r="T27" s="1121">
        <f t="shared" si="0"/>
        <v>0</v>
      </c>
      <c r="U27" s="1121">
        <f t="shared" si="0"/>
        <v>0</v>
      </c>
      <c r="V27" s="1120">
        <f t="shared" si="0"/>
        <v>0</v>
      </c>
      <c r="W27" s="1120">
        <f t="shared" si="0"/>
        <v>0</v>
      </c>
      <c r="X27" s="1120">
        <f t="shared" si="0"/>
        <v>0</v>
      </c>
      <c r="Y27" s="1120">
        <f t="shared" si="0"/>
        <v>0</v>
      </c>
    </row>
    <row r="28" spans="1:43" x14ac:dyDescent="0.2">
      <c r="A28" s="860"/>
      <c r="B28" s="1117" t="s">
        <v>236</v>
      </c>
      <c r="C28" s="1118">
        <v>0</v>
      </c>
      <c r="D28" s="1126">
        <f t="shared" ref="D28:L28" si="1">IF(D27&lt;=6000,D14,IF(AND(D27&gt;6000,D27&lt;=8000),D14+(D15-D14)/2000*(D27-6000),IF(AND(D27&gt;8000,D27&lt;=10000),D15+(D16-D15)/2000*(D27-8000),IF(AND(D27&gt;10000,D27&lt;=12000),D16+(D17-D16)/2000*(D27-10000),D17))))</f>
        <v>1</v>
      </c>
      <c r="E28" s="1126">
        <f t="shared" si="1"/>
        <v>100</v>
      </c>
      <c r="F28" s="1126">
        <f t="shared" si="1"/>
        <v>36</v>
      </c>
      <c r="G28" s="1126">
        <f t="shared" si="1"/>
        <v>104</v>
      </c>
      <c r="H28" s="1126">
        <f t="shared" si="1"/>
        <v>19</v>
      </c>
      <c r="I28" s="1126">
        <f t="shared" si="1"/>
        <v>8.9</v>
      </c>
      <c r="J28" s="1127">
        <f t="shared" si="1"/>
        <v>4</v>
      </c>
      <c r="K28" s="1128">
        <f t="shared" si="1"/>
        <v>6</v>
      </c>
      <c r="L28" s="1129">
        <f t="shared" si="1"/>
        <v>11</v>
      </c>
      <c r="M28" s="1126">
        <f t="shared" ref="M28:X28" si="2">IF(M27&lt;=6000,M14,IF(AND(M27&gt;6000,M27&lt;=8000),M14+(M15-M14)/2000*(M27-6000),IF(AND(M27&gt;8000,M27&lt;=10000),M15+(M16-M15)/2000*(M27-8000),IF(AND(M27&gt;10000,M27&lt;=12000),M16+(M17-M16)/2000*(M27-10000),M17))))</f>
        <v>4</v>
      </c>
      <c r="N28" s="1126">
        <f t="shared" ref="N28:O28" si="3">IF(N27&lt;=6000,N14,IF(AND(N27&gt;6000,N27&lt;=8000),N14+(N15-N14)/2000*(N27-6000),IF(AND(N27&gt;8000,N27&lt;=10000),N15+(N16-N15)/2000*(N27-8000),IF(AND(N27&gt;10000,N27&lt;=12000),N16+(N17-N16)/2000*(N27-10000),N17))))</f>
        <v>6</v>
      </c>
      <c r="O28" s="1126">
        <f t="shared" si="3"/>
        <v>11</v>
      </c>
      <c r="P28" s="1126">
        <f t="shared" si="2"/>
        <v>14.4</v>
      </c>
      <c r="Q28" s="1126">
        <f t="shared" si="2"/>
        <v>18.190000000000001</v>
      </c>
      <c r="R28" s="1126">
        <f t="shared" si="2"/>
        <v>23.02</v>
      </c>
      <c r="S28" s="1126">
        <f t="shared" si="2"/>
        <v>19.71</v>
      </c>
      <c r="T28" s="1126">
        <f t="shared" ref="T28:U28" si="4">IF(T27&lt;=6000,T14,IF(AND(T27&gt;6000,T27&lt;=8000),T14+(T15-T14)/2000*(T27-6000),IF(AND(T27&gt;8000,T27&lt;=10000),T15+(T16-T15)/2000*(T27-8000),IF(AND(T27&gt;10000,T27&lt;=12000),T16+(T17-T16)/2000*(T27-10000),T17))))</f>
        <v>19.350000000000001</v>
      </c>
      <c r="U28" s="1126">
        <f t="shared" si="4"/>
        <v>22.35</v>
      </c>
      <c r="V28" s="1126">
        <f>IF(V27&lt;=6000,V14,IF(AND(V27&gt;6000,V27&lt;=8000),V14+(V15-V14)/2000*(V27-6000),IF(AND(V27&gt;8000,V27&lt;=10000),V15+(V16-V15)/2000*(V27-8000),IF(AND(V27&gt;10000,V27&lt;=12000),V16+(V17-V16)/2000*(V27-10000),V17))))</f>
        <v>6</v>
      </c>
      <c r="W28" s="1126">
        <f>IF(W27&lt;=6000,W14,IF(AND(W27&gt;6000,W27&lt;=8000),W14+(W15-W14)/2000*(W27-6000),IF(AND(W27&gt;8000,W27&lt;=10000),W15+(W16-W15)/2000*(W27-8000),IF(AND(W27&gt;10000,W27&lt;=12000),W16+(W17-W16)/2000*(W27-10000),W17))))</f>
        <v>1.8</v>
      </c>
      <c r="X28" s="1126">
        <f t="shared" si="2"/>
        <v>15</v>
      </c>
      <c r="Y28" s="1126">
        <f>IF(Y27&lt;=6000,Y14,IF(AND(Y27&gt;6000,Y27&lt;=8000),Y14+(Y15-Y14)/2000*(Y27-6000),IF(AND(Y27&gt;8000,Y27&lt;=10000),Y15+(Y16-Y15)/2000*(Y27-8000),IF(AND(Y27&gt;10000,Y27&lt;=12000),Y16+(Y17-Y16)/2000*(Y27-10000),Y17))))</f>
        <v>30</v>
      </c>
      <c r="Z28" s="932"/>
    </row>
    <row r="29" spans="1:43" x14ac:dyDescent="0.2">
      <c r="A29" s="860"/>
      <c r="B29" s="1117" t="s">
        <v>237</v>
      </c>
      <c r="C29" s="1118">
        <v>0</v>
      </c>
      <c r="D29" s="1126">
        <f>IF(D27&lt;=6000,D22,IF(AND(D27&gt;6000,D27&lt;=8000),D22+(D23-D22)/2000*(D27-6000),IF(AND(D27&gt;8000,D27&lt;=10000),D23+(D24-D23)/2000*(D27-8000),D24)))</f>
        <v>1</v>
      </c>
      <c r="E29" s="1126">
        <f>IF(E27&lt;=6000,E22,IF(AND(E27&gt;6000,E27&lt;=8000),E22+(E23-E22)/2000*(E27-6000),IF(AND(E27&gt;8000,E27&lt;=10000),E23+(E24-E23)/2000*(E27-8000),E24)))</f>
        <v>109</v>
      </c>
      <c r="F29" s="1126">
        <f t="shared" ref="F29:Y29" si="5">IF(F27&lt;=6000,F22,IF(AND(F27&gt;6000,F27&lt;=8000),F22+(F23-F22)/2000*(F27-6000),IF(AND(F27&gt;8000,F27&lt;=10000),F23+(F24-F23)/2000*(F27-8000),F24)))</f>
        <v>37</v>
      </c>
      <c r="G29" s="1126">
        <f t="shared" si="5"/>
        <v>129</v>
      </c>
      <c r="H29" s="1126">
        <f t="shared" si="5"/>
        <v>19</v>
      </c>
      <c r="I29" s="1126">
        <f>IF(I27&lt;=6000,I22,IF(AND(I27&gt;6000,I27&lt;=8000),I22+(I23-I22)/2000*(I27-6000),IF(AND(I27&gt;8000,I27&lt;=10000),I23+(I24-I23)/2000*(I27-8000),I24)))</f>
        <v>9.6</v>
      </c>
      <c r="J29" s="1127">
        <f>IF(J27&lt;=6000,J22,IF(AND(J27&gt;6000,J27&lt;=8000),J22+(J23-J22)/2000*(J27-6000),IF(AND(J27&gt;8000,J27&lt;=10000),J23+(J24-J23)/2000*(J27-8000),J24)))</f>
        <v>4</v>
      </c>
      <c r="K29" s="1128">
        <f>IF(K27&lt;=6000,K22,IF(AND(K27&gt;6000,K27&lt;=8000),K22+(K23-K22)/2000*(K27-6000),IF(AND(K27&gt;8000,K27&lt;=10000),K23+(K24-K23)/2000*(K27-8000),K24)))</f>
        <v>6</v>
      </c>
      <c r="L29" s="1129">
        <f>IF(L27&lt;=6000,L22,IF(AND(L27&gt;6000,L27&lt;=8000),L22+(L23-L22)/2000*(L27-6000),IF(AND(L27&gt;8000,L27&lt;=10000),L23+(L24-L23)/2000*(L27-8000),L24)))</f>
        <v>11</v>
      </c>
      <c r="M29" s="1126">
        <f t="shared" si="5"/>
        <v>4</v>
      </c>
      <c r="N29" s="1126">
        <f t="shared" ref="N29:O29" si="6">IF(N27&lt;=6000,N22,IF(AND(N27&gt;6000,N27&lt;=8000),N22+(N23-N22)/2000*(N27-6000),IF(AND(N27&gt;8000,N27&lt;=10000),N23+(N24-N23)/2000*(N27-8000),N24)))</f>
        <v>6</v>
      </c>
      <c r="O29" s="1126">
        <f t="shared" si="6"/>
        <v>11</v>
      </c>
      <c r="P29" s="1126">
        <f t="shared" si="5"/>
        <v>14.4</v>
      </c>
      <c r="Q29" s="1126">
        <f t="shared" si="5"/>
        <v>18.190000000000001</v>
      </c>
      <c r="R29" s="1126">
        <f t="shared" si="5"/>
        <v>23.02</v>
      </c>
      <c r="S29" s="1126">
        <f t="shared" si="5"/>
        <v>20.64</v>
      </c>
      <c r="T29" s="1126">
        <f t="shared" ref="T29:U29" si="7">IF(T27&lt;=6000,T22,IF(AND(T27&gt;6000,T27&lt;=8000),T22+(T23-T22)/2000*(T27-6000),IF(AND(T27&gt;8000,T27&lt;=10000),T23+(T24-T23)/2000*(T27-8000),T24)))</f>
        <v>20.079999999999998</v>
      </c>
      <c r="U29" s="1126">
        <f t="shared" si="7"/>
        <v>22.92</v>
      </c>
      <c r="V29" s="1126">
        <f t="shared" si="5"/>
        <v>6</v>
      </c>
      <c r="W29" s="1126">
        <f t="shared" si="5"/>
        <v>1.8</v>
      </c>
      <c r="X29" s="1126">
        <f t="shared" si="5"/>
        <v>15</v>
      </c>
      <c r="Y29" s="1126">
        <f t="shared" si="5"/>
        <v>30</v>
      </c>
      <c r="Z29" s="932"/>
    </row>
    <row r="30" spans="1:43" x14ac:dyDescent="0.2">
      <c r="A30" s="860"/>
      <c r="B30"/>
      <c r="C30" s="892">
        <v>0</v>
      </c>
      <c r="D30" s="924"/>
      <c r="E30" s="924"/>
      <c r="F30" s="924"/>
      <c r="G30" s="924"/>
      <c r="H30" s="927"/>
      <c r="I30" s="923"/>
      <c r="J30" s="899"/>
      <c r="K30" s="865"/>
      <c r="L30" s="900"/>
      <c r="M30" s="931"/>
      <c r="N30" s="931"/>
      <c r="O30" s="931"/>
      <c r="P30" s="924"/>
      <c r="Q30" s="924"/>
      <c r="R30" s="927"/>
      <c r="S30" s="915"/>
      <c r="T30" s="916"/>
      <c r="U30" s="916"/>
      <c r="V30" s="924"/>
      <c r="W30" s="924"/>
      <c r="X30" s="924"/>
      <c r="Y30" s="924"/>
    </row>
    <row r="31" spans="1:43" s="1132" customFormat="1" x14ac:dyDescent="0.2">
      <c r="A31" s="860"/>
      <c r="B31" t="s">
        <v>7957</v>
      </c>
      <c r="C31" s="892"/>
      <c r="D31" s="926"/>
      <c r="E31" s="926"/>
      <c r="F31" s="926"/>
      <c r="G31" s="926"/>
      <c r="H31" s="926"/>
      <c r="I31" s="926"/>
      <c r="J31" s="899"/>
      <c r="K31" s="865"/>
      <c r="L31" s="900"/>
      <c r="M31" s="926"/>
      <c r="N31" s="926"/>
      <c r="O31" s="926"/>
      <c r="P31" s="926"/>
      <c r="Q31" s="926"/>
      <c r="R31" s="926"/>
      <c r="S31" s="916"/>
      <c r="T31" s="916"/>
      <c r="U31" s="916"/>
      <c r="V31" s="926"/>
      <c r="W31" s="926"/>
      <c r="X31" s="926"/>
      <c r="Y31" s="926"/>
      <c r="Z31" s="841"/>
      <c r="AA31" s="1133"/>
      <c r="AB31" s="1133"/>
      <c r="AC31" s="1133"/>
      <c r="AI31" s="1133"/>
    </row>
    <row r="32" spans="1:43" x14ac:dyDescent="0.2">
      <c r="A32" s="860"/>
      <c r="B32" t="s">
        <v>20</v>
      </c>
      <c r="C32">
        <v>1</v>
      </c>
      <c r="D32">
        <v>1</v>
      </c>
      <c r="E32" s="126">
        <f>IF(E$26&lt;=0.65,E28,IF(E$26&gt;=0.85,E29,((0.85-E$26)*5*E28)+((E$26-0.65)*5*E29)))</f>
        <v>109</v>
      </c>
      <c r="F32" s="126">
        <f t="shared" ref="F32:Y32" si="8">IF(F$26&lt;=0.65,F28,IF(F$26&gt;=0.85,F29,((0.85-F$26)*5*F28)+((F$26-0.65)*5*F29)))</f>
        <v>37</v>
      </c>
      <c r="G32" s="126">
        <f t="shared" si="8"/>
        <v>129</v>
      </c>
      <c r="H32" s="126">
        <f t="shared" ref="H32:L32" si="9">IF(H$26&lt;=0.65,H28,IF(H$26&gt;=0.85,H29,((0.85-H$26)*5*H28)+((H$26-0.65)*5*H29)))</f>
        <v>19</v>
      </c>
      <c r="I32" s="126">
        <f t="shared" si="9"/>
        <v>9.6</v>
      </c>
      <c r="J32" s="202">
        <f t="shared" si="9"/>
        <v>4</v>
      </c>
      <c r="K32" s="200">
        <f t="shared" si="9"/>
        <v>6</v>
      </c>
      <c r="L32" s="201">
        <f t="shared" si="9"/>
        <v>11</v>
      </c>
      <c r="M32" s="126">
        <f t="shared" si="8"/>
        <v>4</v>
      </c>
      <c r="N32" s="126">
        <f t="shared" si="8"/>
        <v>6</v>
      </c>
      <c r="O32" s="126">
        <f t="shared" si="8"/>
        <v>11</v>
      </c>
      <c r="P32" s="126">
        <f>IF(P$26&lt;=0.65,P28,IF(P$26&gt;=0.85,P29,((0.85-P$26)*5*P28)+((P$26-0.65)*5*P29)))</f>
        <v>14.4</v>
      </c>
      <c r="Q32" s="126">
        <f t="shared" si="8"/>
        <v>18.190000000000001</v>
      </c>
      <c r="R32" s="126">
        <f t="shared" si="8"/>
        <v>23.02</v>
      </c>
      <c r="S32" s="126">
        <f t="shared" si="8"/>
        <v>20.64</v>
      </c>
      <c r="T32" s="126">
        <f t="shared" si="8"/>
        <v>20.079999999999998</v>
      </c>
      <c r="U32" s="126">
        <f t="shared" si="8"/>
        <v>22.92</v>
      </c>
      <c r="V32" s="126">
        <f t="shared" si="8"/>
        <v>6</v>
      </c>
      <c r="W32">
        <v>1.8</v>
      </c>
      <c r="X32" s="126">
        <f t="shared" si="8"/>
        <v>15</v>
      </c>
      <c r="Y32" s="126">
        <f t="shared" si="8"/>
        <v>30</v>
      </c>
      <c r="Z32">
        <v>0.9</v>
      </c>
      <c r="AA32">
        <v>1</v>
      </c>
      <c r="AB32"/>
      <c r="AC32"/>
      <c r="AD32"/>
      <c r="AE32">
        <v>2</v>
      </c>
      <c r="AF32">
        <v>50</v>
      </c>
      <c r="AG32">
        <v>90</v>
      </c>
      <c r="AH32">
        <v>10</v>
      </c>
      <c r="AI32">
        <v>3.2</v>
      </c>
      <c r="AJ32">
        <v>0.2</v>
      </c>
      <c r="AK32">
        <v>7.9</v>
      </c>
    </row>
    <row r="33" spans="1:37" x14ac:dyDescent="0.2">
      <c r="A33" s="860"/>
      <c r="B33" t="s">
        <v>7803</v>
      </c>
      <c r="C33">
        <v>1</v>
      </c>
      <c r="D33">
        <v>0.2</v>
      </c>
      <c r="E33">
        <v>21.81</v>
      </c>
      <c r="F33">
        <v>7.4</v>
      </c>
      <c r="G33">
        <v>22.24</v>
      </c>
      <c r="H33">
        <v>4.08</v>
      </c>
      <c r="I33">
        <v>9.19</v>
      </c>
      <c r="J33">
        <v>3.6</v>
      </c>
      <c r="K33">
        <v>6</v>
      </c>
      <c r="L33">
        <v>11</v>
      </c>
      <c r="M33">
        <v>0.72</v>
      </c>
      <c r="N33">
        <v>1.2</v>
      </c>
      <c r="O33">
        <v>2.2000000000000002</v>
      </c>
      <c r="P33">
        <v>3.15</v>
      </c>
      <c r="Q33">
        <v>3.88</v>
      </c>
      <c r="R33">
        <v>4.88</v>
      </c>
      <c r="S33">
        <v>18.350000000000001</v>
      </c>
      <c r="T33">
        <v>19.079999999999998</v>
      </c>
      <c r="U33">
        <v>21.83</v>
      </c>
      <c r="V33">
        <v>1.28</v>
      </c>
      <c r="W33">
        <v>1.8</v>
      </c>
      <c r="X33">
        <v>15</v>
      </c>
      <c r="Y33">
        <v>30</v>
      </c>
      <c r="Z33">
        <v>0.9</v>
      </c>
      <c r="AA33">
        <v>1</v>
      </c>
      <c r="AB33"/>
      <c r="AC33"/>
      <c r="AD33"/>
      <c r="AE33">
        <v>2</v>
      </c>
      <c r="AF33">
        <v>50</v>
      </c>
      <c r="AG33">
        <v>90</v>
      </c>
      <c r="AH33">
        <v>10</v>
      </c>
      <c r="AI33">
        <v>3.2</v>
      </c>
      <c r="AJ33">
        <v>0.2</v>
      </c>
      <c r="AK33">
        <v>7.9</v>
      </c>
    </row>
    <row r="34" spans="1:37" x14ac:dyDescent="0.2">
      <c r="A34" s="860"/>
      <c r="B34" t="s">
        <v>7805</v>
      </c>
      <c r="C34">
        <v>1</v>
      </c>
      <c r="D34">
        <v>0.4</v>
      </c>
      <c r="E34" s="126">
        <f>IF(E$26&lt;=0.65,E11,IF(E$26&gt;=0.85,E19,((0.85-E$26)*5*E11)+((E$26-0.65)*5*E19)))</f>
        <v>46.2</v>
      </c>
      <c r="F34" s="126">
        <f t="shared" ref="F34:Y34" si="10">IF(F$26&lt;=0.65,F11,IF(F$26&gt;=0.85,F19,((0.85-F$26)*5*F11)+((F$26-0.65)*5*F19)))</f>
        <v>13.5</v>
      </c>
      <c r="G34" s="126">
        <f t="shared" si="10"/>
        <v>56</v>
      </c>
      <c r="H34">
        <v>7.6</v>
      </c>
      <c r="I34" s="126">
        <f>IF(I$26&lt;=0.65,I11,IF(I$26&gt;=0.85,I19,((0.85-I$26)*5*I11)+((I$26-0.65)*5*I19)))</f>
        <v>8.15</v>
      </c>
      <c r="J34">
        <v>5.4</v>
      </c>
      <c r="K34">
        <v>6</v>
      </c>
      <c r="L34">
        <v>11</v>
      </c>
      <c r="M34">
        <v>2.16</v>
      </c>
      <c r="N34">
        <v>2.4</v>
      </c>
      <c r="O34">
        <v>4.4000000000000004</v>
      </c>
      <c r="P34">
        <v>6.3</v>
      </c>
      <c r="Q34">
        <v>7.48</v>
      </c>
      <c r="R34">
        <v>9.2100000000000009</v>
      </c>
      <c r="S34" s="126">
        <f>IF(S$26&lt;=0.65,S11,IF(S$26&gt;=0.85,S19,((0.85-S$26)*5*S11)+((S$26-0.65)*5*S19)))</f>
        <v>20.02</v>
      </c>
      <c r="T34" s="126">
        <f t="shared" ref="T34:U34" si="11">IF(T$26&lt;=0.65,T11,IF(T$26&gt;=0.85,T19,((0.85-T$26)*5*T11)+((T$26-0.65)*5*T19)))</f>
        <v>18.11</v>
      </c>
      <c r="U34" s="126">
        <f t="shared" si="11"/>
        <v>21.72</v>
      </c>
      <c r="V34">
        <v>2</v>
      </c>
      <c r="W34">
        <v>1.8</v>
      </c>
      <c r="X34" s="126">
        <f t="shared" si="10"/>
        <v>15</v>
      </c>
      <c r="Y34" s="126">
        <f t="shared" si="10"/>
        <v>30</v>
      </c>
      <c r="Z34">
        <v>0.9</v>
      </c>
      <c r="AA34">
        <v>1</v>
      </c>
      <c r="AB34"/>
      <c r="AC34"/>
      <c r="AD34"/>
      <c r="AE34">
        <v>2</v>
      </c>
      <c r="AF34">
        <v>50</v>
      </c>
      <c r="AG34">
        <v>90</v>
      </c>
      <c r="AH34">
        <v>10</v>
      </c>
      <c r="AI34">
        <v>3.2</v>
      </c>
      <c r="AJ34">
        <v>0.2</v>
      </c>
      <c r="AK34">
        <v>7.9</v>
      </c>
    </row>
    <row r="35" spans="1:37" x14ac:dyDescent="0.2">
      <c r="A35" s="860"/>
      <c r="B35" t="s">
        <v>6</v>
      </c>
      <c r="C35">
        <v>1</v>
      </c>
      <c r="D35">
        <v>0.7</v>
      </c>
      <c r="E35" s="126">
        <f t="shared" ref="E35:Y35" si="12">IF(E$26&lt;=0.65,E12,IF(E$26&gt;=0.85,E20,((0.85-E$26)*5*E12)+((E$26-0.65)*5*E20)))</f>
        <v>70.7</v>
      </c>
      <c r="F35" s="126">
        <f t="shared" si="12"/>
        <v>20.2</v>
      </c>
      <c r="G35" s="126">
        <f t="shared" si="12"/>
        <v>90.7</v>
      </c>
      <c r="H35">
        <v>11.5</v>
      </c>
      <c r="I35" s="126">
        <f>IF(I$26&lt;=0.65,I12,IF(I$26&gt;=0.85,I20,((0.85-I$26)*5*I12)+((I$26-0.65)*5*I20)))</f>
        <v>8.2799999999999994</v>
      </c>
      <c r="J35">
        <v>5.4</v>
      </c>
      <c r="K35">
        <v>6</v>
      </c>
      <c r="L35">
        <v>11</v>
      </c>
      <c r="M35">
        <v>3.78</v>
      </c>
      <c r="N35">
        <v>4.2</v>
      </c>
      <c r="O35">
        <v>7.7</v>
      </c>
      <c r="P35">
        <v>10</v>
      </c>
      <c r="Q35">
        <v>11.53</v>
      </c>
      <c r="R35">
        <v>14.31</v>
      </c>
      <c r="S35" s="126">
        <f>IF(S$26&lt;=0.65,S12,IF(S$26&gt;=0.85,S20,((0.85-S$26)*5*S12)+((S$26-0.65)*5*S20)))</f>
        <v>20.85</v>
      </c>
      <c r="T35" s="126">
        <f t="shared" ref="T35:U35" si="13">IF(T$26&lt;=0.65,T12,IF(T$26&gt;=0.85,T20,((0.85-T$26)*5*T12)+((T$26-0.65)*5*T20)))</f>
        <v>19.46</v>
      </c>
      <c r="U35" s="126">
        <f t="shared" si="13"/>
        <v>23.54</v>
      </c>
      <c r="V35">
        <v>3</v>
      </c>
      <c r="W35">
        <v>1.8</v>
      </c>
      <c r="X35" s="126">
        <f t="shared" si="12"/>
        <v>15</v>
      </c>
      <c r="Y35" s="126">
        <f t="shared" si="12"/>
        <v>30</v>
      </c>
      <c r="Z35">
        <v>0.9</v>
      </c>
      <c r="AA35">
        <v>1</v>
      </c>
      <c r="AB35"/>
      <c r="AC35"/>
      <c r="AD35"/>
      <c r="AE35">
        <v>2</v>
      </c>
      <c r="AF35">
        <v>50</v>
      </c>
      <c r="AG35">
        <v>90</v>
      </c>
      <c r="AH35">
        <v>10</v>
      </c>
      <c r="AI35">
        <v>3.2</v>
      </c>
      <c r="AJ35">
        <v>0.2</v>
      </c>
      <c r="AK35">
        <v>7.9</v>
      </c>
    </row>
    <row r="36" spans="1:37" x14ac:dyDescent="0.2">
      <c r="A36" s="860"/>
      <c r="B36" t="s">
        <v>7</v>
      </c>
      <c r="C36">
        <v>1</v>
      </c>
      <c r="D36">
        <v>1</v>
      </c>
      <c r="E36" s="126">
        <f t="shared" ref="E36:Y36" si="14">IF(E$26&lt;=0.65,E13,IF(E$26&gt;=0.85,E21,((0.85-E$26)*5*E13)+((E$26-0.65)*5*E21)))</f>
        <v>82.5</v>
      </c>
      <c r="F36" s="126">
        <f t="shared" si="14"/>
        <v>22.3</v>
      </c>
      <c r="G36" s="126">
        <f t="shared" si="14"/>
        <v>96.5</v>
      </c>
      <c r="H36">
        <v>13.1</v>
      </c>
      <c r="I36" s="126">
        <f>IF(I$26&lt;=0.65,I13,IF(I$26&gt;=0.85,I21,((0.85-I$26)*5*I13)+((I$26-0.65)*5*I21)))</f>
        <v>8.48</v>
      </c>
      <c r="J36">
        <v>5.4</v>
      </c>
      <c r="K36">
        <v>6</v>
      </c>
      <c r="L36">
        <v>11</v>
      </c>
      <c r="M36">
        <v>5.4</v>
      </c>
      <c r="N36">
        <v>6</v>
      </c>
      <c r="O36">
        <v>11</v>
      </c>
      <c r="P36">
        <v>11.4</v>
      </c>
      <c r="Q36">
        <v>13.59</v>
      </c>
      <c r="R36">
        <v>17.12</v>
      </c>
      <c r="S36" s="126">
        <f>IF(S$26&lt;=0.65,S13,IF(S$26&gt;=0.85,S21,((0.85-S$26)*5*S13)+((S$26-0.65)*5*S21)))</f>
        <v>24.08</v>
      </c>
      <c r="T36" s="126">
        <f t="shared" ref="T36:U36" si="15">IF(T$26&lt;=0.65,T13,IF(T$26&gt;=0.85,T21,((0.85-T$26)*5*T13)+((T$26-0.65)*5*T21)))</f>
        <v>21.81</v>
      </c>
      <c r="U36" s="126">
        <f t="shared" si="15"/>
        <v>26.66</v>
      </c>
      <c r="V36">
        <v>3.4</v>
      </c>
      <c r="W36">
        <v>1.8</v>
      </c>
      <c r="X36" s="126">
        <f t="shared" si="14"/>
        <v>15</v>
      </c>
      <c r="Y36" s="126">
        <f t="shared" si="14"/>
        <v>30</v>
      </c>
      <c r="Z36">
        <v>0.9</v>
      </c>
      <c r="AA36">
        <v>1</v>
      </c>
      <c r="AB36"/>
      <c r="AC36"/>
      <c r="AD36"/>
      <c r="AE36">
        <v>2</v>
      </c>
      <c r="AF36">
        <v>50</v>
      </c>
      <c r="AG36">
        <v>90</v>
      </c>
      <c r="AH36">
        <v>10</v>
      </c>
      <c r="AI36">
        <v>3.2</v>
      </c>
      <c r="AJ36">
        <v>0.2</v>
      </c>
      <c r="AK36">
        <v>7.9</v>
      </c>
    </row>
    <row r="37" spans="1:37" x14ac:dyDescent="0.2">
      <c r="A37" s="860"/>
      <c r="B37" t="s">
        <v>7639</v>
      </c>
      <c r="C37">
        <v>1</v>
      </c>
      <c r="D37">
        <v>0.2</v>
      </c>
      <c r="E37">
        <v>19.559999999999999</v>
      </c>
      <c r="F37">
        <v>6.73</v>
      </c>
      <c r="G37">
        <v>11.9</v>
      </c>
      <c r="H37">
        <v>4</v>
      </c>
      <c r="I37">
        <v>6.06</v>
      </c>
      <c r="J37">
        <v>2.25</v>
      </c>
      <c r="K37">
        <v>6</v>
      </c>
      <c r="L37">
        <v>11</v>
      </c>
      <c r="M37">
        <v>0.45</v>
      </c>
      <c r="N37">
        <v>1.2</v>
      </c>
      <c r="O37">
        <v>2.2000000000000002</v>
      </c>
      <c r="P37">
        <v>3.74</v>
      </c>
      <c r="Q37">
        <v>4.13</v>
      </c>
      <c r="R37">
        <v>4.8</v>
      </c>
      <c r="S37">
        <v>9.9600000000000009</v>
      </c>
      <c r="T37">
        <v>14.85</v>
      </c>
      <c r="U37">
        <v>19.440000000000001</v>
      </c>
      <c r="V37">
        <v>0.62</v>
      </c>
      <c r="W37">
        <v>1.8</v>
      </c>
      <c r="X37">
        <v>15</v>
      </c>
      <c r="Y37">
        <v>30</v>
      </c>
      <c r="Z37">
        <v>0.9</v>
      </c>
      <c r="AA37">
        <v>1</v>
      </c>
      <c r="AB37"/>
      <c r="AC37"/>
      <c r="AD37"/>
      <c r="AE37">
        <v>2</v>
      </c>
      <c r="AF37">
        <v>50</v>
      </c>
      <c r="AG37">
        <v>90</v>
      </c>
      <c r="AH37">
        <v>10</v>
      </c>
      <c r="AI37">
        <v>3.2</v>
      </c>
      <c r="AJ37">
        <v>0.2</v>
      </c>
      <c r="AK37">
        <v>7.9</v>
      </c>
    </row>
    <row r="38" spans="1:37" x14ac:dyDescent="0.2">
      <c r="A38" s="860"/>
      <c r="B38" t="s">
        <v>7640</v>
      </c>
      <c r="C38">
        <v>1</v>
      </c>
      <c r="D38">
        <v>0.2</v>
      </c>
      <c r="E38">
        <v>18.190000000000001</v>
      </c>
      <c r="F38">
        <v>5.61</v>
      </c>
      <c r="G38">
        <v>11.41</v>
      </c>
      <c r="H38">
        <v>4</v>
      </c>
      <c r="I38">
        <v>6.06</v>
      </c>
      <c r="J38">
        <v>2.25</v>
      </c>
      <c r="K38">
        <v>6</v>
      </c>
      <c r="L38">
        <v>11</v>
      </c>
      <c r="M38">
        <v>0.45</v>
      </c>
      <c r="N38">
        <v>1.2</v>
      </c>
      <c r="O38">
        <v>2.2000000000000002</v>
      </c>
      <c r="P38">
        <v>3.74</v>
      </c>
      <c r="Q38">
        <v>4.13</v>
      </c>
      <c r="R38">
        <v>4.8</v>
      </c>
      <c r="S38">
        <v>9.9600000000000009</v>
      </c>
      <c r="T38">
        <v>14.85</v>
      </c>
      <c r="U38">
        <v>19.440000000000001</v>
      </c>
      <c r="V38">
        <v>0.62</v>
      </c>
      <c r="W38">
        <v>1.8</v>
      </c>
      <c r="X38">
        <v>15</v>
      </c>
      <c r="Y38">
        <v>30</v>
      </c>
      <c r="Z38">
        <v>0.9</v>
      </c>
      <c r="AA38">
        <v>2</v>
      </c>
      <c r="AB38"/>
      <c r="AC38"/>
      <c r="AD38"/>
      <c r="AE38">
        <v>2</v>
      </c>
      <c r="AF38">
        <v>50</v>
      </c>
      <c r="AG38">
        <v>90</v>
      </c>
      <c r="AH38">
        <v>10</v>
      </c>
      <c r="AI38">
        <v>3.2</v>
      </c>
      <c r="AJ38">
        <v>0.2</v>
      </c>
      <c r="AK38">
        <v>7.9</v>
      </c>
    </row>
    <row r="39" spans="1:37" x14ac:dyDescent="0.2">
      <c r="A39" s="933"/>
      <c r="B39" t="s">
        <v>53</v>
      </c>
      <c r="C39">
        <v>1</v>
      </c>
      <c r="D39">
        <v>0.4</v>
      </c>
      <c r="E39">
        <v>37.5</v>
      </c>
      <c r="F39">
        <v>14.5</v>
      </c>
      <c r="G39">
        <v>31.25</v>
      </c>
      <c r="H39">
        <v>7.1</v>
      </c>
      <c r="I39">
        <v>8.24</v>
      </c>
      <c r="J39">
        <v>1.8</v>
      </c>
      <c r="K39">
        <v>6</v>
      </c>
      <c r="L39">
        <v>11</v>
      </c>
      <c r="M39">
        <v>0.72</v>
      </c>
      <c r="N39">
        <v>2.4</v>
      </c>
      <c r="O39">
        <v>4.4000000000000004</v>
      </c>
      <c r="P39">
        <v>4.5</v>
      </c>
      <c r="Q39">
        <v>6.63</v>
      </c>
      <c r="R39">
        <v>8.7100000000000009</v>
      </c>
      <c r="S39">
        <v>16.940000000000001</v>
      </c>
      <c r="T39">
        <v>19.82</v>
      </c>
      <c r="U39">
        <v>22.57</v>
      </c>
      <c r="V39">
        <v>2.7</v>
      </c>
      <c r="W39">
        <v>1.8</v>
      </c>
      <c r="X39">
        <v>15</v>
      </c>
      <c r="Y39">
        <v>30</v>
      </c>
      <c r="Z39">
        <v>0.9</v>
      </c>
      <c r="AA39">
        <v>1</v>
      </c>
      <c r="AB39"/>
      <c r="AC39"/>
      <c r="AD39"/>
      <c r="AE39">
        <v>2</v>
      </c>
      <c r="AF39">
        <v>50</v>
      </c>
      <c r="AG39">
        <v>90</v>
      </c>
      <c r="AH39">
        <v>10</v>
      </c>
      <c r="AI39">
        <v>3.2</v>
      </c>
      <c r="AJ39">
        <v>0.2</v>
      </c>
      <c r="AK39">
        <v>7.9</v>
      </c>
    </row>
    <row r="40" spans="1:37" x14ac:dyDescent="0.2">
      <c r="A40" s="933"/>
      <c r="B40" t="s">
        <v>54</v>
      </c>
      <c r="C40">
        <v>1</v>
      </c>
      <c r="D40">
        <v>1</v>
      </c>
      <c r="E40">
        <v>54.5</v>
      </c>
      <c r="F40">
        <v>20.5</v>
      </c>
      <c r="G40">
        <v>45.5</v>
      </c>
      <c r="H40">
        <v>9.9</v>
      </c>
      <c r="I40">
        <v>8.6199999999999992</v>
      </c>
      <c r="J40">
        <v>1.8</v>
      </c>
      <c r="K40">
        <v>6</v>
      </c>
      <c r="L40">
        <v>11</v>
      </c>
      <c r="M40">
        <v>1.8</v>
      </c>
      <c r="N40">
        <v>6</v>
      </c>
      <c r="O40">
        <v>11</v>
      </c>
      <c r="P40">
        <v>6.6</v>
      </c>
      <c r="Q40">
        <v>10.14</v>
      </c>
      <c r="R40">
        <v>13.92</v>
      </c>
      <c r="S40">
        <v>20.43</v>
      </c>
      <c r="T40">
        <v>26.64</v>
      </c>
      <c r="U40">
        <v>30.94</v>
      </c>
      <c r="V40">
        <v>3.9</v>
      </c>
      <c r="W40">
        <v>1.8</v>
      </c>
      <c r="X40">
        <v>15</v>
      </c>
      <c r="Y40">
        <v>30</v>
      </c>
      <c r="Z40">
        <v>0.9</v>
      </c>
      <c r="AA40">
        <v>1</v>
      </c>
      <c r="AB40"/>
      <c r="AC40"/>
      <c r="AD40"/>
      <c r="AE40">
        <v>2</v>
      </c>
      <c r="AF40">
        <v>50</v>
      </c>
      <c r="AG40">
        <v>90</v>
      </c>
      <c r="AH40">
        <v>10</v>
      </c>
      <c r="AI40">
        <v>3.2</v>
      </c>
      <c r="AJ40">
        <v>0.2</v>
      </c>
      <c r="AK40">
        <v>7.9</v>
      </c>
    </row>
    <row r="41" spans="1:37" x14ac:dyDescent="0.2">
      <c r="A41" s="860"/>
      <c r="B41" t="s">
        <v>7804</v>
      </c>
      <c r="C41">
        <v>1</v>
      </c>
      <c r="D41">
        <v>1</v>
      </c>
      <c r="E41">
        <v>64</v>
      </c>
      <c r="F41">
        <v>21.9</v>
      </c>
      <c r="G41">
        <v>76.900000000000006</v>
      </c>
      <c r="H41">
        <v>13.1</v>
      </c>
      <c r="I41">
        <v>8.19</v>
      </c>
      <c r="J41">
        <v>5.4</v>
      </c>
      <c r="K41">
        <v>6</v>
      </c>
      <c r="L41">
        <v>11</v>
      </c>
      <c r="M41">
        <v>5.4</v>
      </c>
      <c r="N41">
        <v>6</v>
      </c>
      <c r="O41">
        <v>11</v>
      </c>
      <c r="P41">
        <v>11.4</v>
      </c>
      <c r="Q41">
        <v>13.59</v>
      </c>
      <c r="R41">
        <v>17.12</v>
      </c>
      <c r="S41">
        <v>23.74</v>
      </c>
      <c r="T41">
        <v>21.53</v>
      </c>
      <c r="U41">
        <v>26.44</v>
      </c>
      <c r="V41">
        <v>3.4</v>
      </c>
      <c r="W41">
        <v>1.8</v>
      </c>
      <c r="X41">
        <v>15</v>
      </c>
      <c r="Y41">
        <v>30</v>
      </c>
      <c r="Z41">
        <v>0.9</v>
      </c>
      <c r="AA41">
        <v>1</v>
      </c>
      <c r="AB41"/>
      <c r="AC41"/>
      <c r="AD41"/>
      <c r="AE41">
        <v>2</v>
      </c>
      <c r="AF41">
        <v>50</v>
      </c>
      <c r="AG41">
        <v>90</v>
      </c>
      <c r="AH41">
        <v>10</v>
      </c>
      <c r="AI41">
        <v>3.2</v>
      </c>
      <c r="AJ41">
        <v>0.2</v>
      </c>
      <c r="AK41">
        <v>7.9</v>
      </c>
    </row>
    <row r="42" spans="1:37" x14ac:dyDescent="0.2">
      <c r="A42" s="860"/>
      <c r="B42" t="s">
        <v>55</v>
      </c>
      <c r="C42">
        <v>1</v>
      </c>
      <c r="D42">
        <v>1.1000000000000001</v>
      </c>
      <c r="E42">
        <v>105</v>
      </c>
      <c r="F42">
        <v>31</v>
      </c>
      <c r="G42">
        <v>129</v>
      </c>
      <c r="H42">
        <v>20</v>
      </c>
      <c r="I42">
        <v>8.0399999999999991</v>
      </c>
      <c r="J42">
        <v>4.55</v>
      </c>
      <c r="K42">
        <v>6</v>
      </c>
      <c r="L42">
        <v>11</v>
      </c>
      <c r="M42">
        <v>5</v>
      </c>
      <c r="N42">
        <v>6</v>
      </c>
      <c r="O42">
        <v>11</v>
      </c>
      <c r="P42">
        <v>15.8</v>
      </c>
      <c r="Q42">
        <v>19.41</v>
      </c>
      <c r="R42">
        <v>24.42</v>
      </c>
      <c r="S42">
        <v>19.43</v>
      </c>
      <c r="T42">
        <v>17.71</v>
      </c>
      <c r="U42">
        <v>20.72</v>
      </c>
      <c r="V42">
        <v>6</v>
      </c>
      <c r="W42">
        <v>1.8</v>
      </c>
      <c r="X42">
        <v>15</v>
      </c>
      <c r="Y42">
        <v>30</v>
      </c>
      <c r="Z42">
        <v>0.9</v>
      </c>
      <c r="AA42">
        <v>1</v>
      </c>
      <c r="AB42"/>
      <c r="AC42"/>
      <c r="AD42"/>
      <c r="AE42">
        <v>2</v>
      </c>
      <c r="AF42">
        <v>50</v>
      </c>
      <c r="AG42">
        <v>90</v>
      </c>
      <c r="AH42">
        <v>10</v>
      </c>
      <c r="AI42">
        <v>3.2</v>
      </c>
      <c r="AJ42">
        <v>0.2</v>
      </c>
      <c r="AK42">
        <v>7.9</v>
      </c>
    </row>
    <row r="43" spans="1:37" s="1132" customFormat="1" x14ac:dyDescent="0.2">
      <c r="A43" s="860"/>
      <c r="B43" t="s">
        <v>7958</v>
      </c>
      <c r="C43">
        <v>2</v>
      </c>
      <c r="D43"/>
      <c r="E43"/>
      <c r="F43"/>
      <c r="G43"/>
      <c r="H43"/>
      <c r="I43"/>
      <c r="J43"/>
      <c r="K43"/>
      <c r="L43"/>
      <c r="M43"/>
      <c r="N43"/>
      <c r="O43"/>
      <c r="P43"/>
      <c r="Q43"/>
      <c r="R43"/>
      <c r="S43"/>
      <c r="T43"/>
      <c r="U43"/>
      <c r="V43"/>
      <c r="W43"/>
      <c r="X43"/>
      <c r="Y43"/>
      <c r="Z43"/>
      <c r="AA43"/>
      <c r="AB43"/>
      <c r="AC43"/>
      <c r="AD43"/>
      <c r="AE43"/>
      <c r="AF43"/>
      <c r="AG43"/>
      <c r="AH43"/>
      <c r="AI43"/>
      <c r="AJ43"/>
      <c r="AK43"/>
    </row>
    <row r="44" spans="1:37" x14ac:dyDescent="0.2">
      <c r="A44" s="867"/>
      <c r="B44" t="s">
        <v>7959</v>
      </c>
      <c r="C44">
        <v>2</v>
      </c>
      <c r="D44">
        <v>0.32</v>
      </c>
      <c r="E44">
        <v>27.3</v>
      </c>
      <c r="F44">
        <v>12.6</v>
      </c>
      <c r="G44">
        <v>12.77</v>
      </c>
      <c r="H44">
        <v>4.2</v>
      </c>
      <c r="I44">
        <v>5.5</v>
      </c>
      <c r="J44">
        <v>6.25</v>
      </c>
      <c r="K44">
        <v>8</v>
      </c>
      <c r="L44">
        <v>11</v>
      </c>
      <c r="M44">
        <v>2</v>
      </c>
      <c r="N44">
        <v>2.56</v>
      </c>
      <c r="O44">
        <v>3.52</v>
      </c>
      <c r="P44">
        <v>3.6</v>
      </c>
      <c r="Q44">
        <v>4.4800000000000004</v>
      </c>
      <c r="R44">
        <v>5.48</v>
      </c>
      <c r="S44">
        <v>23.21</v>
      </c>
      <c r="T44">
        <v>22.83</v>
      </c>
      <c r="U44">
        <v>24.38</v>
      </c>
      <c r="V44">
        <v>1.3</v>
      </c>
      <c r="W44">
        <v>1.8</v>
      </c>
      <c r="X44">
        <v>20</v>
      </c>
      <c r="Y44">
        <v>30</v>
      </c>
      <c r="Z44">
        <v>0.9</v>
      </c>
      <c r="AA44">
        <v>1</v>
      </c>
      <c r="AB44"/>
      <c r="AC44"/>
      <c r="AD44"/>
      <c r="AE44">
        <v>2</v>
      </c>
      <c r="AF44">
        <v>60</v>
      </c>
      <c r="AG44">
        <v>90</v>
      </c>
      <c r="AH44">
        <v>10</v>
      </c>
      <c r="AI44">
        <v>3.3</v>
      </c>
      <c r="AJ44">
        <v>0.2</v>
      </c>
      <c r="AK44">
        <v>3.1</v>
      </c>
    </row>
    <row r="45" spans="1:37" x14ac:dyDescent="0.2">
      <c r="A45" s="867"/>
      <c r="B45" t="s">
        <v>7960</v>
      </c>
      <c r="C45">
        <v>2</v>
      </c>
      <c r="D45">
        <v>0.32</v>
      </c>
      <c r="E45">
        <v>24.1</v>
      </c>
      <c r="F45">
        <v>11.2</v>
      </c>
      <c r="G45">
        <v>11.58</v>
      </c>
      <c r="H45">
        <v>4.2</v>
      </c>
      <c r="I45">
        <v>5.5</v>
      </c>
      <c r="J45">
        <v>6.25</v>
      </c>
      <c r="K45">
        <v>8</v>
      </c>
      <c r="L45">
        <v>11</v>
      </c>
      <c r="M45">
        <v>2</v>
      </c>
      <c r="N45">
        <v>2.56</v>
      </c>
      <c r="O45">
        <v>3.52</v>
      </c>
      <c r="P45">
        <v>3.6</v>
      </c>
      <c r="Q45">
        <v>4.4800000000000004</v>
      </c>
      <c r="R45">
        <v>5.48</v>
      </c>
      <c r="S45">
        <v>23.21</v>
      </c>
      <c r="T45">
        <v>22.83</v>
      </c>
      <c r="U45">
        <v>24.38</v>
      </c>
      <c r="V45">
        <v>1.3</v>
      </c>
      <c r="W45">
        <v>1.8</v>
      </c>
      <c r="X45">
        <v>20</v>
      </c>
      <c r="Y45">
        <v>30</v>
      </c>
      <c r="Z45">
        <v>0.9</v>
      </c>
      <c r="AA45">
        <v>2</v>
      </c>
      <c r="AB45"/>
      <c r="AC45"/>
      <c r="AD45"/>
      <c r="AE45">
        <v>2</v>
      </c>
      <c r="AF45">
        <v>60</v>
      </c>
      <c r="AG45">
        <v>90</v>
      </c>
      <c r="AH45">
        <v>10</v>
      </c>
      <c r="AI45">
        <v>3.3</v>
      </c>
      <c r="AJ45">
        <v>0.2</v>
      </c>
      <c r="AK45">
        <v>3.1</v>
      </c>
    </row>
    <row r="46" spans="1:37" x14ac:dyDescent="0.2">
      <c r="A46" s="867"/>
      <c r="B46" t="s">
        <v>7838</v>
      </c>
      <c r="C46">
        <v>2</v>
      </c>
      <c r="D46">
        <v>0.32</v>
      </c>
      <c r="E46">
        <v>23.1</v>
      </c>
      <c r="F46">
        <v>10.3</v>
      </c>
      <c r="G46">
        <v>11.58</v>
      </c>
      <c r="H46">
        <v>4.2</v>
      </c>
      <c r="I46">
        <v>5.5</v>
      </c>
      <c r="J46">
        <v>6.25</v>
      </c>
      <c r="K46">
        <v>8</v>
      </c>
      <c r="L46">
        <v>11</v>
      </c>
      <c r="M46">
        <v>2</v>
      </c>
      <c r="N46">
        <v>2.56</v>
      </c>
      <c r="O46">
        <v>3.52</v>
      </c>
      <c r="P46">
        <v>3.6</v>
      </c>
      <c r="Q46">
        <v>4.4800000000000004</v>
      </c>
      <c r="R46">
        <v>5.48</v>
      </c>
      <c r="S46">
        <v>23.21</v>
      </c>
      <c r="T46">
        <v>22.83</v>
      </c>
      <c r="U46">
        <v>24.38</v>
      </c>
      <c r="V46">
        <v>1.3</v>
      </c>
      <c r="W46">
        <v>1.8</v>
      </c>
      <c r="X46">
        <v>20</v>
      </c>
      <c r="Y46">
        <v>30</v>
      </c>
      <c r="Z46">
        <v>0.9</v>
      </c>
      <c r="AA46">
        <v>3</v>
      </c>
      <c r="AB46"/>
      <c r="AC46"/>
      <c r="AD46"/>
      <c r="AE46">
        <v>2</v>
      </c>
      <c r="AF46">
        <v>60</v>
      </c>
      <c r="AG46">
        <v>90</v>
      </c>
      <c r="AH46">
        <v>10</v>
      </c>
      <c r="AI46">
        <v>3.3</v>
      </c>
      <c r="AJ46">
        <v>0.2</v>
      </c>
      <c r="AK46">
        <v>3.1</v>
      </c>
    </row>
    <row r="47" spans="1:37" x14ac:dyDescent="0.2">
      <c r="A47" s="867"/>
      <c r="B47" t="s">
        <v>7961</v>
      </c>
      <c r="C47">
        <v>2</v>
      </c>
      <c r="D47">
        <v>0.32</v>
      </c>
      <c r="E47">
        <v>27.5</v>
      </c>
      <c r="F47">
        <v>12.8</v>
      </c>
      <c r="G47">
        <v>13.13</v>
      </c>
      <c r="H47">
        <v>4.4000000000000004</v>
      </c>
      <c r="I47">
        <v>5.5</v>
      </c>
      <c r="J47">
        <v>6.25</v>
      </c>
      <c r="K47">
        <v>8</v>
      </c>
      <c r="L47">
        <v>11</v>
      </c>
      <c r="M47">
        <v>2</v>
      </c>
      <c r="N47">
        <v>2.56</v>
      </c>
      <c r="O47">
        <v>3.52</v>
      </c>
      <c r="P47">
        <v>3.7</v>
      </c>
      <c r="Q47">
        <v>4.63</v>
      </c>
      <c r="R47">
        <v>5.68</v>
      </c>
      <c r="S47">
        <v>22.83</v>
      </c>
      <c r="T47">
        <v>22.31</v>
      </c>
      <c r="U47">
        <v>23.71</v>
      </c>
      <c r="V47">
        <v>1.4</v>
      </c>
      <c r="W47">
        <v>1.8</v>
      </c>
      <c r="X47">
        <v>20</v>
      </c>
      <c r="Y47">
        <v>30</v>
      </c>
      <c r="Z47">
        <v>0.9</v>
      </c>
      <c r="AA47">
        <v>1</v>
      </c>
      <c r="AB47"/>
      <c r="AC47"/>
      <c r="AD47"/>
      <c r="AE47">
        <v>2</v>
      </c>
      <c r="AF47">
        <v>60</v>
      </c>
      <c r="AG47">
        <v>90</v>
      </c>
      <c r="AH47">
        <v>10</v>
      </c>
      <c r="AI47">
        <v>3.3</v>
      </c>
      <c r="AJ47">
        <v>0.2</v>
      </c>
      <c r="AK47">
        <v>3.1</v>
      </c>
    </row>
    <row r="48" spans="1:37" x14ac:dyDescent="0.2">
      <c r="A48" s="867"/>
      <c r="B48" t="s">
        <v>7962</v>
      </c>
      <c r="C48">
        <v>2</v>
      </c>
      <c r="D48">
        <v>0.32</v>
      </c>
      <c r="E48">
        <v>24.2</v>
      </c>
      <c r="F48">
        <v>11.2</v>
      </c>
      <c r="G48">
        <v>11.82</v>
      </c>
      <c r="H48">
        <v>4.4000000000000004</v>
      </c>
      <c r="I48">
        <v>5.5</v>
      </c>
      <c r="J48">
        <v>6.25</v>
      </c>
      <c r="K48">
        <v>8</v>
      </c>
      <c r="L48">
        <v>11</v>
      </c>
      <c r="M48">
        <v>2</v>
      </c>
      <c r="N48">
        <v>2.56</v>
      </c>
      <c r="O48">
        <v>3.52</v>
      </c>
      <c r="P48">
        <v>3.7</v>
      </c>
      <c r="Q48">
        <v>4.63</v>
      </c>
      <c r="R48">
        <v>5.68</v>
      </c>
      <c r="S48">
        <v>22.83</v>
      </c>
      <c r="T48">
        <v>22.31</v>
      </c>
      <c r="U48">
        <v>23.71</v>
      </c>
      <c r="V48">
        <v>1.4</v>
      </c>
      <c r="W48">
        <v>1.8</v>
      </c>
      <c r="X48">
        <v>20</v>
      </c>
      <c r="Y48">
        <v>30</v>
      </c>
      <c r="Z48">
        <v>0.9</v>
      </c>
      <c r="AA48">
        <v>2</v>
      </c>
      <c r="AB48"/>
      <c r="AC48"/>
      <c r="AD48"/>
      <c r="AE48">
        <v>2</v>
      </c>
      <c r="AF48">
        <v>60</v>
      </c>
      <c r="AG48">
        <v>90</v>
      </c>
      <c r="AH48">
        <v>10</v>
      </c>
      <c r="AI48">
        <v>3.3</v>
      </c>
      <c r="AJ48">
        <v>0.2</v>
      </c>
      <c r="AK48">
        <v>3.1</v>
      </c>
    </row>
    <row r="49" spans="1:37" x14ac:dyDescent="0.2">
      <c r="A49" s="867"/>
      <c r="B49" t="s">
        <v>7837</v>
      </c>
      <c r="C49">
        <v>2</v>
      </c>
      <c r="D49">
        <v>0.32</v>
      </c>
      <c r="E49">
        <v>23.2</v>
      </c>
      <c r="F49">
        <v>10.3</v>
      </c>
      <c r="G49">
        <v>11.82</v>
      </c>
      <c r="H49">
        <v>4.4000000000000004</v>
      </c>
      <c r="I49">
        <v>5.5</v>
      </c>
      <c r="J49">
        <v>6.25</v>
      </c>
      <c r="K49">
        <v>8</v>
      </c>
      <c r="L49">
        <v>11</v>
      </c>
      <c r="M49">
        <v>2</v>
      </c>
      <c r="N49">
        <v>2.56</v>
      </c>
      <c r="O49">
        <v>3.52</v>
      </c>
      <c r="P49">
        <v>3.7</v>
      </c>
      <c r="Q49">
        <v>4.63</v>
      </c>
      <c r="R49">
        <v>5.68</v>
      </c>
      <c r="S49">
        <v>22.83</v>
      </c>
      <c r="T49">
        <v>22.31</v>
      </c>
      <c r="U49">
        <v>23.71</v>
      </c>
      <c r="V49">
        <v>1.4</v>
      </c>
      <c r="W49">
        <v>1.8</v>
      </c>
      <c r="X49">
        <v>20</v>
      </c>
      <c r="Y49">
        <v>30</v>
      </c>
      <c r="Z49">
        <v>0.9</v>
      </c>
      <c r="AA49">
        <v>3</v>
      </c>
      <c r="AB49"/>
      <c r="AC49"/>
      <c r="AD49"/>
      <c r="AE49">
        <v>2</v>
      </c>
      <c r="AF49">
        <v>60</v>
      </c>
      <c r="AG49">
        <v>90</v>
      </c>
      <c r="AH49">
        <v>10</v>
      </c>
      <c r="AI49">
        <v>3.3</v>
      </c>
      <c r="AJ49">
        <v>0.2</v>
      </c>
      <c r="AK49">
        <v>3.1</v>
      </c>
    </row>
    <row r="50" spans="1:37" x14ac:dyDescent="0.2">
      <c r="A50" s="867"/>
      <c r="B50" t="s">
        <v>56</v>
      </c>
      <c r="C50">
        <v>2</v>
      </c>
      <c r="D50">
        <v>0.4</v>
      </c>
      <c r="E50">
        <v>41.1</v>
      </c>
      <c r="F50">
        <v>17.899999999999999</v>
      </c>
      <c r="G50">
        <v>21.09</v>
      </c>
      <c r="H50">
        <v>6.5</v>
      </c>
      <c r="I50">
        <v>5.5</v>
      </c>
      <c r="J50">
        <v>7.5</v>
      </c>
      <c r="K50">
        <v>8</v>
      </c>
      <c r="L50">
        <v>11</v>
      </c>
      <c r="M50">
        <v>3</v>
      </c>
      <c r="N50">
        <v>3.2</v>
      </c>
      <c r="O50">
        <v>4.4000000000000004</v>
      </c>
      <c r="P50">
        <v>5.2</v>
      </c>
      <c r="Q50">
        <v>6.47</v>
      </c>
      <c r="R50">
        <v>8.11</v>
      </c>
      <c r="S50">
        <v>24.15</v>
      </c>
      <c r="T50">
        <v>20.72</v>
      </c>
      <c r="U50">
        <v>21.44</v>
      </c>
      <c r="V50">
        <v>2.4</v>
      </c>
      <c r="W50">
        <v>1.8</v>
      </c>
      <c r="X50">
        <v>20</v>
      </c>
      <c r="Y50">
        <v>30</v>
      </c>
      <c r="Z50">
        <v>0.9</v>
      </c>
      <c r="AA50">
        <v>1</v>
      </c>
      <c r="AB50"/>
      <c r="AC50"/>
      <c r="AD50"/>
      <c r="AE50">
        <v>2</v>
      </c>
      <c r="AF50">
        <v>60</v>
      </c>
      <c r="AG50">
        <v>90</v>
      </c>
      <c r="AH50">
        <v>10</v>
      </c>
      <c r="AI50">
        <v>3.3</v>
      </c>
      <c r="AJ50">
        <v>0.2</v>
      </c>
      <c r="AK50">
        <v>3.1</v>
      </c>
    </row>
    <row r="51" spans="1:37" x14ac:dyDescent="0.2">
      <c r="A51" s="867"/>
      <c r="B51" t="s">
        <v>57</v>
      </c>
      <c r="C51">
        <v>2</v>
      </c>
      <c r="D51">
        <v>0.4</v>
      </c>
      <c r="E51">
        <v>36.799999999999997</v>
      </c>
      <c r="F51">
        <v>16</v>
      </c>
      <c r="G51">
        <v>19.52</v>
      </c>
      <c r="H51">
        <v>6.5</v>
      </c>
      <c r="I51">
        <v>5.5</v>
      </c>
      <c r="J51">
        <v>7.5</v>
      </c>
      <c r="K51">
        <v>8</v>
      </c>
      <c r="L51">
        <v>11</v>
      </c>
      <c r="M51">
        <v>3</v>
      </c>
      <c r="N51">
        <v>3.2</v>
      </c>
      <c r="O51">
        <v>4.4000000000000004</v>
      </c>
      <c r="P51">
        <v>5.2</v>
      </c>
      <c r="Q51">
        <v>6.47</v>
      </c>
      <c r="R51">
        <v>8.11</v>
      </c>
      <c r="S51">
        <v>24.15</v>
      </c>
      <c r="T51">
        <v>20.72</v>
      </c>
      <c r="U51">
        <v>21.44</v>
      </c>
      <c r="V51">
        <v>2.4</v>
      </c>
      <c r="W51">
        <v>1.8</v>
      </c>
      <c r="X51">
        <v>20</v>
      </c>
      <c r="Y51">
        <v>30</v>
      </c>
      <c r="Z51">
        <v>0.9</v>
      </c>
      <c r="AA51">
        <v>2</v>
      </c>
      <c r="AB51"/>
      <c r="AC51"/>
      <c r="AD51"/>
      <c r="AE51">
        <v>2</v>
      </c>
      <c r="AF51">
        <v>60</v>
      </c>
      <c r="AG51">
        <v>90</v>
      </c>
      <c r="AH51">
        <v>10</v>
      </c>
      <c r="AI51">
        <v>3.3</v>
      </c>
      <c r="AJ51">
        <v>0.2</v>
      </c>
      <c r="AK51">
        <v>3.1</v>
      </c>
    </row>
    <row r="52" spans="1:37" x14ac:dyDescent="0.2">
      <c r="A52" s="867"/>
      <c r="B52" t="s">
        <v>7836</v>
      </c>
      <c r="C52">
        <v>2</v>
      </c>
      <c r="D52">
        <v>0.4</v>
      </c>
      <c r="E52">
        <v>35</v>
      </c>
      <c r="F52">
        <v>14.7</v>
      </c>
      <c r="G52">
        <v>19.52</v>
      </c>
      <c r="H52">
        <v>6.5</v>
      </c>
      <c r="I52">
        <v>5.5</v>
      </c>
      <c r="J52">
        <v>7.5</v>
      </c>
      <c r="K52">
        <v>8</v>
      </c>
      <c r="L52">
        <v>11</v>
      </c>
      <c r="M52">
        <v>3</v>
      </c>
      <c r="N52">
        <v>3.2</v>
      </c>
      <c r="O52">
        <v>4.4000000000000004</v>
      </c>
      <c r="P52">
        <v>5.2</v>
      </c>
      <c r="Q52">
        <v>6.47</v>
      </c>
      <c r="R52">
        <v>8.11</v>
      </c>
      <c r="S52">
        <v>24.15</v>
      </c>
      <c r="T52">
        <v>20.72</v>
      </c>
      <c r="U52">
        <v>21.44</v>
      </c>
      <c r="V52">
        <v>2.4</v>
      </c>
      <c r="W52">
        <v>1.8</v>
      </c>
      <c r="X52">
        <v>20</v>
      </c>
      <c r="Y52">
        <v>30</v>
      </c>
      <c r="Z52">
        <v>0.9</v>
      </c>
      <c r="AA52">
        <v>3</v>
      </c>
      <c r="AB52"/>
      <c r="AC52"/>
      <c r="AD52"/>
      <c r="AE52">
        <v>2</v>
      </c>
      <c r="AF52">
        <v>60</v>
      </c>
      <c r="AG52">
        <v>90</v>
      </c>
      <c r="AH52">
        <v>10</v>
      </c>
      <c r="AI52">
        <v>3.3</v>
      </c>
      <c r="AJ52">
        <v>0.2</v>
      </c>
      <c r="AK52">
        <v>3.1</v>
      </c>
    </row>
    <row r="53" spans="1:37" x14ac:dyDescent="0.2">
      <c r="A53" s="867"/>
      <c r="B53" t="s">
        <v>58</v>
      </c>
      <c r="C53">
        <v>2</v>
      </c>
      <c r="D53">
        <v>0.42</v>
      </c>
      <c r="E53">
        <v>42.9</v>
      </c>
      <c r="F53">
        <v>18.600000000000001</v>
      </c>
      <c r="G53">
        <v>21.33</v>
      </c>
      <c r="H53">
        <v>7</v>
      </c>
      <c r="I53">
        <v>5.5</v>
      </c>
      <c r="J53">
        <v>7.14</v>
      </c>
      <c r="K53">
        <v>8</v>
      </c>
      <c r="L53">
        <v>11</v>
      </c>
      <c r="M53">
        <v>3</v>
      </c>
      <c r="N53">
        <v>3.36</v>
      </c>
      <c r="O53">
        <v>4.62</v>
      </c>
      <c r="P53">
        <v>5.5</v>
      </c>
      <c r="Q53">
        <v>6.93</v>
      </c>
      <c r="R53">
        <v>8.69</v>
      </c>
      <c r="S53">
        <v>23.27</v>
      </c>
      <c r="T53">
        <v>20.440000000000001</v>
      </c>
      <c r="U53">
        <v>21.12</v>
      </c>
      <c r="V53">
        <v>2.6</v>
      </c>
      <c r="W53">
        <v>1.8</v>
      </c>
      <c r="X53">
        <v>20</v>
      </c>
      <c r="Y53">
        <v>30</v>
      </c>
      <c r="Z53">
        <v>0.9</v>
      </c>
      <c r="AA53">
        <v>1</v>
      </c>
      <c r="AB53"/>
      <c r="AC53"/>
      <c r="AD53"/>
      <c r="AE53">
        <v>2</v>
      </c>
      <c r="AF53">
        <v>60</v>
      </c>
      <c r="AG53">
        <v>90</v>
      </c>
      <c r="AH53">
        <v>10</v>
      </c>
      <c r="AI53">
        <v>3.3</v>
      </c>
      <c r="AJ53">
        <v>0.2</v>
      </c>
      <c r="AK53">
        <v>3.1</v>
      </c>
    </row>
    <row r="54" spans="1:37" x14ac:dyDescent="0.2">
      <c r="A54" s="867"/>
      <c r="B54" t="s">
        <v>59</v>
      </c>
      <c r="C54">
        <v>2</v>
      </c>
      <c r="D54">
        <v>0.42</v>
      </c>
      <c r="E54">
        <v>38.4</v>
      </c>
      <c r="F54">
        <v>16.7</v>
      </c>
      <c r="G54">
        <v>20.73</v>
      </c>
      <c r="H54">
        <v>7</v>
      </c>
      <c r="I54">
        <v>5.5</v>
      </c>
      <c r="J54">
        <v>7.14</v>
      </c>
      <c r="K54">
        <v>8</v>
      </c>
      <c r="L54">
        <v>11</v>
      </c>
      <c r="M54">
        <v>3</v>
      </c>
      <c r="N54">
        <v>3.36</v>
      </c>
      <c r="O54">
        <v>4.62</v>
      </c>
      <c r="P54">
        <v>5.5</v>
      </c>
      <c r="Q54">
        <v>6.93</v>
      </c>
      <c r="R54">
        <v>8.69</v>
      </c>
      <c r="S54">
        <v>23.27</v>
      </c>
      <c r="T54">
        <v>20.440000000000001</v>
      </c>
      <c r="U54">
        <v>21.12</v>
      </c>
      <c r="V54">
        <v>2.6</v>
      </c>
      <c r="W54">
        <v>1.8</v>
      </c>
      <c r="X54">
        <v>20</v>
      </c>
      <c r="Y54">
        <v>30</v>
      </c>
      <c r="Z54">
        <v>0.9</v>
      </c>
      <c r="AA54">
        <v>2</v>
      </c>
      <c r="AB54"/>
      <c r="AC54"/>
      <c r="AD54"/>
      <c r="AE54">
        <v>2</v>
      </c>
      <c r="AF54">
        <v>60</v>
      </c>
      <c r="AG54">
        <v>90</v>
      </c>
      <c r="AH54">
        <v>10</v>
      </c>
      <c r="AI54">
        <v>3.3</v>
      </c>
      <c r="AJ54">
        <v>0.2</v>
      </c>
      <c r="AK54">
        <v>3.1</v>
      </c>
    </row>
    <row r="55" spans="1:37" x14ac:dyDescent="0.2">
      <c r="A55" s="867"/>
      <c r="B55" t="s">
        <v>7835</v>
      </c>
      <c r="C55">
        <v>2</v>
      </c>
      <c r="D55">
        <v>0.42</v>
      </c>
      <c r="E55">
        <v>36.6</v>
      </c>
      <c r="F55">
        <v>15.1</v>
      </c>
      <c r="G55">
        <v>20.73</v>
      </c>
      <c r="H55">
        <v>7</v>
      </c>
      <c r="I55">
        <v>5.5</v>
      </c>
      <c r="J55">
        <v>7.14</v>
      </c>
      <c r="K55">
        <v>8</v>
      </c>
      <c r="L55">
        <v>11</v>
      </c>
      <c r="M55">
        <v>3</v>
      </c>
      <c r="N55">
        <v>3.36</v>
      </c>
      <c r="O55">
        <v>4.62</v>
      </c>
      <c r="P55">
        <v>5.5</v>
      </c>
      <c r="Q55">
        <v>6.93</v>
      </c>
      <c r="R55">
        <v>8.69</v>
      </c>
      <c r="S55">
        <v>23.27</v>
      </c>
      <c r="T55">
        <v>20.440000000000001</v>
      </c>
      <c r="U55">
        <v>21.12</v>
      </c>
      <c r="V55">
        <v>2.6</v>
      </c>
      <c r="W55">
        <v>1.8</v>
      </c>
      <c r="X55">
        <v>20</v>
      </c>
      <c r="Y55">
        <v>30</v>
      </c>
      <c r="Z55">
        <v>0.9</v>
      </c>
      <c r="AA55">
        <v>3</v>
      </c>
      <c r="AB55"/>
      <c r="AC55"/>
      <c r="AD55"/>
      <c r="AE55">
        <v>2</v>
      </c>
      <c r="AF55">
        <v>60</v>
      </c>
      <c r="AG55">
        <v>90</v>
      </c>
      <c r="AH55">
        <v>10</v>
      </c>
      <c r="AI55">
        <v>3.3</v>
      </c>
      <c r="AJ55">
        <v>0.2</v>
      </c>
      <c r="AK55">
        <v>3.1</v>
      </c>
    </row>
    <row r="56" spans="1:37" x14ac:dyDescent="0.2">
      <c r="A56" s="860"/>
      <c r="B56" t="s">
        <v>60</v>
      </c>
      <c r="C56">
        <v>2</v>
      </c>
      <c r="D56">
        <v>0.03</v>
      </c>
      <c r="E56">
        <v>4.46</v>
      </c>
      <c r="F56">
        <v>1.64</v>
      </c>
      <c r="G56">
        <v>2.73</v>
      </c>
      <c r="H56">
        <v>0.7</v>
      </c>
      <c r="I56">
        <v>5.5</v>
      </c>
      <c r="J56">
        <v>7.67</v>
      </c>
      <c r="K56">
        <v>8</v>
      </c>
      <c r="L56">
        <v>11</v>
      </c>
      <c r="M56">
        <v>0.23</v>
      </c>
      <c r="N56">
        <v>0.24</v>
      </c>
      <c r="O56">
        <v>0.33</v>
      </c>
      <c r="P56">
        <v>0.43</v>
      </c>
      <c r="Q56">
        <v>0.61</v>
      </c>
      <c r="R56">
        <v>0.82</v>
      </c>
      <c r="S56">
        <v>24.28</v>
      </c>
      <c r="T56">
        <v>18.13</v>
      </c>
      <c r="U56">
        <v>17.329999999999998</v>
      </c>
      <c r="V56">
        <v>0.35</v>
      </c>
      <c r="W56">
        <v>1.8</v>
      </c>
      <c r="X56">
        <v>20</v>
      </c>
      <c r="Y56">
        <v>30</v>
      </c>
      <c r="Z56">
        <v>0.9</v>
      </c>
      <c r="AA56">
        <v>1</v>
      </c>
      <c r="AB56"/>
      <c r="AC56"/>
      <c r="AD56"/>
      <c r="AE56">
        <v>2</v>
      </c>
      <c r="AF56">
        <v>60</v>
      </c>
      <c r="AG56">
        <v>90</v>
      </c>
      <c r="AH56">
        <v>10</v>
      </c>
      <c r="AI56">
        <v>3.3</v>
      </c>
      <c r="AJ56">
        <v>0.2</v>
      </c>
      <c r="AK56">
        <v>3.1</v>
      </c>
    </row>
    <row r="57" spans="1:37" x14ac:dyDescent="0.2">
      <c r="A57" s="860"/>
      <c r="B57" t="s">
        <v>61</v>
      </c>
      <c r="C57">
        <v>2</v>
      </c>
      <c r="D57">
        <v>0.03</v>
      </c>
      <c r="E57">
        <v>4.1900000000000004</v>
      </c>
      <c r="F57">
        <v>1.61</v>
      </c>
      <c r="G57">
        <v>2.61</v>
      </c>
      <c r="H57">
        <v>0.7</v>
      </c>
      <c r="I57">
        <v>5.5</v>
      </c>
      <c r="J57">
        <v>7.67</v>
      </c>
      <c r="K57">
        <v>8</v>
      </c>
      <c r="L57">
        <v>11</v>
      </c>
      <c r="M57">
        <v>0.23</v>
      </c>
      <c r="N57">
        <v>0.24</v>
      </c>
      <c r="O57">
        <v>0.33</v>
      </c>
      <c r="P57">
        <v>0.43</v>
      </c>
      <c r="Q57">
        <v>0.61</v>
      </c>
      <c r="R57">
        <v>0.82</v>
      </c>
      <c r="S57">
        <v>24.28</v>
      </c>
      <c r="T57">
        <v>18.13</v>
      </c>
      <c r="U57">
        <v>17.329999999999998</v>
      </c>
      <c r="V57">
        <v>0.35</v>
      </c>
      <c r="W57">
        <v>1.8</v>
      </c>
      <c r="X57">
        <v>20</v>
      </c>
      <c r="Y57">
        <v>30</v>
      </c>
      <c r="Z57">
        <v>0.9</v>
      </c>
      <c r="AA57">
        <v>2</v>
      </c>
      <c r="AB57"/>
      <c r="AC57"/>
      <c r="AD57"/>
      <c r="AE57">
        <v>2</v>
      </c>
      <c r="AF57">
        <v>60</v>
      </c>
      <c r="AG57">
        <v>90</v>
      </c>
      <c r="AH57">
        <v>10</v>
      </c>
      <c r="AI57">
        <v>3.3</v>
      </c>
      <c r="AJ57">
        <v>0.2</v>
      </c>
      <c r="AK57">
        <v>3.1</v>
      </c>
    </row>
    <row r="58" spans="1:37" x14ac:dyDescent="0.2">
      <c r="A58" s="860"/>
      <c r="B58" t="s">
        <v>7839</v>
      </c>
      <c r="C58">
        <v>2</v>
      </c>
      <c r="D58">
        <v>0.03</v>
      </c>
      <c r="E58">
        <v>3.94</v>
      </c>
      <c r="F58">
        <v>1.46</v>
      </c>
      <c r="G58">
        <v>2.61</v>
      </c>
      <c r="H58">
        <v>0.7</v>
      </c>
      <c r="I58">
        <v>5.5</v>
      </c>
      <c r="J58">
        <v>7.67</v>
      </c>
      <c r="K58">
        <v>8</v>
      </c>
      <c r="L58">
        <v>11</v>
      </c>
      <c r="M58">
        <v>0.23</v>
      </c>
      <c r="N58">
        <v>0.24</v>
      </c>
      <c r="O58">
        <v>0.33</v>
      </c>
      <c r="P58">
        <v>0.43</v>
      </c>
      <c r="Q58">
        <v>0.61</v>
      </c>
      <c r="R58">
        <v>0.82</v>
      </c>
      <c r="S58">
        <v>24.28</v>
      </c>
      <c r="T58">
        <v>18.13</v>
      </c>
      <c r="U58">
        <v>17.329999999999998</v>
      </c>
      <c r="V58">
        <v>0.35</v>
      </c>
      <c r="W58">
        <v>1.8</v>
      </c>
      <c r="X58">
        <v>20</v>
      </c>
      <c r="Y58">
        <v>30</v>
      </c>
      <c r="Z58">
        <v>0.9</v>
      </c>
      <c r="AA58">
        <v>3</v>
      </c>
      <c r="AB58"/>
      <c r="AC58"/>
      <c r="AD58"/>
      <c r="AE58">
        <v>2</v>
      </c>
      <c r="AF58">
        <v>60</v>
      </c>
      <c r="AG58">
        <v>90</v>
      </c>
      <c r="AH58">
        <v>10</v>
      </c>
      <c r="AI58">
        <v>3.3</v>
      </c>
      <c r="AJ58">
        <v>0.2</v>
      </c>
      <c r="AK58">
        <v>3.1</v>
      </c>
    </row>
    <row r="59" spans="1:37" s="1112" customFormat="1" x14ac:dyDescent="0.2">
      <c r="A59" s="860"/>
      <c r="B59" t="s">
        <v>7935</v>
      </c>
      <c r="C59">
        <v>2</v>
      </c>
      <c r="D59">
        <v>0.13</v>
      </c>
      <c r="E59">
        <v>12.05</v>
      </c>
      <c r="F59">
        <v>6.11</v>
      </c>
      <c r="G59">
        <v>5.56</v>
      </c>
      <c r="H59">
        <v>1.64</v>
      </c>
      <c r="I59">
        <v>5.5</v>
      </c>
      <c r="J59">
        <v>4.6900000000000004</v>
      </c>
      <c r="K59">
        <v>6</v>
      </c>
      <c r="L59">
        <v>11</v>
      </c>
      <c r="M59">
        <v>0.61</v>
      </c>
      <c r="N59">
        <v>0.78</v>
      </c>
      <c r="O59">
        <v>1.43</v>
      </c>
      <c r="P59">
        <v>1.3</v>
      </c>
      <c r="Q59">
        <v>1.61</v>
      </c>
      <c r="R59">
        <v>2.16</v>
      </c>
      <c r="S59">
        <v>20.82</v>
      </c>
      <c r="T59">
        <v>20.46</v>
      </c>
      <c r="U59">
        <v>24.96</v>
      </c>
      <c r="V59">
        <v>0.61</v>
      </c>
      <c r="W59">
        <v>1.8</v>
      </c>
      <c r="X59">
        <v>20</v>
      </c>
      <c r="Y59">
        <v>30</v>
      </c>
      <c r="Z59">
        <v>0.9</v>
      </c>
      <c r="AA59">
        <v>1</v>
      </c>
      <c r="AB59"/>
      <c r="AC59"/>
      <c r="AD59"/>
      <c r="AE59">
        <v>2</v>
      </c>
      <c r="AF59">
        <v>60</v>
      </c>
      <c r="AG59">
        <v>90</v>
      </c>
      <c r="AH59">
        <v>10</v>
      </c>
      <c r="AI59">
        <v>3.3</v>
      </c>
      <c r="AJ59">
        <v>0.2</v>
      </c>
      <c r="AK59">
        <v>3.1</v>
      </c>
    </row>
    <row r="60" spans="1:37" s="1112" customFormat="1" x14ac:dyDescent="0.2">
      <c r="A60" s="860"/>
      <c r="B60" t="s">
        <v>7936</v>
      </c>
      <c r="C60">
        <v>2</v>
      </c>
      <c r="D60">
        <v>0.13</v>
      </c>
      <c r="E60">
        <v>9.81</v>
      </c>
      <c r="F60">
        <v>5.13</v>
      </c>
      <c r="G60">
        <v>5.05</v>
      </c>
      <c r="H60">
        <v>1.64</v>
      </c>
      <c r="I60">
        <v>5.5</v>
      </c>
      <c r="J60">
        <v>4.6900000000000004</v>
      </c>
      <c r="K60">
        <v>6</v>
      </c>
      <c r="L60">
        <v>11</v>
      </c>
      <c r="M60">
        <v>0.61</v>
      </c>
      <c r="N60">
        <v>0.78</v>
      </c>
      <c r="O60">
        <v>1.43</v>
      </c>
      <c r="P60">
        <v>1.3</v>
      </c>
      <c r="Q60">
        <v>1.61</v>
      </c>
      <c r="R60">
        <v>2.16</v>
      </c>
      <c r="S60">
        <v>20.82</v>
      </c>
      <c r="T60">
        <v>20.46</v>
      </c>
      <c r="U60">
        <v>24.96</v>
      </c>
      <c r="V60">
        <v>0.61</v>
      </c>
      <c r="W60">
        <v>1.8</v>
      </c>
      <c r="X60">
        <v>20</v>
      </c>
      <c r="Y60">
        <v>30</v>
      </c>
      <c r="Z60">
        <v>0.9</v>
      </c>
      <c r="AA60">
        <v>2</v>
      </c>
      <c r="AB60"/>
      <c r="AC60"/>
      <c r="AD60"/>
      <c r="AE60">
        <v>2</v>
      </c>
      <c r="AF60">
        <v>60</v>
      </c>
      <c r="AG60">
        <v>90</v>
      </c>
      <c r="AH60">
        <v>10</v>
      </c>
      <c r="AI60">
        <v>3.3</v>
      </c>
      <c r="AJ60">
        <v>0.2</v>
      </c>
      <c r="AK60">
        <v>3.1</v>
      </c>
    </row>
    <row r="61" spans="1:37" x14ac:dyDescent="0.2">
      <c r="A61" s="860"/>
      <c r="B61" t="s">
        <v>570</v>
      </c>
      <c r="C61">
        <v>2</v>
      </c>
      <c r="D61">
        <v>0.16</v>
      </c>
      <c r="E61">
        <v>16.39</v>
      </c>
      <c r="F61">
        <v>9.1</v>
      </c>
      <c r="G61">
        <v>8.0399999999999991</v>
      </c>
      <c r="H61">
        <v>2.66</v>
      </c>
      <c r="I61">
        <v>5.5</v>
      </c>
      <c r="J61">
        <v>6.63</v>
      </c>
      <c r="K61">
        <v>8</v>
      </c>
      <c r="L61">
        <v>11</v>
      </c>
      <c r="M61">
        <v>1.06</v>
      </c>
      <c r="N61">
        <v>1.28</v>
      </c>
      <c r="O61">
        <v>1.76</v>
      </c>
      <c r="P61">
        <v>1.98</v>
      </c>
      <c r="Q61">
        <v>2.6</v>
      </c>
      <c r="R61">
        <v>3.3</v>
      </c>
      <c r="S61">
        <v>23.23</v>
      </c>
      <c r="T61">
        <v>20.71</v>
      </c>
      <c r="U61">
        <v>21.17</v>
      </c>
      <c r="V61">
        <v>1.06</v>
      </c>
      <c r="W61">
        <v>1.8</v>
      </c>
      <c r="X61">
        <v>20</v>
      </c>
      <c r="Y61">
        <v>30</v>
      </c>
      <c r="Z61">
        <v>0.9</v>
      </c>
      <c r="AA61">
        <v>1</v>
      </c>
      <c r="AB61"/>
      <c r="AC61"/>
      <c r="AD61"/>
      <c r="AE61">
        <v>2</v>
      </c>
      <c r="AF61">
        <v>60</v>
      </c>
      <c r="AG61">
        <v>90</v>
      </c>
      <c r="AH61">
        <v>10</v>
      </c>
      <c r="AI61">
        <v>3.3</v>
      </c>
      <c r="AJ61">
        <v>0.2</v>
      </c>
      <c r="AK61">
        <v>3.1</v>
      </c>
    </row>
    <row r="62" spans="1:37" x14ac:dyDescent="0.2">
      <c r="A62" s="860"/>
      <c r="B62" t="s">
        <v>571</v>
      </c>
      <c r="C62">
        <v>2</v>
      </c>
      <c r="D62">
        <v>0.16</v>
      </c>
      <c r="E62">
        <v>14.15</v>
      </c>
      <c r="F62">
        <v>7.99</v>
      </c>
      <c r="G62">
        <v>6.88</v>
      </c>
      <c r="H62">
        <v>2.66</v>
      </c>
      <c r="I62">
        <v>5.5</v>
      </c>
      <c r="J62">
        <v>6.63</v>
      </c>
      <c r="K62">
        <v>8</v>
      </c>
      <c r="L62">
        <v>11</v>
      </c>
      <c r="M62">
        <v>1.06</v>
      </c>
      <c r="N62">
        <v>1.28</v>
      </c>
      <c r="O62">
        <v>1.76</v>
      </c>
      <c r="P62">
        <v>1.98</v>
      </c>
      <c r="Q62">
        <v>2.6</v>
      </c>
      <c r="R62">
        <v>3.3</v>
      </c>
      <c r="S62">
        <v>23.23</v>
      </c>
      <c r="T62">
        <v>20.71</v>
      </c>
      <c r="U62">
        <v>21.17</v>
      </c>
      <c r="V62">
        <v>1.06</v>
      </c>
      <c r="W62">
        <v>1.8</v>
      </c>
      <c r="X62">
        <v>20</v>
      </c>
      <c r="Y62">
        <v>30</v>
      </c>
      <c r="Z62">
        <v>0.9</v>
      </c>
      <c r="AA62">
        <v>2</v>
      </c>
      <c r="AB62"/>
      <c r="AC62"/>
      <c r="AD62"/>
      <c r="AE62">
        <v>2</v>
      </c>
      <c r="AF62">
        <v>60</v>
      </c>
      <c r="AG62">
        <v>90</v>
      </c>
      <c r="AH62">
        <v>10</v>
      </c>
      <c r="AI62">
        <v>3.3</v>
      </c>
      <c r="AJ62">
        <v>0.2</v>
      </c>
      <c r="AK62">
        <v>3.1</v>
      </c>
    </row>
    <row r="63" spans="1:37" x14ac:dyDescent="0.2">
      <c r="A63" s="867"/>
      <c r="B63" t="s">
        <v>572</v>
      </c>
      <c r="C63">
        <v>2</v>
      </c>
      <c r="D63">
        <v>0.14000000000000001</v>
      </c>
      <c r="E63">
        <v>14.06</v>
      </c>
      <c r="F63">
        <v>5.96</v>
      </c>
      <c r="G63">
        <v>7</v>
      </c>
      <c r="H63">
        <v>1.85</v>
      </c>
      <c r="I63">
        <v>5.5</v>
      </c>
      <c r="J63">
        <v>4.43</v>
      </c>
      <c r="K63">
        <v>6</v>
      </c>
      <c r="L63">
        <v>11</v>
      </c>
      <c r="M63">
        <v>0.62</v>
      </c>
      <c r="N63">
        <v>0.84</v>
      </c>
      <c r="O63">
        <v>1.54</v>
      </c>
      <c r="P63">
        <v>1.33</v>
      </c>
      <c r="Q63">
        <v>1.79</v>
      </c>
      <c r="R63">
        <v>2.41</v>
      </c>
      <c r="S63">
        <v>21.28</v>
      </c>
      <c r="T63">
        <v>20.04</v>
      </c>
      <c r="U63">
        <v>24.28</v>
      </c>
      <c r="V63">
        <v>0.74</v>
      </c>
      <c r="W63">
        <v>1.8</v>
      </c>
      <c r="X63">
        <v>20</v>
      </c>
      <c r="Y63">
        <v>30</v>
      </c>
      <c r="Z63">
        <v>0.9</v>
      </c>
      <c r="AA63">
        <v>1</v>
      </c>
      <c r="AB63"/>
      <c r="AC63"/>
      <c r="AD63"/>
      <c r="AE63">
        <v>2</v>
      </c>
      <c r="AF63">
        <v>60</v>
      </c>
      <c r="AG63">
        <v>90</v>
      </c>
      <c r="AH63">
        <v>10</v>
      </c>
      <c r="AI63">
        <v>3.3</v>
      </c>
      <c r="AJ63">
        <v>0.2</v>
      </c>
      <c r="AK63">
        <v>3.1</v>
      </c>
    </row>
    <row r="64" spans="1:37" x14ac:dyDescent="0.2">
      <c r="A64" s="867"/>
      <c r="B64" t="s">
        <v>573</v>
      </c>
      <c r="C64">
        <v>2</v>
      </c>
      <c r="D64">
        <v>0.14000000000000001</v>
      </c>
      <c r="E64">
        <v>13.44</v>
      </c>
      <c r="F64">
        <v>5.0599999999999996</v>
      </c>
      <c r="G64">
        <v>6.77</v>
      </c>
      <c r="H64">
        <v>1.85</v>
      </c>
      <c r="I64">
        <v>5.5</v>
      </c>
      <c r="J64">
        <v>4.43</v>
      </c>
      <c r="K64">
        <v>6</v>
      </c>
      <c r="L64">
        <v>11</v>
      </c>
      <c r="M64">
        <v>0.62</v>
      </c>
      <c r="N64">
        <v>0.84</v>
      </c>
      <c r="O64">
        <v>1.54</v>
      </c>
      <c r="P64">
        <v>1.33</v>
      </c>
      <c r="Q64">
        <v>1.79</v>
      </c>
      <c r="R64">
        <v>2.41</v>
      </c>
      <c r="S64">
        <v>21.28</v>
      </c>
      <c r="T64">
        <v>20.04</v>
      </c>
      <c r="U64">
        <v>24.28</v>
      </c>
      <c r="V64">
        <v>0.74</v>
      </c>
      <c r="W64">
        <v>1.8</v>
      </c>
      <c r="X64">
        <v>20</v>
      </c>
      <c r="Y64">
        <v>30</v>
      </c>
      <c r="Z64">
        <v>0.9</v>
      </c>
      <c r="AA64">
        <v>2</v>
      </c>
      <c r="AB64"/>
      <c r="AC64"/>
      <c r="AD64"/>
      <c r="AE64">
        <v>2</v>
      </c>
      <c r="AF64">
        <v>60</v>
      </c>
      <c r="AG64">
        <v>90</v>
      </c>
      <c r="AH64">
        <v>10</v>
      </c>
      <c r="AI64">
        <v>3.3</v>
      </c>
      <c r="AJ64">
        <v>0.2</v>
      </c>
      <c r="AK64">
        <v>3.1</v>
      </c>
    </row>
    <row r="65" spans="1:37" x14ac:dyDescent="0.2">
      <c r="A65" s="867"/>
      <c r="B65" t="s">
        <v>7840</v>
      </c>
      <c r="C65">
        <v>2</v>
      </c>
      <c r="D65">
        <v>0.14000000000000001</v>
      </c>
      <c r="E65">
        <v>12.08</v>
      </c>
      <c r="F65">
        <v>4.8099999999999996</v>
      </c>
      <c r="G65">
        <v>6.57</v>
      </c>
      <c r="H65">
        <v>1.85</v>
      </c>
      <c r="I65">
        <v>5.5</v>
      </c>
      <c r="J65">
        <v>4.43</v>
      </c>
      <c r="K65">
        <v>6</v>
      </c>
      <c r="L65">
        <v>11</v>
      </c>
      <c r="M65">
        <v>0.62</v>
      </c>
      <c r="N65">
        <v>0.84</v>
      </c>
      <c r="O65">
        <v>1.54</v>
      </c>
      <c r="P65">
        <v>1.33</v>
      </c>
      <c r="Q65">
        <v>1.79</v>
      </c>
      <c r="R65">
        <v>2.41</v>
      </c>
      <c r="S65">
        <v>21.28</v>
      </c>
      <c r="T65">
        <v>20.04</v>
      </c>
      <c r="U65">
        <v>24.28</v>
      </c>
      <c r="V65">
        <v>0.74</v>
      </c>
      <c r="W65">
        <v>1.8</v>
      </c>
      <c r="X65">
        <v>20</v>
      </c>
      <c r="Y65">
        <v>30</v>
      </c>
      <c r="Z65">
        <v>0.9</v>
      </c>
      <c r="AA65">
        <v>3</v>
      </c>
      <c r="AB65"/>
      <c r="AC65"/>
      <c r="AD65"/>
      <c r="AE65">
        <v>2</v>
      </c>
      <c r="AF65">
        <v>60</v>
      </c>
      <c r="AG65">
        <v>90</v>
      </c>
      <c r="AH65">
        <v>10</v>
      </c>
      <c r="AI65">
        <v>3.3</v>
      </c>
      <c r="AJ65">
        <v>0.2</v>
      </c>
      <c r="AK65">
        <v>3.1</v>
      </c>
    </row>
    <row r="66" spans="1:37" x14ac:dyDescent="0.2">
      <c r="A66" s="867"/>
      <c r="B66" t="s">
        <v>7841</v>
      </c>
      <c r="C66">
        <v>2</v>
      </c>
      <c r="D66">
        <v>0.14000000000000001</v>
      </c>
      <c r="E66">
        <v>11.47</v>
      </c>
      <c r="F66">
        <v>4.33</v>
      </c>
      <c r="G66">
        <v>6.08</v>
      </c>
      <c r="H66">
        <v>1.85</v>
      </c>
      <c r="I66">
        <v>5.5</v>
      </c>
      <c r="J66">
        <v>4.43</v>
      </c>
      <c r="K66">
        <v>6</v>
      </c>
      <c r="L66">
        <v>11</v>
      </c>
      <c r="M66">
        <v>0.62</v>
      </c>
      <c r="N66">
        <v>0.84</v>
      </c>
      <c r="O66">
        <v>1.54</v>
      </c>
      <c r="P66">
        <v>1.33</v>
      </c>
      <c r="Q66">
        <v>1.79</v>
      </c>
      <c r="R66">
        <v>2.41</v>
      </c>
      <c r="S66">
        <v>21.28</v>
      </c>
      <c r="T66">
        <v>20.04</v>
      </c>
      <c r="U66">
        <v>24.28</v>
      </c>
      <c r="V66">
        <v>0.74</v>
      </c>
      <c r="W66">
        <v>1.8</v>
      </c>
      <c r="X66">
        <v>20</v>
      </c>
      <c r="Y66">
        <v>30</v>
      </c>
      <c r="Z66">
        <v>0.9</v>
      </c>
      <c r="AA66">
        <v>4</v>
      </c>
      <c r="AB66"/>
      <c r="AC66"/>
      <c r="AD66"/>
      <c r="AE66">
        <v>2</v>
      </c>
      <c r="AF66">
        <v>60</v>
      </c>
      <c r="AG66">
        <v>90</v>
      </c>
      <c r="AH66">
        <v>10</v>
      </c>
      <c r="AI66">
        <v>3.3</v>
      </c>
      <c r="AJ66">
        <v>0.2</v>
      </c>
      <c r="AK66">
        <v>3.1</v>
      </c>
    </row>
    <row r="67" spans="1:37" x14ac:dyDescent="0.2">
      <c r="A67" s="867"/>
      <c r="B67" t="s">
        <v>62</v>
      </c>
      <c r="C67">
        <v>2</v>
      </c>
      <c r="D67">
        <v>0.14000000000000001</v>
      </c>
      <c r="E67">
        <v>15.41</v>
      </c>
      <c r="F67">
        <v>6.28</v>
      </c>
      <c r="G67">
        <v>7.53</v>
      </c>
      <c r="H67">
        <v>1.89</v>
      </c>
      <c r="I67">
        <v>5.5</v>
      </c>
      <c r="J67">
        <v>4.5</v>
      </c>
      <c r="K67">
        <v>6</v>
      </c>
      <c r="L67">
        <v>11</v>
      </c>
      <c r="M67">
        <v>0.63</v>
      </c>
      <c r="N67">
        <v>0.84</v>
      </c>
      <c r="O67">
        <v>1.54</v>
      </c>
      <c r="P67">
        <v>1.36</v>
      </c>
      <c r="Q67">
        <v>1.82</v>
      </c>
      <c r="R67">
        <v>2.4500000000000002</v>
      </c>
      <c r="S67">
        <v>21.18</v>
      </c>
      <c r="T67">
        <v>19.82</v>
      </c>
      <c r="U67">
        <v>23.97</v>
      </c>
      <c r="V67">
        <v>0.76</v>
      </c>
      <c r="W67">
        <v>1.8</v>
      </c>
      <c r="X67">
        <v>20</v>
      </c>
      <c r="Y67">
        <v>30</v>
      </c>
      <c r="Z67">
        <v>0.9</v>
      </c>
      <c r="AA67">
        <v>1</v>
      </c>
      <c r="AB67"/>
      <c r="AC67"/>
      <c r="AD67"/>
      <c r="AE67">
        <v>2</v>
      </c>
      <c r="AF67">
        <v>60</v>
      </c>
      <c r="AG67">
        <v>90</v>
      </c>
      <c r="AH67">
        <v>10</v>
      </c>
      <c r="AI67">
        <v>3.3</v>
      </c>
      <c r="AJ67">
        <v>0.2</v>
      </c>
      <c r="AK67">
        <v>3.1</v>
      </c>
    </row>
    <row r="68" spans="1:37" x14ac:dyDescent="0.2">
      <c r="A68" s="867"/>
      <c r="B68" t="s">
        <v>63</v>
      </c>
      <c r="C68">
        <v>2</v>
      </c>
      <c r="D68">
        <v>0.14000000000000001</v>
      </c>
      <c r="E68">
        <v>14.78</v>
      </c>
      <c r="F68">
        <v>5.56</v>
      </c>
      <c r="G68">
        <v>7.27</v>
      </c>
      <c r="H68">
        <v>1.89</v>
      </c>
      <c r="I68">
        <v>5.5</v>
      </c>
      <c r="J68">
        <v>4.5</v>
      </c>
      <c r="K68">
        <v>6</v>
      </c>
      <c r="L68">
        <v>11</v>
      </c>
      <c r="M68">
        <v>0.63</v>
      </c>
      <c r="N68">
        <v>0.84</v>
      </c>
      <c r="O68">
        <v>1.54</v>
      </c>
      <c r="P68">
        <v>1.36</v>
      </c>
      <c r="Q68">
        <v>1.82</v>
      </c>
      <c r="R68">
        <v>2.4500000000000002</v>
      </c>
      <c r="S68">
        <v>21.18</v>
      </c>
      <c r="T68">
        <v>19.82</v>
      </c>
      <c r="U68">
        <v>23.97</v>
      </c>
      <c r="V68">
        <v>0.76</v>
      </c>
      <c r="W68">
        <v>1.8</v>
      </c>
      <c r="X68">
        <v>20</v>
      </c>
      <c r="Y68">
        <v>30</v>
      </c>
      <c r="Z68">
        <v>0.9</v>
      </c>
      <c r="AA68">
        <v>2</v>
      </c>
      <c r="AB68"/>
      <c r="AC68"/>
      <c r="AD68"/>
      <c r="AE68">
        <v>2</v>
      </c>
      <c r="AF68">
        <v>60</v>
      </c>
      <c r="AG68">
        <v>90</v>
      </c>
      <c r="AH68">
        <v>10</v>
      </c>
      <c r="AI68">
        <v>3.3</v>
      </c>
      <c r="AJ68">
        <v>0.2</v>
      </c>
      <c r="AK68">
        <v>3.1</v>
      </c>
    </row>
    <row r="69" spans="1:37" x14ac:dyDescent="0.2">
      <c r="A69" s="867"/>
      <c r="B69" t="s">
        <v>7842</v>
      </c>
      <c r="C69">
        <v>2</v>
      </c>
      <c r="D69">
        <v>0.14000000000000001</v>
      </c>
      <c r="E69">
        <v>13.39</v>
      </c>
      <c r="F69">
        <v>4.95</v>
      </c>
      <c r="G69">
        <v>7.06</v>
      </c>
      <c r="H69">
        <v>1.89</v>
      </c>
      <c r="I69">
        <v>5.5</v>
      </c>
      <c r="J69">
        <v>4.5</v>
      </c>
      <c r="K69">
        <v>6</v>
      </c>
      <c r="L69">
        <v>11</v>
      </c>
      <c r="M69">
        <v>0.63</v>
      </c>
      <c r="N69">
        <v>0.84</v>
      </c>
      <c r="O69">
        <v>1.54</v>
      </c>
      <c r="P69">
        <v>1.36</v>
      </c>
      <c r="Q69">
        <v>1.82</v>
      </c>
      <c r="R69">
        <v>2.4500000000000002</v>
      </c>
      <c r="S69">
        <v>21.18</v>
      </c>
      <c r="T69">
        <v>19.82</v>
      </c>
      <c r="U69">
        <v>23.97</v>
      </c>
      <c r="V69">
        <v>0.76</v>
      </c>
      <c r="W69">
        <v>1.8</v>
      </c>
      <c r="X69">
        <v>20</v>
      </c>
      <c r="Y69">
        <v>30</v>
      </c>
      <c r="Z69">
        <v>0.9</v>
      </c>
      <c r="AA69">
        <v>3</v>
      </c>
      <c r="AB69"/>
      <c r="AC69"/>
      <c r="AD69"/>
      <c r="AE69">
        <v>2</v>
      </c>
      <c r="AF69">
        <v>60</v>
      </c>
      <c r="AG69">
        <v>90</v>
      </c>
      <c r="AH69">
        <v>10</v>
      </c>
      <c r="AI69">
        <v>3.3</v>
      </c>
      <c r="AJ69">
        <v>0.2</v>
      </c>
      <c r="AK69">
        <v>3.1</v>
      </c>
    </row>
    <row r="70" spans="1:37" x14ac:dyDescent="0.2">
      <c r="A70" s="867"/>
      <c r="B70" t="s">
        <v>7843</v>
      </c>
      <c r="C70">
        <v>2</v>
      </c>
      <c r="D70">
        <v>0.14000000000000001</v>
      </c>
      <c r="E70">
        <v>12</v>
      </c>
      <c r="F70">
        <v>4.4800000000000004</v>
      </c>
      <c r="G70">
        <v>6.53</v>
      </c>
      <c r="H70">
        <v>1.89</v>
      </c>
      <c r="I70">
        <v>5.5</v>
      </c>
      <c r="J70">
        <v>4.5</v>
      </c>
      <c r="K70">
        <v>6</v>
      </c>
      <c r="L70">
        <v>11</v>
      </c>
      <c r="M70">
        <v>0.63</v>
      </c>
      <c r="N70">
        <v>0.84</v>
      </c>
      <c r="O70">
        <v>1.54</v>
      </c>
      <c r="P70">
        <v>1.36</v>
      </c>
      <c r="Q70">
        <v>1.82</v>
      </c>
      <c r="R70">
        <v>2.4500000000000002</v>
      </c>
      <c r="S70">
        <v>21.18</v>
      </c>
      <c r="T70">
        <v>19.82</v>
      </c>
      <c r="U70">
        <v>23.97</v>
      </c>
      <c r="V70">
        <v>0.76</v>
      </c>
      <c r="W70">
        <v>1.8</v>
      </c>
      <c r="X70">
        <v>20</v>
      </c>
      <c r="Y70">
        <v>30</v>
      </c>
      <c r="Z70">
        <v>0.9</v>
      </c>
      <c r="AA70">
        <v>4</v>
      </c>
      <c r="AB70"/>
      <c r="AC70"/>
      <c r="AD70"/>
      <c r="AE70">
        <v>2</v>
      </c>
      <c r="AF70">
        <v>60</v>
      </c>
      <c r="AG70">
        <v>90</v>
      </c>
      <c r="AH70">
        <v>10</v>
      </c>
      <c r="AI70">
        <v>3.3</v>
      </c>
      <c r="AJ70">
        <v>0.2</v>
      </c>
      <c r="AK70">
        <v>3.1</v>
      </c>
    </row>
    <row r="71" spans="1:37" x14ac:dyDescent="0.2">
      <c r="A71" s="867"/>
      <c r="B71" t="s">
        <v>7832</v>
      </c>
      <c r="C71">
        <v>2</v>
      </c>
      <c r="D71">
        <v>0.14000000000000001</v>
      </c>
      <c r="E71">
        <v>16.239999999999998</v>
      </c>
      <c r="F71">
        <v>6.55</v>
      </c>
      <c r="G71">
        <v>8.0299999999999994</v>
      </c>
      <c r="H71">
        <v>1.95</v>
      </c>
      <c r="I71">
        <v>5.5</v>
      </c>
      <c r="J71">
        <v>4.6399999999999997</v>
      </c>
      <c r="K71">
        <v>6</v>
      </c>
      <c r="L71">
        <v>11</v>
      </c>
      <c r="M71">
        <v>0.65</v>
      </c>
      <c r="N71">
        <v>0.84</v>
      </c>
      <c r="O71">
        <v>1.54</v>
      </c>
      <c r="P71">
        <v>1.4</v>
      </c>
      <c r="Q71">
        <v>1.87</v>
      </c>
      <c r="R71">
        <v>2.5099999999999998</v>
      </c>
      <c r="S71">
        <v>21.23</v>
      </c>
      <c r="T71">
        <v>19.46</v>
      </c>
      <c r="U71">
        <v>23.53</v>
      </c>
      <c r="V71">
        <v>0.78</v>
      </c>
      <c r="W71">
        <v>1.8</v>
      </c>
      <c r="X71">
        <v>20</v>
      </c>
      <c r="Y71">
        <v>30</v>
      </c>
      <c r="Z71">
        <v>0.9</v>
      </c>
      <c r="AA71">
        <v>1</v>
      </c>
      <c r="AB71"/>
      <c r="AC71"/>
      <c r="AD71"/>
      <c r="AE71">
        <v>2</v>
      </c>
      <c r="AF71">
        <v>60</v>
      </c>
      <c r="AG71">
        <v>90</v>
      </c>
      <c r="AH71">
        <v>10</v>
      </c>
      <c r="AI71">
        <v>3.3</v>
      </c>
      <c r="AJ71">
        <v>0.2</v>
      </c>
      <c r="AK71">
        <v>3.1</v>
      </c>
    </row>
    <row r="72" spans="1:37" x14ac:dyDescent="0.2">
      <c r="A72" s="860"/>
      <c r="B72" t="s">
        <v>7833</v>
      </c>
      <c r="C72">
        <v>2</v>
      </c>
      <c r="D72">
        <v>0.14000000000000001</v>
      </c>
      <c r="E72">
        <v>15.59</v>
      </c>
      <c r="F72">
        <v>5.72</v>
      </c>
      <c r="G72">
        <v>7.78</v>
      </c>
      <c r="H72">
        <v>1.95</v>
      </c>
      <c r="I72">
        <v>5.5</v>
      </c>
      <c r="J72">
        <v>4.6399999999999997</v>
      </c>
      <c r="K72">
        <v>6</v>
      </c>
      <c r="L72">
        <v>11</v>
      </c>
      <c r="M72">
        <v>0.65</v>
      </c>
      <c r="N72">
        <v>0.84</v>
      </c>
      <c r="O72">
        <v>1.54</v>
      </c>
      <c r="P72">
        <v>1.4</v>
      </c>
      <c r="Q72">
        <v>1.87</v>
      </c>
      <c r="R72">
        <v>2.5099999999999998</v>
      </c>
      <c r="S72">
        <v>21.23</v>
      </c>
      <c r="T72">
        <v>19.46</v>
      </c>
      <c r="U72">
        <v>23.53</v>
      </c>
      <c r="V72">
        <v>0.78</v>
      </c>
      <c r="W72">
        <v>1.8</v>
      </c>
      <c r="X72">
        <v>20</v>
      </c>
      <c r="Y72">
        <v>30</v>
      </c>
      <c r="Z72">
        <v>0.9</v>
      </c>
      <c r="AA72">
        <v>2</v>
      </c>
      <c r="AB72"/>
      <c r="AC72"/>
      <c r="AD72"/>
      <c r="AE72">
        <v>2</v>
      </c>
      <c r="AF72">
        <v>60</v>
      </c>
      <c r="AG72">
        <v>90</v>
      </c>
      <c r="AH72">
        <v>10</v>
      </c>
      <c r="AI72">
        <v>3.3</v>
      </c>
      <c r="AJ72">
        <v>0.2</v>
      </c>
      <c r="AK72">
        <v>3.1</v>
      </c>
    </row>
    <row r="73" spans="1:37" x14ac:dyDescent="0.2">
      <c r="A73" s="860"/>
      <c r="B73" t="s">
        <v>7844</v>
      </c>
      <c r="C73">
        <v>2</v>
      </c>
      <c r="D73">
        <v>0.14000000000000001</v>
      </c>
      <c r="E73">
        <v>14.03</v>
      </c>
      <c r="F73">
        <v>5.07</v>
      </c>
      <c r="G73">
        <v>7.55</v>
      </c>
      <c r="H73">
        <v>1.95</v>
      </c>
      <c r="I73">
        <v>5.5</v>
      </c>
      <c r="J73">
        <v>4.6399999999999997</v>
      </c>
      <c r="K73">
        <v>6</v>
      </c>
      <c r="L73">
        <v>11</v>
      </c>
      <c r="M73">
        <v>0.65</v>
      </c>
      <c r="N73">
        <v>0.84</v>
      </c>
      <c r="O73">
        <v>1.54</v>
      </c>
      <c r="P73">
        <v>1.4</v>
      </c>
      <c r="Q73">
        <v>1.87</v>
      </c>
      <c r="R73">
        <v>2.5099999999999998</v>
      </c>
      <c r="S73">
        <v>21.23</v>
      </c>
      <c r="T73">
        <v>19.46</v>
      </c>
      <c r="U73">
        <v>23.53</v>
      </c>
      <c r="V73">
        <v>0.78</v>
      </c>
      <c r="W73">
        <v>1.8</v>
      </c>
      <c r="X73">
        <v>20</v>
      </c>
      <c r="Y73">
        <v>30</v>
      </c>
      <c r="Z73">
        <v>0.9</v>
      </c>
      <c r="AA73">
        <v>3</v>
      </c>
      <c r="AB73"/>
      <c r="AC73"/>
      <c r="AD73"/>
      <c r="AE73">
        <v>2</v>
      </c>
      <c r="AF73">
        <v>60</v>
      </c>
      <c r="AG73">
        <v>90</v>
      </c>
      <c r="AH73">
        <v>10</v>
      </c>
      <c r="AI73">
        <v>3.3</v>
      </c>
      <c r="AJ73">
        <v>0.2</v>
      </c>
      <c r="AK73">
        <v>3.1</v>
      </c>
    </row>
    <row r="74" spans="1:37" x14ac:dyDescent="0.2">
      <c r="A74" s="860"/>
      <c r="B74" t="s">
        <v>7845</v>
      </c>
      <c r="C74">
        <v>2</v>
      </c>
      <c r="D74">
        <v>0.14000000000000001</v>
      </c>
      <c r="E74">
        <v>12.6</v>
      </c>
      <c r="F74">
        <v>4.6399999999999997</v>
      </c>
      <c r="G74">
        <v>6.98</v>
      </c>
      <c r="H74">
        <v>1.95</v>
      </c>
      <c r="I74">
        <v>5.5</v>
      </c>
      <c r="J74">
        <v>4.6399999999999997</v>
      </c>
      <c r="K74">
        <v>6</v>
      </c>
      <c r="L74">
        <v>11</v>
      </c>
      <c r="M74">
        <v>0.65</v>
      </c>
      <c r="N74">
        <v>0.84</v>
      </c>
      <c r="O74">
        <v>1.54</v>
      </c>
      <c r="P74">
        <v>1.4</v>
      </c>
      <c r="Q74">
        <v>1.87</v>
      </c>
      <c r="R74">
        <v>2.5099999999999998</v>
      </c>
      <c r="S74">
        <v>21.23</v>
      </c>
      <c r="T74">
        <v>19.46</v>
      </c>
      <c r="U74">
        <v>23.53</v>
      </c>
      <c r="V74">
        <v>0.78</v>
      </c>
      <c r="W74">
        <v>1.8</v>
      </c>
      <c r="X74">
        <v>20</v>
      </c>
      <c r="Y74">
        <v>30</v>
      </c>
      <c r="Z74">
        <v>0.9</v>
      </c>
      <c r="AA74">
        <v>4</v>
      </c>
      <c r="AB74"/>
      <c r="AC74"/>
      <c r="AD74"/>
      <c r="AE74">
        <v>2</v>
      </c>
      <c r="AF74">
        <v>60</v>
      </c>
      <c r="AG74">
        <v>90</v>
      </c>
      <c r="AH74">
        <v>10</v>
      </c>
      <c r="AI74">
        <v>3.3</v>
      </c>
      <c r="AJ74">
        <v>0.2</v>
      </c>
      <c r="AK74">
        <v>3.1</v>
      </c>
    </row>
    <row r="75" spans="1:37" s="935" customFormat="1" x14ac:dyDescent="0.2">
      <c r="A75" s="934"/>
      <c r="B75" t="s">
        <v>64</v>
      </c>
      <c r="C75">
        <v>2</v>
      </c>
      <c r="D75">
        <v>0.3</v>
      </c>
      <c r="E75">
        <v>22.1</v>
      </c>
      <c r="F75">
        <v>9.6199999999999992</v>
      </c>
      <c r="G75">
        <v>8.8000000000000007</v>
      </c>
      <c r="H75">
        <v>3.6</v>
      </c>
      <c r="I75">
        <v>5.5</v>
      </c>
      <c r="J75">
        <v>3.33</v>
      </c>
      <c r="K75">
        <v>6</v>
      </c>
      <c r="L75">
        <v>11</v>
      </c>
      <c r="M75">
        <v>1</v>
      </c>
      <c r="N75">
        <v>1.8</v>
      </c>
      <c r="O75">
        <v>3.3</v>
      </c>
      <c r="P75">
        <v>2.46</v>
      </c>
      <c r="Q75">
        <v>3.51</v>
      </c>
      <c r="R75">
        <v>4.8</v>
      </c>
      <c r="S75">
        <v>19.71</v>
      </c>
      <c r="T75">
        <v>21.35</v>
      </c>
      <c r="U75">
        <v>25.71</v>
      </c>
      <c r="V75">
        <v>1.5</v>
      </c>
      <c r="W75">
        <v>1.8</v>
      </c>
      <c r="X75">
        <v>20</v>
      </c>
      <c r="Y75">
        <v>30</v>
      </c>
      <c r="Z75">
        <v>0.9</v>
      </c>
      <c r="AA75"/>
      <c r="AB75"/>
      <c r="AC75"/>
      <c r="AD75"/>
      <c r="AE75">
        <v>2</v>
      </c>
      <c r="AF75">
        <v>60</v>
      </c>
      <c r="AG75">
        <v>90</v>
      </c>
      <c r="AH75">
        <v>10</v>
      </c>
      <c r="AI75">
        <v>3.3</v>
      </c>
      <c r="AJ75">
        <v>0.2</v>
      </c>
      <c r="AK75">
        <v>3.1</v>
      </c>
    </row>
    <row r="76" spans="1:37" s="865" customFormat="1" x14ac:dyDescent="0.2">
      <c r="A76" s="933"/>
      <c r="B76" t="s">
        <v>7953</v>
      </c>
      <c r="C76">
        <v>3</v>
      </c>
      <c r="D76"/>
      <c r="E76"/>
      <c r="F76"/>
      <c r="G76"/>
      <c r="H76"/>
      <c r="I76"/>
      <c r="J76"/>
      <c r="K76"/>
      <c r="L76"/>
      <c r="M76"/>
      <c r="N76"/>
      <c r="O76"/>
      <c r="P76"/>
      <c r="Q76"/>
      <c r="R76"/>
      <c r="S76"/>
      <c r="T76"/>
      <c r="U76"/>
      <c r="V76"/>
      <c r="W76"/>
      <c r="X76"/>
      <c r="Y76"/>
      <c r="Z76"/>
      <c r="AA76"/>
      <c r="AB76"/>
      <c r="AC76"/>
      <c r="AD76"/>
      <c r="AE76"/>
      <c r="AF76"/>
      <c r="AG76"/>
      <c r="AH76"/>
      <c r="AI76"/>
      <c r="AJ76"/>
      <c r="AK76"/>
    </row>
    <row r="77" spans="1:37" s="936" customFormat="1" x14ac:dyDescent="0.2">
      <c r="A77" s="933"/>
      <c r="B77" t="s">
        <v>65</v>
      </c>
      <c r="C77">
        <v>3</v>
      </c>
      <c r="D77">
        <v>4.0000000000000001E-3</v>
      </c>
      <c r="E77">
        <v>0.81</v>
      </c>
      <c r="F77">
        <v>0.42</v>
      </c>
      <c r="G77">
        <v>0.4</v>
      </c>
      <c r="H77"/>
      <c r="I77"/>
      <c r="J77">
        <f>+M77/$D77</f>
        <v>0.89999999999999991</v>
      </c>
      <c r="K77">
        <f t="shared" ref="K77:K89" si="16">+N77/$D77</f>
        <v>0.89999999999999991</v>
      </c>
      <c r="L77">
        <f t="shared" ref="L77:L89" si="17">+O77/$D77</f>
        <v>0.89999999999999991</v>
      </c>
      <c r="M77">
        <v>3.5999999999999999E-3</v>
      </c>
      <c r="N77">
        <v>3.5999999999999999E-3</v>
      </c>
      <c r="O77">
        <v>3.5999999999999999E-3</v>
      </c>
      <c r="P77">
        <v>2.3400000000000001E-2</v>
      </c>
      <c r="Q77">
        <v>2.3400000000000001E-2</v>
      </c>
      <c r="R77">
        <v>2.3400000000000001E-2</v>
      </c>
      <c r="S77">
        <v>50</v>
      </c>
      <c r="T77">
        <v>50</v>
      </c>
      <c r="U77">
        <v>50</v>
      </c>
      <c r="V77"/>
      <c r="W77"/>
      <c r="X77">
        <v>40</v>
      </c>
      <c r="Y77">
        <v>40</v>
      </c>
      <c r="Z77">
        <v>0.7</v>
      </c>
      <c r="AA77">
        <v>1</v>
      </c>
      <c r="AB77"/>
      <c r="AC77"/>
      <c r="AD77"/>
      <c r="AE77">
        <v>5</v>
      </c>
      <c r="AF77">
        <v>50</v>
      </c>
      <c r="AG77">
        <v>90</v>
      </c>
      <c r="AH77">
        <v>45</v>
      </c>
      <c r="AI77"/>
      <c r="AJ77"/>
      <c r="AK77"/>
    </row>
    <row r="78" spans="1:37" s="865" customFormat="1" x14ac:dyDescent="0.2">
      <c r="A78" s="860"/>
      <c r="B78" t="s">
        <v>66</v>
      </c>
      <c r="C78">
        <v>3</v>
      </c>
      <c r="D78">
        <v>4.0000000000000001E-3</v>
      </c>
      <c r="E78">
        <v>0.78</v>
      </c>
      <c r="F78">
        <v>0.37</v>
      </c>
      <c r="G78">
        <v>0.4</v>
      </c>
      <c r="H78"/>
      <c r="I78"/>
      <c r="J78">
        <f t="shared" ref="J78:J89" si="18">+M78/$D78</f>
        <v>0.89999999999999991</v>
      </c>
      <c r="K78">
        <f t="shared" si="16"/>
        <v>0.89999999999999991</v>
      </c>
      <c r="L78">
        <f t="shared" si="17"/>
        <v>0.89999999999999991</v>
      </c>
      <c r="M78">
        <v>3.5999999999999999E-3</v>
      </c>
      <c r="N78">
        <v>3.5999999999999999E-3</v>
      </c>
      <c r="O78">
        <v>3.5999999999999999E-3</v>
      </c>
      <c r="P78">
        <v>2.3400000000000001E-2</v>
      </c>
      <c r="Q78">
        <v>2.3400000000000001E-2</v>
      </c>
      <c r="R78">
        <v>2.3400000000000001E-2</v>
      </c>
      <c r="S78">
        <v>50</v>
      </c>
      <c r="T78">
        <v>50</v>
      </c>
      <c r="U78">
        <v>50</v>
      </c>
      <c r="V78"/>
      <c r="W78"/>
      <c r="X78">
        <v>40</v>
      </c>
      <c r="Y78">
        <v>40</v>
      </c>
      <c r="Z78">
        <v>0.7</v>
      </c>
      <c r="AA78">
        <v>2</v>
      </c>
      <c r="AB78"/>
      <c r="AC78"/>
      <c r="AD78"/>
      <c r="AE78">
        <v>5</v>
      </c>
      <c r="AF78">
        <v>50</v>
      </c>
      <c r="AG78">
        <v>90</v>
      </c>
      <c r="AH78">
        <v>45</v>
      </c>
      <c r="AI78"/>
      <c r="AJ78"/>
      <c r="AK78"/>
    </row>
    <row r="79" spans="1:37" s="865" customFormat="1" x14ac:dyDescent="0.2">
      <c r="A79" s="860"/>
      <c r="B79" t="s">
        <v>67</v>
      </c>
      <c r="C79">
        <v>3</v>
      </c>
      <c r="D79">
        <v>4.0000000000000001E-3</v>
      </c>
      <c r="E79">
        <v>0.28999999999999998</v>
      </c>
      <c r="F79">
        <v>0.19</v>
      </c>
      <c r="G79">
        <v>0.17</v>
      </c>
      <c r="H79"/>
      <c r="I79"/>
      <c r="J79">
        <f t="shared" si="18"/>
        <v>0.52499999999999991</v>
      </c>
      <c r="K79">
        <f t="shared" si="16"/>
        <v>0.52499999999999991</v>
      </c>
      <c r="L79">
        <f t="shared" si="17"/>
        <v>0.52499999999999991</v>
      </c>
      <c r="M79">
        <v>2.0999999999999999E-3</v>
      </c>
      <c r="N79">
        <v>2.0999999999999999E-3</v>
      </c>
      <c r="O79">
        <v>2.0999999999999999E-3</v>
      </c>
      <c r="P79">
        <v>7.4000000000000003E-3</v>
      </c>
      <c r="Q79">
        <v>7.4000000000000003E-3</v>
      </c>
      <c r="R79">
        <v>7.4000000000000003E-3</v>
      </c>
      <c r="S79">
        <v>50</v>
      </c>
      <c r="T79">
        <v>50</v>
      </c>
      <c r="U79">
        <v>50</v>
      </c>
      <c r="V79"/>
      <c r="W79"/>
      <c r="X79">
        <v>40</v>
      </c>
      <c r="Y79">
        <v>40</v>
      </c>
      <c r="Z79">
        <v>0.7</v>
      </c>
      <c r="AA79">
        <v>1</v>
      </c>
      <c r="AB79"/>
      <c r="AC79"/>
      <c r="AD79"/>
      <c r="AE79">
        <v>5</v>
      </c>
      <c r="AF79">
        <v>50</v>
      </c>
      <c r="AG79">
        <v>90</v>
      </c>
      <c r="AH79">
        <v>45</v>
      </c>
      <c r="AI79"/>
      <c r="AJ79"/>
      <c r="AK79"/>
    </row>
    <row r="80" spans="1:37" s="865" customFormat="1" x14ac:dyDescent="0.2">
      <c r="A80" s="860"/>
      <c r="B80" t="s">
        <v>68</v>
      </c>
      <c r="C80">
        <v>3</v>
      </c>
      <c r="D80">
        <v>4.0000000000000001E-3</v>
      </c>
      <c r="E80">
        <v>0.27</v>
      </c>
      <c r="F80">
        <v>0.16</v>
      </c>
      <c r="G80">
        <v>0.16</v>
      </c>
      <c r="H80"/>
      <c r="I80"/>
      <c r="J80">
        <f t="shared" si="18"/>
        <v>0.52499999999999991</v>
      </c>
      <c r="K80">
        <f t="shared" si="16"/>
        <v>0.52499999999999991</v>
      </c>
      <c r="L80">
        <f t="shared" si="17"/>
        <v>0.52499999999999991</v>
      </c>
      <c r="M80">
        <v>2.0999999999999999E-3</v>
      </c>
      <c r="N80">
        <v>2.0999999999999999E-3</v>
      </c>
      <c r="O80">
        <v>2.0999999999999999E-3</v>
      </c>
      <c r="P80">
        <v>7.4000000000000003E-3</v>
      </c>
      <c r="Q80">
        <v>7.4000000000000003E-3</v>
      </c>
      <c r="R80">
        <v>7.4000000000000003E-3</v>
      </c>
      <c r="S80">
        <v>50</v>
      </c>
      <c r="T80">
        <v>50</v>
      </c>
      <c r="U80">
        <v>50</v>
      </c>
      <c r="V80"/>
      <c r="W80"/>
      <c r="X80">
        <v>40</v>
      </c>
      <c r="Y80">
        <v>40</v>
      </c>
      <c r="Z80">
        <v>0.7</v>
      </c>
      <c r="AA80">
        <v>2</v>
      </c>
      <c r="AB80"/>
      <c r="AC80"/>
      <c r="AD80"/>
      <c r="AE80">
        <v>5</v>
      </c>
      <c r="AF80">
        <v>50</v>
      </c>
      <c r="AG80">
        <v>90</v>
      </c>
      <c r="AH80">
        <v>45</v>
      </c>
      <c r="AI80"/>
      <c r="AJ80"/>
      <c r="AK80"/>
    </row>
    <row r="81" spans="1:37" s="865" customFormat="1" x14ac:dyDescent="0.2">
      <c r="A81" s="867"/>
      <c r="B81" t="s">
        <v>69</v>
      </c>
      <c r="C81">
        <v>3</v>
      </c>
      <c r="D81">
        <v>4.0000000000000001E-3</v>
      </c>
      <c r="E81">
        <v>0.52</v>
      </c>
      <c r="F81">
        <v>0.25</v>
      </c>
      <c r="G81">
        <v>0.28000000000000003</v>
      </c>
      <c r="H81"/>
      <c r="I81"/>
      <c r="J81">
        <f t="shared" si="18"/>
        <v>0.44999999999999996</v>
      </c>
      <c r="K81">
        <f t="shared" si="16"/>
        <v>0.44999999999999996</v>
      </c>
      <c r="L81">
        <f t="shared" si="17"/>
        <v>0.44999999999999996</v>
      </c>
      <c r="M81">
        <v>1.8E-3</v>
      </c>
      <c r="N81">
        <v>1.8E-3</v>
      </c>
      <c r="O81">
        <v>1.8E-3</v>
      </c>
      <c r="P81">
        <v>1.4800000000000001E-2</v>
      </c>
      <c r="Q81">
        <v>1.4800000000000001E-2</v>
      </c>
      <c r="R81">
        <v>1.4800000000000001E-2</v>
      </c>
      <c r="S81">
        <v>60</v>
      </c>
      <c r="T81">
        <v>60</v>
      </c>
      <c r="U81">
        <v>60</v>
      </c>
      <c r="V81"/>
      <c r="W81"/>
      <c r="X81">
        <v>40</v>
      </c>
      <c r="Y81">
        <v>40</v>
      </c>
      <c r="Z81">
        <v>0.7</v>
      </c>
      <c r="AA81">
        <v>1</v>
      </c>
      <c r="AB81"/>
      <c r="AC81"/>
      <c r="AD81"/>
      <c r="AE81">
        <v>5</v>
      </c>
      <c r="AF81">
        <v>50</v>
      </c>
      <c r="AG81">
        <v>90</v>
      </c>
      <c r="AH81">
        <v>45</v>
      </c>
      <c r="AI81"/>
      <c r="AJ81"/>
      <c r="AK81"/>
    </row>
    <row r="82" spans="1:37" s="865" customFormat="1" x14ac:dyDescent="0.2">
      <c r="A82" s="867"/>
      <c r="B82" t="s">
        <v>70</v>
      </c>
      <c r="C82">
        <v>3</v>
      </c>
      <c r="D82">
        <v>4.0000000000000001E-3</v>
      </c>
      <c r="E82">
        <v>0.48</v>
      </c>
      <c r="F82">
        <v>0.23</v>
      </c>
      <c r="G82">
        <v>0.28000000000000003</v>
      </c>
      <c r="H82"/>
      <c r="I82"/>
      <c r="J82">
        <f t="shared" si="18"/>
        <v>0.44999999999999996</v>
      </c>
      <c r="K82">
        <f t="shared" si="16"/>
        <v>0.44999999999999996</v>
      </c>
      <c r="L82">
        <f t="shared" si="17"/>
        <v>0.44999999999999996</v>
      </c>
      <c r="M82">
        <v>1.8E-3</v>
      </c>
      <c r="N82">
        <v>1.8E-3</v>
      </c>
      <c r="O82">
        <v>1.8E-3</v>
      </c>
      <c r="P82">
        <v>1.4800000000000001E-2</v>
      </c>
      <c r="Q82">
        <v>1.4800000000000001E-2</v>
      </c>
      <c r="R82">
        <v>1.4800000000000001E-2</v>
      </c>
      <c r="S82">
        <v>60</v>
      </c>
      <c r="T82">
        <v>60</v>
      </c>
      <c r="U82">
        <v>60</v>
      </c>
      <c r="V82"/>
      <c r="W82"/>
      <c r="X82">
        <v>40</v>
      </c>
      <c r="Y82">
        <v>40</v>
      </c>
      <c r="Z82">
        <v>0.7</v>
      </c>
      <c r="AA82">
        <v>2</v>
      </c>
      <c r="AB82"/>
      <c r="AC82"/>
      <c r="AD82"/>
      <c r="AE82">
        <v>5</v>
      </c>
      <c r="AF82">
        <v>50</v>
      </c>
      <c r="AG82">
        <v>90</v>
      </c>
      <c r="AH82">
        <v>45</v>
      </c>
      <c r="AI82"/>
      <c r="AJ82"/>
      <c r="AK82"/>
    </row>
    <row r="83" spans="1:37" s="865" customFormat="1" x14ac:dyDescent="0.2">
      <c r="A83" s="867"/>
      <c r="B83" t="s">
        <v>71</v>
      </c>
      <c r="C83">
        <v>3</v>
      </c>
      <c r="D83">
        <v>4.0000000000000001E-3</v>
      </c>
      <c r="E83">
        <v>2.42</v>
      </c>
      <c r="F83">
        <v>1.37</v>
      </c>
      <c r="G83">
        <v>1.17</v>
      </c>
      <c r="H83"/>
      <c r="I83"/>
      <c r="J83">
        <f t="shared" si="18"/>
        <v>5.4249999999999998</v>
      </c>
      <c r="K83">
        <f t="shared" si="16"/>
        <v>5.4249999999999998</v>
      </c>
      <c r="L83">
        <f t="shared" si="17"/>
        <v>5.4249999999999998</v>
      </c>
      <c r="M83">
        <v>2.1700000000000001E-2</v>
      </c>
      <c r="N83">
        <v>2.1700000000000001E-2</v>
      </c>
      <c r="O83">
        <v>2.1700000000000001E-2</v>
      </c>
      <c r="P83">
        <v>5.4699999999999999E-2</v>
      </c>
      <c r="Q83">
        <v>5.4699999999999999E-2</v>
      </c>
      <c r="R83">
        <v>5.4699999999999999E-2</v>
      </c>
      <c r="S83">
        <v>50</v>
      </c>
      <c r="T83">
        <v>50</v>
      </c>
      <c r="U83">
        <v>50</v>
      </c>
      <c r="V83"/>
      <c r="W83"/>
      <c r="X83">
        <v>40</v>
      </c>
      <c r="Y83">
        <v>40</v>
      </c>
      <c r="Z83">
        <v>0.7</v>
      </c>
      <c r="AA83">
        <v>1</v>
      </c>
      <c r="AB83"/>
      <c r="AC83"/>
      <c r="AD83"/>
      <c r="AE83">
        <v>5</v>
      </c>
      <c r="AF83">
        <v>50</v>
      </c>
      <c r="AG83">
        <v>90</v>
      </c>
      <c r="AH83">
        <v>45</v>
      </c>
      <c r="AI83"/>
      <c r="AJ83"/>
      <c r="AK83"/>
    </row>
    <row r="84" spans="1:37" s="865" customFormat="1" x14ac:dyDescent="0.2">
      <c r="A84" s="867"/>
      <c r="B84" t="s">
        <v>72</v>
      </c>
      <c r="C84">
        <v>3</v>
      </c>
      <c r="D84">
        <v>4.0000000000000001E-3</v>
      </c>
      <c r="E84">
        <v>2.25</v>
      </c>
      <c r="F84">
        <v>1.06</v>
      </c>
      <c r="G84">
        <v>1.1100000000000001</v>
      </c>
      <c r="H84"/>
      <c r="I84"/>
      <c r="J84">
        <f t="shared" si="18"/>
        <v>5.4249999999999998</v>
      </c>
      <c r="K84">
        <f t="shared" si="16"/>
        <v>5.4249999999999998</v>
      </c>
      <c r="L84">
        <f t="shared" si="17"/>
        <v>5.4249999999999998</v>
      </c>
      <c r="M84">
        <v>2.1700000000000001E-2</v>
      </c>
      <c r="N84">
        <v>2.1700000000000001E-2</v>
      </c>
      <c r="O84">
        <v>2.1700000000000001E-2</v>
      </c>
      <c r="P84">
        <v>5.4699999999999999E-2</v>
      </c>
      <c r="Q84">
        <v>5.4699999999999999E-2</v>
      </c>
      <c r="R84">
        <v>5.4699999999999999E-2</v>
      </c>
      <c r="S84">
        <v>50</v>
      </c>
      <c r="T84">
        <v>50</v>
      </c>
      <c r="U84">
        <v>50</v>
      </c>
      <c r="V84"/>
      <c r="W84"/>
      <c r="X84">
        <v>40</v>
      </c>
      <c r="Y84">
        <v>40</v>
      </c>
      <c r="Z84">
        <v>0.7</v>
      </c>
      <c r="AA84">
        <v>2</v>
      </c>
      <c r="AB84"/>
      <c r="AC84"/>
      <c r="AD84"/>
      <c r="AE84">
        <v>5</v>
      </c>
      <c r="AF84">
        <v>50</v>
      </c>
      <c r="AG84">
        <v>90</v>
      </c>
      <c r="AH84">
        <v>45</v>
      </c>
      <c r="AI84"/>
      <c r="AJ84"/>
      <c r="AK84"/>
    </row>
    <row r="85" spans="1:37" s="865" customFormat="1" x14ac:dyDescent="0.2">
      <c r="A85" s="867"/>
      <c r="B85" t="s">
        <v>73</v>
      </c>
      <c r="C85">
        <v>3</v>
      </c>
      <c r="D85">
        <v>4.0000000000000001E-3</v>
      </c>
      <c r="E85">
        <v>1.72</v>
      </c>
      <c r="F85">
        <v>0.94</v>
      </c>
      <c r="G85">
        <v>0.96</v>
      </c>
      <c r="H85"/>
      <c r="I85"/>
      <c r="J85">
        <f t="shared" si="18"/>
        <v>4.3499999999999996</v>
      </c>
      <c r="K85">
        <f t="shared" si="16"/>
        <v>4.3499999999999996</v>
      </c>
      <c r="L85">
        <f t="shared" si="17"/>
        <v>4.3499999999999996</v>
      </c>
      <c r="M85">
        <v>1.7399999999999999E-2</v>
      </c>
      <c r="N85">
        <v>1.7399999999999999E-2</v>
      </c>
      <c r="O85">
        <v>1.7399999999999999E-2</v>
      </c>
      <c r="P85">
        <v>6.0900000000000003E-2</v>
      </c>
      <c r="Q85">
        <v>6.0900000000000003E-2</v>
      </c>
      <c r="R85">
        <v>6.0900000000000003E-2</v>
      </c>
      <c r="S85">
        <v>50</v>
      </c>
      <c r="T85">
        <v>50</v>
      </c>
      <c r="U85">
        <v>50</v>
      </c>
      <c r="V85"/>
      <c r="W85"/>
      <c r="X85">
        <v>40</v>
      </c>
      <c r="Y85">
        <v>40</v>
      </c>
      <c r="Z85">
        <v>0.7</v>
      </c>
      <c r="AA85">
        <v>1</v>
      </c>
      <c r="AB85"/>
      <c r="AC85"/>
      <c r="AD85"/>
      <c r="AE85">
        <v>5</v>
      </c>
      <c r="AF85">
        <v>50</v>
      </c>
      <c r="AG85">
        <v>90</v>
      </c>
      <c r="AH85">
        <v>45</v>
      </c>
      <c r="AI85"/>
      <c r="AJ85"/>
      <c r="AK85"/>
    </row>
    <row r="86" spans="1:37" s="865" customFormat="1" x14ac:dyDescent="0.2">
      <c r="A86" s="867"/>
      <c r="B86" t="s">
        <v>74</v>
      </c>
      <c r="C86">
        <v>3</v>
      </c>
      <c r="D86">
        <v>4.0000000000000001E-3</v>
      </c>
      <c r="E86">
        <v>1.62</v>
      </c>
      <c r="F86">
        <v>0.66</v>
      </c>
      <c r="G86">
        <v>0.92</v>
      </c>
      <c r="H86"/>
      <c r="I86"/>
      <c r="J86">
        <f t="shared" si="18"/>
        <v>4.3499999999999996</v>
      </c>
      <c r="K86">
        <f t="shared" si="16"/>
        <v>4.3499999999999996</v>
      </c>
      <c r="L86">
        <f t="shared" si="17"/>
        <v>4.3499999999999996</v>
      </c>
      <c r="M86">
        <v>1.7399999999999999E-2</v>
      </c>
      <c r="N86">
        <v>1.7399999999999999E-2</v>
      </c>
      <c r="O86">
        <v>1.7399999999999999E-2</v>
      </c>
      <c r="P86">
        <v>6.0900000000000003E-2</v>
      </c>
      <c r="Q86">
        <v>6.0900000000000003E-2</v>
      </c>
      <c r="R86">
        <v>6.0900000000000003E-2</v>
      </c>
      <c r="S86">
        <v>50</v>
      </c>
      <c r="T86">
        <v>50</v>
      </c>
      <c r="U86">
        <v>50</v>
      </c>
      <c r="V86"/>
      <c r="W86"/>
      <c r="X86">
        <v>40</v>
      </c>
      <c r="Y86">
        <v>40</v>
      </c>
      <c r="Z86">
        <v>0.7</v>
      </c>
      <c r="AA86">
        <v>2</v>
      </c>
      <c r="AB86"/>
      <c r="AC86"/>
      <c r="AD86"/>
      <c r="AE86">
        <v>5</v>
      </c>
      <c r="AF86">
        <v>50</v>
      </c>
      <c r="AG86">
        <v>90</v>
      </c>
      <c r="AH86">
        <v>45</v>
      </c>
      <c r="AI86"/>
      <c r="AJ86"/>
      <c r="AK86"/>
    </row>
    <row r="87" spans="1:37" s="865" customFormat="1" x14ac:dyDescent="0.2">
      <c r="A87" s="860"/>
      <c r="B87" t="s">
        <v>75</v>
      </c>
      <c r="C87">
        <v>3</v>
      </c>
      <c r="D87">
        <v>4.0000000000000001E-3</v>
      </c>
      <c r="E87">
        <v>1.87</v>
      </c>
      <c r="F87">
        <v>0.57999999999999996</v>
      </c>
      <c r="G87">
        <v>1.79</v>
      </c>
      <c r="H87"/>
      <c r="I87"/>
      <c r="J87">
        <f t="shared" si="18"/>
        <v>13.324999999999999</v>
      </c>
      <c r="K87">
        <f t="shared" si="16"/>
        <v>13.324999999999999</v>
      </c>
      <c r="L87">
        <f t="shared" si="17"/>
        <v>13.324999999999999</v>
      </c>
      <c r="M87">
        <v>5.33E-2</v>
      </c>
      <c r="N87">
        <v>5.33E-2</v>
      </c>
      <c r="O87">
        <v>5.33E-2</v>
      </c>
      <c r="P87">
        <v>0.1053</v>
      </c>
      <c r="Q87">
        <v>0.1053</v>
      </c>
      <c r="R87">
        <v>0.1053</v>
      </c>
      <c r="S87">
        <v>30</v>
      </c>
      <c r="T87">
        <v>30</v>
      </c>
      <c r="U87">
        <v>30</v>
      </c>
      <c r="V87"/>
      <c r="W87"/>
      <c r="X87">
        <v>40</v>
      </c>
      <c r="Y87">
        <v>40</v>
      </c>
      <c r="Z87">
        <v>0.7</v>
      </c>
      <c r="AA87">
        <v>1</v>
      </c>
      <c r="AB87"/>
      <c r="AC87"/>
      <c r="AD87"/>
      <c r="AE87">
        <v>5</v>
      </c>
      <c r="AF87">
        <v>50</v>
      </c>
      <c r="AG87">
        <v>90</v>
      </c>
      <c r="AH87">
        <v>45</v>
      </c>
      <c r="AI87"/>
      <c r="AJ87"/>
      <c r="AK87"/>
    </row>
    <row r="88" spans="1:37" s="865" customFormat="1" x14ac:dyDescent="0.2">
      <c r="A88" s="860"/>
      <c r="B88" t="s">
        <v>76</v>
      </c>
      <c r="C88">
        <v>3</v>
      </c>
      <c r="D88">
        <v>4.0000000000000001E-3</v>
      </c>
      <c r="E88">
        <v>0.71</v>
      </c>
      <c r="F88">
        <v>0.4</v>
      </c>
      <c r="G88">
        <v>0.38</v>
      </c>
      <c r="H88"/>
      <c r="I88"/>
      <c r="J88">
        <f t="shared" si="18"/>
        <v>1.6</v>
      </c>
      <c r="K88">
        <f t="shared" si="16"/>
        <v>1.6</v>
      </c>
      <c r="L88">
        <f t="shared" si="17"/>
        <v>1.6</v>
      </c>
      <c r="M88">
        <v>6.4000000000000003E-3</v>
      </c>
      <c r="N88">
        <v>6.4000000000000003E-3</v>
      </c>
      <c r="O88">
        <v>6.4000000000000003E-3</v>
      </c>
      <c r="P88">
        <v>6.7400000000000002E-2</v>
      </c>
      <c r="Q88">
        <v>6.7400000000000002E-2</v>
      </c>
      <c r="R88">
        <v>6.7400000000000002E-2</v>
      </c>
      <c r="S88">
        <v>30</v>
      </c>
      <c r="T88">
        <v>30</v>
      </c>
      <c r="U88">
        <v>30</v>
      </c>
      <c r="V88"/>
      <c r="W88"/>
      <c r="X88">
        <v>40</v>
      </c>
      <c r="Y88">
        <v>40</v>
      </c>
      <c r="Z88">
        <v>0.7</v>
      </c>
      <c r="AA88">
        <v>1</v>
      </c>
      <c r="AB88"/>
      <c r="AC88"/>
      <c r="AD88"/>
      <c r="AE88">
        <v>5</v>
      </c>
      <c r="AF88">
        <v>50</v>
      </c>
      <c r="AG88">
        <v>90</v>
      </c>
      <c r="AH88">
        <v>45</v>
      </c>
      <c r="AI88"/>
      <c r="AJ88"/>
      <c r="AK88"/>
    </row>
    <row r="89" spans="1:37" s="865" customFormat="1" x14ac:dyDescent="0.2">
      <c r="A89" s="860"/>
      <c r="B89" t="s">
        <v>77</v>
      </c>
      <c r="C89">
        <v>3</v>
      </c>
      <c r="D89">
        <v>4.0000000000000001E-3</v>
      </c>
      <c r="E89">
        <v>0.63</v>
      </c>
      <c r="F89">
        <v>0.4</v>
      </c>
      <c r="G89">
        <v>0.31</v>
      </c>
      <c r="H89"/>
      <c r="I89"/>
      <c r="J89">
        <f t="shared" si="18"/>
        <v>1.5</v>
      </c>
      <c r="K89">
        <f t="shared" si="16"/>
        <v>1.5</v>
      </c>
      <c r="L89">
        <f t="shared" si="17"/>
        <v>1.5</v>
      </c>
      <c r="M89">
        <v>6.0000000000000001E-3</v>
      </c>
      <c r="N89">
        <v>6.0000000000000001E-3</v>
      </c>
      <c r="O89">
        <v>6.0000000000000001E-3</v>
      </c>
      <c r="P89">
        <v>0.05</v>
      </c>
      <c r="Q89">
        <v>0.05</v>
      </c>
      <c r="R89">
        <v>0.05</v>
      </c>
      <c r="S89">
        <v>30</v>
      </c>
      <c r="T89">
        <v>30</v>
      </c>
      <c r="U89">
        <v>30</v>
      </c>
      <c r="V89"/>
      <c r="W89"/>
      <c r="X89">
        <v>40</v>
      </c>
      <c r="Y89">
        <v>40</v>
      </c>
      <c r="Z89">
        <v>0.7</v>
      </c>
      <c r="AA89">
        <v>1</v>
      </c>
      <c r="AB89"/>
      <c r="AC89"/>
      <c r="AD89"/>
      <c r="AE89">
        <v>5</v>
      </c>
      <c r="AF89">
        <v>50</v>
      </c>
      <c r="AG89">
        <v>90</v>
      </c>
      <c r="AH89">
        <v>45</v>
      </c>
      <c r="AI89"/>
      <c r="AJ89"/>
      <c r="AK89"/>
    </row>
    <row r="90" spans="1:37" s="865" customFormat="1" x14ac:dyDescent="0.2">
      <c r="A90" s="860"/>
      <c r="B90" t="s">
        <v>7963</v>
      </c>
      <c r="C90">
        <v>4</v>
      </c>
      <c r="D90"/>
      <c r="E90"/>
      <c r="F90"/>
      <c r="G90"/>
      <c r="H90"/>
      <c r="I90"/>
      <c r="J90"/>
      <c r="K90"/>
      <c r="L90"/>
      <c r="M90"/>
      <c r="N90"/>
      <c r="O90"/>
      <c r="P90"/>
      <c r="Q90"/>
      <c r="R90"/>
      <c r="S90"/>
      <c r="T90"/>
      <c r="U90"/>
      <c r="V90"/>
      <c r="W90"/>
      <c r="X90"/>
      <c r="Y90"/>
      <c r="Z90"/>
      <c r="AA90"/>
      <c r="AB90"/>
      <c r="AC90"/>
      <c r="AD90"/>
      <c r="AE90"/>
      <c r="AF90"/>
      <c r="AG90"/>
      <c r="AH90"/>
      <c r="AI90"/>
      <c r="AJ90"/>
      <c r="AK90"/>
    </row>
    <row r="91" spans="1:37" x14ac:dyDescent="0.2">
      <c r="A91" s="860"/>
      <c r="B91" t="s">
        <v>574</v>
      </c>
      <c r="C91">
        <v>4</v>
      </c>
      <c r="D91">
        <v>6.6000000000000003E-2</v>
      </c>
      <c r="E91">
        <v>6.78</v>
      </c>
      <c r="F91">
        <v>2.1800000000000002</v>
      </c>
      <c r="G91">
        <v>7.42</v>
      </c>
      <c r="H91"/>
      <c r="I91"/>
      <c r="J91">
        <v>3.03</v>
      </c>
      <c r="K91">
        <v>3.03</v>
      </c>
      <c r="L91">
        <v>3.03</v>
      </c>
      <c r="M91">
        <v>0.2</v>
      </c>
      <c r="N91">
        <v>0.2</v>
      </c>
      <c r="O91">
        <v>0.2</v>
      </c>
      <c r="P91">
        <v>0.38</v>
      </c>
      <c r="Q91">
        <v>0.38</v>
      </c>
      <c r="R91">
        <v>0.38</v>
      </c>
      <c r="S91">
        <v>50</v>
      </c>
      <c r="T91">
        <v>50</v>
      </c>
      <c r="U91">
        <v>50</v>
      </c>
      <c r="V91"/>
      <c r="W91"/>
      <c r="X91">
        <v>45</v>
      </c>
      <c r="Y91">
        <v>45</v>
      </c>
      <c r="Z91">
        <v>0.9</v>
      </c>
      <c r="AA91">
        <v>1</v>
      </c>
      <c r="AB91"/>
      <c r="AC91"/>
      <c r="AD91"/>
      <c r="AE91">
        <v>2</v>
      </c>
      <c r="AF91">
        <v>50</v>
      </c>
      <c r="AG91">
        <v>90</v>
      </c>
      <c r="AH91">
        <v>10</v>
      </c>
      <c r="AI91"/>
      <c r="AJ91"/>
      <c r="AK91"/>
    </row>
    <row r="92" spans="1:37" x14ac:dyDescent="0.2">
      <c r="A92" s="860"/>
      <c r="B92" t="s">
        <v>78</v>
      </c>
      <c r="C92">
        <v>4</v>
      </c>
      <c r="D92">
        <v>0.1</v>
      </c>
      <c r="E92">
        <v>14.17</v>
      </c>
      <c r="F92">
        <v>4.29</v>
      </c>
      <c r="G92">
        <v>15.5</v>
      </c>
      <c r="H92"/>
      <c r="I92"/>
      <c r="J92">
        <v>4</v>
      </c>
      <c r="K92">
        <v>4</v>
      </c>
      <c r="L92">
        <v>4</v>
      </c>
      <c r="M92">
        <v>0.4</v>
      </c>
      <c r="N92">
        <v>0.4</v>
      </c>
      <c r="O92">
        <v>0.4</v>
      </c>
      <c r="P92">
        <v>0.73</v>
      </c>
      <c r="Q92">
        <v>0.73</v>
      </c>
      <c r="R92">
        <v>0.73</v>
      </c>
      <c r="S92">
        <v>50</v>
      </c>
      <c r="T92">
        <v>50</v>
      </c>
      <c r="U92">
        <v>50</v>
      </c>
      <c r="V92"/>
      <c r="W92"/>
      <c r="X92">
        <v>45</v>
      </c>
      <c r="Y92">
        <v>45</v>
      </c>
      <c r="Z92">
        <v>0.9</v>
      </c>
      <c r="AA92">
        <v>1</v>
      </c>
      <c r="AB92"/>
      <c r="AC92"/>
      <c r="AD92"/>
      <c r="AE92">
        <v>2</v>
      </c>
      <c r="AF92">
        <v>50</v>
      </c>
      <c r="AG92">
        <v>90</v>
      </c>
      <c r="AH92">
        <v>10</v>
      </c>
      <c r="AI92"/>
      <c r="AJ92"/>
      <c r="AK92"/>
    </row>
    <row r="93" spans="1:37" x14ac:dyDescent="0.2">
      <c r="A93" s="860"/>
      <c r="B93" t="s">
        <v>79</v>
      </c>
      <c r="C93">
        <v>5</v>
      </c>
      <c r="D93">
        <v>0.12</v>
      </c>
      <c r="E93">
        <v>15.2</v>
      </c>
      <c r="F93">
        <v>5.73</v>
      </c>
      <c r="G93">
        <v>18</v>
      </c>
      <c r="H93"/>
      <c r="I93"/>
      <c r="J93">
        <v>5</v>
      </c>
      <c r="K93">
        <v>5</v>
      </c>
      <c r="L93">
        <v>5</v>
      </c>
      <c r="M93">
        <v>0.6</v>
      </c>
      <c r="N93">
        <v>0.6</v>
      </c>
      <c r="O93">
        <v>0.6</v>
      </c>
      <c r="P93">
        <v>1</v>
      </c>
      <c r="Q93">
        <v>1</v>
      </c>
      <c r="R93">
        <v>1</v>
      </c>
      <c r="S93">
        <v>50</v>
      </c>
      <c r="T93">
        <v>50</v>
      </c>
      <c r="U93">
        <v>50</v>
      </c>
      <c r="V93"/>
      <c r="W93"/>
      <c r="X93">
        <v>45</v>
      </c>
      <c r="Y93">
        <v>45</v>
      </c>
      <c r="Z93">
        <v>0.9</v>
      </c>
      <c r="AA93">
        <v>1</v>
      </c>
      <c r="AB93"/>
      <c r="AC93"/>
      <c r="AD93"/>
      <c r="AE93">
        <v>2</v>
      </c>
      <c r="AF93">
        <v>50</v>
      </c>
      <c r="AG93">
        <v>90</v>
      </c>
      <c r="AH93">
        <v>10</v>
      </c>
      <c r="AI93"/>
      <c r="AJ93"/>
      <c r="AK93"/>
    </row>
    <row r="94" spans="1:37" x14ac:dyDescent="0.2">
      <c r="A94" s="860"/>
      <c r="B94" t="s">
        <v>80</v>
      </c>
      <c r="C94">
        <v>6</v>
      </c>
      <c r="D94">
        <v>0.7</v>
      </c>
      <c r="E94">
        <v>33.4</v>
      </c>
      <c r="F94">
        <v>15.35</v>
      </c>
      <c r="G94">
        <v>50.97</v>
      </c>
      <c r="H94"/>
      <c r="I94"/>
      <c r="J94">
        <v>5.71</v>
      </c>
      <c r="K94">
        <v>5.71</v>
      </c>
      <c r="L94">
        <v>5.71</v>
      </c>
      <c r="M94">
        <v>4</v>
      </c>
      <c r="N94">
        <v>4</v>
      </c>
      <c r="O94">
        <v>4</v>
      </c>
      <c r="P94">
        <v>6.8</v>
      </c>
      <c r="Q94">
        <v>6.8</v>
      </c>
      <c r="R94">
        <v>6.8</v>
      </c>
      <c r="S94">
        <v>30</v>
      </c>
      <c r="T94">
        <v>30</v>
      </c>
      <c r="U94">
        <v>30</v>
      </c>
      <c r="V94"/>
      <c r="W94"/>
      <c r="X94">
        <v>45</v>
      </c>
      <c r="Y94">
        <v>45</v>
      </c>
      <c r="Z94">
        <v>0.7</v>
      </c>
      <c r="AA94">
        <v>1</v>
      </c>
      <c r="AB94"/>
      <c r="AC94"/>
      <c r="AD94"/>
      <c r="AE94">
        <v>2</v>
      </c>
      <c r="AF94">
        <v>50</v>
      </c>
      <c r="AG94">
        <v>90</v>
      </c>
      <c r="AH94">
        <v>10</v>
      </c>
      <c r="AI94"/>
      <c r="AJ94"/>
      <c r="AK94"/>
    </row>
    <row r="95" spans="1:37" x14ac:dyDescent="0.2">
      <c r="A95" s="860"/>
      <c r="B95" t="s">
        <v>81</v>
      </c>
      <c r="C95">
        <v>6</v>
      </c>
      <c r="D95">
        <v>1.1000000000000001</v>
      </c>
      <c r="E95">
        <v>53.6</v>
      </c>
      <c r="F95">
        <v>23.37</v>
      </c>
      <c r="G95">
        <v>67</v>
      </c>
      <c r="H95"/>
      <c r="I95"/>
      <c r="J95">
        <v>5.45</v>
      </c>
      <c r="K95">
        <v>5.45</v>
      </c>
      <c r="L95">
        <v>5.45</v>
      </c>
      <c r="M95">
        <v>6</v>
      </c>
      <c r="N95">
        <v>6</v>
      </c>
      <c r="O95">
        <v>6</v>
      </c>
      <c r="P95">
        <v>11.2</v>
      </c>
      <c r="Q95">
        <v>11.2</v>
      </c>
      <c r="R95">
        <v>11.2</v>
      </c>
      <c r="S95">
        <v>30</v>
      </c>
      <c r="T95">
        <v>30</v>
      </c>
      <c r="U95">
        <v>30</v>
      </c>
      <c r="V95"/>
      <c r="W95"/>
      <c r="X95">
        <v>45</v>
      </c>
      <c r="Y95">
        <v>45</v>
      </c>
      <c r="Z95">
        <v>0.7</v>
      </c>
      <c r="AA95">
        <v>1</v>
      </c>
      <c r="AB95"/>
      <c r="AC95"/>
      <c r="AD95"/>
      <c r="AE95">
        <v>2</v>
      </c>
      <c r="AF95">
        <v>50</v>
      </c>
      <c r="AG95">
        <v>90</v>
      </c>
      <c r="AH95">
        <v>10</v>
      </c>
      <c r="AI95"/>
      <c r="AJ95"/>
      <c r="AK95"/>
    </row>
    <row r="96" spans="1:37" x14ac:dyDescent="0.2">
      <c r="A96" s="860"/>
      <c r="B96" t="s">
        <v>82</v>
      </c>
      <c r="C96">
        <v>7</v>
      </c>
      <c r="D96">
        <v>3.2000000000000001E-2</v>
      </c>
      <c r="E96">
        <v>9.6999999999999993</v>
      </c>
      <c r="F96">
        <v>5.4</v>
      </c>
      <c r="G96">
        <v>8.3000000000000007</v>
      </c>
      <c r="H96"/>
      <c r="I96"/>
      <c r="J96">
        <v>10</v>
      </c>
      <c r="K96">
        <v>10</v>
      </c>
      <c r="L96">
        <v>10</v>
      </c>
      <c r="M96">
        <v>0.32</v>
      </c>
      <c r="N96">
        <v>0.32</v>
      </c>
      <c r="O96">
        <v>0.32</v>
      </c>
      <c r="P96">
        <v>1.22</v>
      </c>
      <c r="Q96">
        <v>1.22</v>
      </c>
      <c r="R96">
        <v>1.22</v>
      </c>
      <c r="S96">
        <v>30</v>
      </c>
      <c r="T96">
        <v>30</v>
      </c>
      <c r="U96">
        <v>30</v>
      </c>
      <c r="V96"/>
      <c r="W96"/>
      <c r="X96">
        <v>45</v>
      </c>
      <c r="Y96">
        <v>45</v>
      </c>
      <c r="Z96">
        <v>0.9</v>
      </c>
      <c r="AA96">
        <v>1</v>
      </c>
      <c r="AB96"/>
      <c r="AC96"/>
      <c r="AD96"/>
      <c r="AE96">
        <v>5</v>
      </c>
      <c r="AF96">
        <v>50</v>
      </c>
      <c r="AG96">
        <v>90</v>
      </c>
      <c r="AH96">
        <v>10</v>
      </c>
      <c r="AI96"/>
      <c r="AJ96"/>
      <c r="AK96"/>
    </row>
    <row r="97" spans="1:37" x14ac:dyDescent="0.2">
      <c r="A97" s="937"/>
      <c r="B97" t="s">
        <v>575</v>
      </c>
      <c r="C97">
        <v>8</v>
      </c>
      <c r="D97">
        <v>0.23</v>
      </c>
      <c r="E97">
        <v>21.6</v>
      </c>
      <c r="F97">
        <v>6.19</v>
      </c>
      <c r="G97">
        <v>24</v>
      </c>
      <c r="H97"/>
      <c r="I97"/>
      <c r="J97"/>
      <c r="K97"/>
      <c r="L97"/>
      <c r="M97"/>
      <c r="N97"/>
      <c r="O97"/>
      <c r="P97"/>
      <c r="Q97"/>
      <c r="R97"/>
      <c r="S97"/>
      <c r="T97"/>
      <c r="U97"/>
      <c r="V97"/>
      <c r="W97"/>
      <c r="X97">
        <v>45</v>
      </c>
      <c r="Y97">
        <v>45</v>
      </c>
      <c r="Z97">
        <v>0.9</v>
      </c>
      <c r="AA97">
        <v>1</v>
      </c>
      <c r="AB97"/>
      <c r="AC97"/>
      <c r="AD97"/>
      <c r="AE97">
        <v>2</v>
      </c>
      <c r="AF97">
        <v>50</v>
      </c>
      <c r="AG97">
        <v>90</v>
      </c>
      <c r="AH97">
        <v>10</v>
      </c>
      <c r="AI97"/>
      <c r="AJ97"/>
      <c r="AK97"/>
    </row>
    <row r="98" spans="1:37" x14ac:dyDescent="0.2">
      <c r="A98" s="937"/>
      <c r="B98" t="s">
        <v>83</v>
      </c>
      <c r="C98">
        <v>8</v>
      </c>
      <c r="D98">
        <v>0.15</v>
      </c>
      <c r="E98">
        <v>15.83</v>
      </c>
      <c r="F98">
        <v>4.5</v>
      </c>
      <c r="G98">
        <v>17.600000000000001</v>
      </c>
      <c r="H98"/>
      <c r="I98"/>
      <c r="J98"/>
      <c r="K98"/>
      <c r="L98"/>
      <c r="M98"/>
      <c r="N98"/>
      <c r="O98"/>
      <c r="P98"/>
      <c r="Q98"/>
      <c r="R98"/>
      <c r="S98"/>
      <c r="T98"/>
      <c r="U98"/>
      <c r="V98"/>
      <c r="W98"/>
      <c r="X98">
        <v>45</v>
      </c>
      <c r="Y98">
        <v>45</v>
      </c>
      <c r="Z98">
        <v>0.9</v>
      </c>
      <c r="AA98">
        <v>1</v>
      </c>
      <c r="AB98"/>
      <c r="AC98"/>
      <c r="AD98"/>
      <c r="AE98">
        <v>2</v>
      </c>
      <c r="AF98">
        <v>50</v>
      </c>
      <c r="AG98">
        <v>90</v>
      </c>
      <c r="AH98">
        <v>10</v>
      </c>
      <c r="AI98"/>
      <c r="AJ98"/>
      <c r="AK98"/>
    </row>
    <row r="99" spans="1:37" x14ac:dyDescent="0.2">
      <c r="A99" s="937"/>
      <c r="B99" t="s">
        <v>576</v>
      </c>
      <c r="C99">
        <v>8</v>
      </c>
      <c r="D99">
        <v>0.45</v>
      </c>
      <c r="E99">
        <v>31</v>
      </c>
      <c r="F99">
        <v>9.9</v>
      </c>
      <c r="G99">
        <v>36.9</v>
      </c>
      <c r="H99"/>
      <c r="I99"/>
      <c r="J99"/>
      <c r="K99"/>
      <c r="L99"/>
      <c r="M99"/>
      <c r="N99"/>
      <c r="O99"/>
      <c r="P99"/>
      <c r="Q99"/>
      <c r="R99"/>
      <c r="S99"/>
      <c r="T99"/>
      <c r="U99"/>
      <c r="V99"/>
      <c r="W99"/>
      <c r="X99">
        <v>45</v>
      </c>
      <c r="Y99">
        <v>45</v>
      </c>
      <c r="Z99">
        <v>0.9</v>
      </c>
      <c r="AA99">
        <v>1</v>
      </c>
      <c r="AB99"/>
      <c r="AC99"/>
      <c r="AD99"/>
      <c r="AE99">
        <v>2</v>
      </c>
      <c r="AF99">
        <v>50</v>
      </c>
      <c r="AG99">
        <v>90</v>
      </c>
      <c r="AH99">
        <v>10</v>
      </c>
      <c r="AI99"/>
      <c r="AJ99"/>
      <c r="AK99"/>
    </row>
    <row r="100" spans="1:37" x14ac:dyDescent="0.2">
      <c r="A100" s="938"/>
      <c r="B100" t="s">
        <v>84</v>
      </c>
      <c r="C100">
        <v>8</v>
      </c>
      <c r="D100">
        <v>0.3</v>
      </c>
      <c r="E100">
        <v>22.7</v>
      </c>
      <c r="F100">
        <v>7.2</v>
      </c>
      <c r="G100">
        <v>27</v>
      </c>
      <c r="H100"/>
      <c r="I100"/>
      <c r="J100"/>
      <c r="K100"/>
      <c r="L100"/>
      <c r="M100"/>
      <c r="N100"/>
      <c r="O100"/>
      <c r="P100"/>
      <c r="Q100"/>
      <c r="R100"/>
      <c r="S100"/>
      <c r="T100"/>
      <c r="U100"/>
      <c r="V100"/>
      <c r="W100"/>
      <c r="X100">
        <v>45</v>
      </c>
      <c r="Y100">
        <v>45</v>
      </c>
      <c r="Z100">
        <v>0.9</v>
      </c>
      <c r="AA100">
        <v>1</v>
      </c>
      <c r="AB100"/>
      <c r="AC100"/>
      <c r="AD100"/>
      <c r="AE100">
        <v>2</v>
      </c>
      <c r="AF100">
        <v>50</v>
      </c>
      <c r="AG100">
        <v>90</v>
      </c>
      <c r="AH100">
        <v>10</v>
      </c>
      <c r="AI100"/>
      <c r="AJ100"/>
      <c r="AK100"/>
    </row>
    <row r="101" spans="1:37" x14ac:dyDescent="0.2">
      <c r="A101" s="938"/>
      <c r="B101" t="s">
        <v>7834</v>
      </c>
      <c r="C101">
        <v>9</v>
      </c>
      <c r="D101">
        <v>0.28000000000000003</v>
      </c>
      <c r="E101">
        <v>22.7</v>
      </c>
      <c r="F101">
        <v>7.2</v>
      </c>
      <c r="G101">
        <v>27</v>
      </c>
      <c r="H101"/>
      <c r="I101"/>
      <c r="J101">
        <v>4.29</v>
      </c>
      <c r="K101">
        <v>4.29</v>
      </c>
      <c r="L101">
        <v>4.29</v>
      </c>
      <c r="M101">
        <v>1.2</v>
      </c>
      <c r="N101">
        <v>1.2</v>
      </c>
      <c r="O101">
        <v>1.2</v>
      </c>
      <c r="P101">
        <v>2.2000000000000002</v>
      </c>
      <c r="Q101">
        <v>2.2000000000000002</v>
      </c>
      <c r="R101">
        <v>2.2000000000000002</v>
      </c>
      <c r="S101">
        <v>40</v>
      </c>
      <c r="T101">
        <v>40</v>
      </c>
      <c r="U101">
        <v>40</v>
      </c>
      <c r="V101"/>
      <c r="W101"/>
      <c r="X101">
        <v>45</v>
      </c>
      <c r="Y101">
        <v>45</v>
      </c>
      <c r="Z101">
        <v>0.9</v>
      </c>
      <c r="AA101">
        <v>1</v>
      </c>
      <c r="AB101"/>
      <c r="AC101"/>
      <c r="AD101"/>
      <c r="AE101">
        <v>2</v>
      </c>
      <c r="AF101">
        <v>50</v>
      </c>
      <c r="AG101">
        <v>90</v>
      </c>
      <c r="AH101">
        <v>10</v>
      </c>
      <c r="AI101"/>
      <c r="AJ101"/>
      <c r="AK101"/>
    </row>
    <row r="102" spans="1:37" ht="13.5" thickBot="1" x14ac:dyDescent="0.25">
      <c r="A102" s="939"/>
      <c r="B102" t="s">
        <v>577</v>
      </c>
      <c r="C102">
        <v>9</v>
      </c>
      <c r="D102">
        <v>0.14000000000000001</v>
      </c>
      <c r="E102">
        <v>11.35</v>
      </c>
      <c r="F102">
        <v>3.6</v>
      </c>
      <c r="G102">
        <v>13.5</v>
      </c>
      <c r="H102"/>
      <c r="I102"/>
      <c r="J102">
        <v>4.29</v>
      </c>
      <c r="K102">
        <v>4.29</v>
      </c>
      <c r="L102">
        <v>4.29</v>
      </c>
      <c r="M102">
        <v>0.6</v>
      </c>
      <c r="N102">
        <v>0.6</v>
      </c>
      <c r="O102">
        <v>0.6</v>
      </c>
      <c r="P102">
        <v>1.1000000000000001</v>
      </c>
      <c r="Q102">
        <v>1.1000000000000001</v>
      </c>
      <c r="R102">
        <v>1.1000000000000001</v>
      </c>
      <c r="S102">
        <v>40</v>
      </c>
      <c r="T102">
        <v>40</v>
      </c>
      <c r="U102">
        <v>40</v>
      </c>
      <c r="V102"/>
      <c r="W102"/>
      <c r="X102">
        <v>45</v>
      </c>
      <c r="Y102">
        <v>45</v>
      </c>
      <c r="Z102">
        <v>0.9</v>
      </c>
      <c r="AA102">
        <v>1</v>
      </c>
      <c r="AB102"/>
      <c r="AC102"/>
      <c r="AD102"/>
      <c r="AE102">
        <v>2</v>
      </c>
      <c r="AF102">
        <v>50</v>
      </c>
      <c r="AG102">
        <v>90</v>
      </c>
      <c r="AH102">
        <v>10</v>
      </c>
      <c r="AI102"/>
      <c r="AJ102"/>
      <c r="AK102"/>
    </row>
    <row r="103" spans="1:37" s="844" customFormat="1" x14ac:dyDescent="0.2">
      <c r="B103" s="523" t="str">
        <f>+'Abweichende Werte'!AB5</f>
        <v>--</v>
      </c>
      <c r="C103" s="892">
        <v>2</v>
      </c>
      <c r="D103" s="940">
        <f>IF('Abweichende Werte'!C20="",0,'Abweichende Werte'!C20)</f>
        <v>0</v>
      </c>
      <c r="E103" s="940">
        <f>IF('Abweichende Werte'!D20="",0,'Abweichende Werte'!D20)</f>
        <v>0</v>
      </c>
      <c r="F103" s="940">
        <f>IF('Abweichende Werte'!E20="",0,'Abweichende Werte'!E20)</f>
        <v>0</v>
      </c>
      <c r="G103" s="940">
        <f>IF('Abweichende Werte'!F20="",0,'Abweichende Werte'!F20)</f>
        <v>0</v>
      </c>
      <c r="H103" s="940">
        <f>IF('Abweichende Werte'!G20="",0,'Abweichende Werte'!G20)</f>
        <v>0</v>
      </c>
      <c r="I103" s="940">
        <f>+IF('Abweichende Werte'!L20="",0,'Abweichende Werte'!L20)</f>
        <v>0</v>
      </c>
      <c r="J103" s="940">
        <f>IFERROR(IF($C103&gt;2,$L103,IF('Abweichende Werte'!Q20="",0,'Abweichende Werte'!Q20/$D103)),0)</f>
        <v>0</v>
      </c>
      <c r="K103" s="940">
        <f>IFERROR(IF($C103&gt;2,$L103,IF('Abweichende Werte'!R20="",0,'Abweichende Werte'!R20/$D103)),0)</f>
        <v>0</v>
      </c>
      <c r="L103" s="940">
        <f>IFERROR(IF('Abweichende Werte'!S20="",0,'Abweichende Werte'!S20/D103),0)</f>
        <v>0</v>
      </c>
      <c r="M103" s="1113"/>
      <c r="N103" s="1113"/>
      <c r="O103" s="1113"/>
      <c r="P103" s="940">
        <f>IF($C103&gt;2,$R103,IF('Abweichende Werte'!I20="",0,'Abweichende Werte'!I20))</f>
        <v>0</v>
      </c>
      <c r="Q103" s="940">
        <f>IF($C103&gt;2,$R103,IF('Abweichende Werte'!J20="",0,'Abweichende Werte'!J20))</f>
        <v>0</v>
      </c>
      <c r="R103" s="940">
        <f>+IF('Abweichende Werte'!K20="",0,'Abweichende Werte'!K20)</f>
        <v>0</v>
      </c>
      <c r="S103" s="940">
        <f>IF($C103&gt;2,$U103,IF('Abweichende Werte'!N20="",0,'Abweichende Werte'!N20))</f>
        <v>0</v>
      </c>
      <c r="T103" s="940">
        <f>IF($C103&gt;2,$U103,IF('Abweichende Werte'!O20="",0,'Abweichende Werte'!O20))</f>
        <v>0</v>
      </c>
      <c r="U103" s="940">
        <f>IF('Abweichende Werte'!P20="",0,'Abweichende Werte'!P20)</f>
        <v>0</v>
      </c>
      <c r="V103" s="940">
        <f>IF('Abweichende Werte'!H20="",0,'Abweichende Werte'!H20)</f>
        <v>0</v>
      </c>
      <c r="W103" s="940">
        <f>IF('Abweichende Werte'!M20="",0,'Abweichende Werte'!M20)</f>
        <v>0</v>
      </c>
      <c r="X103" s="1113">
        <f t="shared" ref="X103:Z112" si="19">IF($C103=1,X$32,IF($C103=2,X$45,IF($C103=3,X$78,X$92)))</f>
        <v>20</v>
      </c>
      <c r="Y103" s="1113">
        <f t="shared" si="19"/>
        <v>30</v>
      </c>
      <c r="Z103" s="1113">
        <f t="shared" si="19"/>
        <v>0.9</v>
      </c>
      <c r="AB103" s="844" t="str">
        <f>IF(OR('Abweichende Werte'!F5='Abweichende Werte'!$Y$10,'Abweichende Werte'!F5='Abweichende Werte'!$Y$11),1,"")</f>
        <v/>
      </c>
      <c r="AD103" s="844">
        <f>IF($C103=1,AD$32,IF($C103=2,AD$45,IF($C103=3,AD$78,AD$92)))</f>
        <v>0</v>
      </c>
      <c r="AE103" s="844">
        <f>IF($C103=1,AE$32,IF($C103=2,AE$45,IF($C103=3,AE$78,AE$92)))</f>
        <v>2</v>
      </c>
      <c r="AF103" s="844">
        <f>IF($C103=1,AF$32,IF($C103=2,AF$45,IF($C103=3,AF$78,AF$92)))</f>
        <v>60</v>
      </c>
      <c r="AG103" s="844">
        <f t="shared" ref="AG103:AH112" si="20">IF($C103=1,AG$32,IF($C103=2,AG$45,IF($C103=3,AG$78,AG$92)))</f>
        <v>90</v>
      </c>
      <c r="AH103" s="844">
        <f t="shared" si="20"/>
        <v>10</v>
      </c>
      <c r="AI103" s="909" cm="1">
        <f t="array" ref="AI103">INDEX(AO$16:AO$24,$C103)</f>
        <v>3.3</v>
      </c>
      <c r="AJ103" s="909" cm="1">
        <f t="array" ref="AJ103">INDEX(AP$16:AP$24,$C103)</f>
        <v>0.2</v>
      </c>
      <c r="AK103" s="909" cm="1">
        <f t="array" ref="AK103">INDEX(AQ$16:AQ$24,$C103)</f>
        <v>3.1</v>
      </c>
    </row>
    <row r="104" spans="1:37" s="844" customFormat="1" x14ac:dyDescent="0.2">
      <c r="B104" s="523" t="str">
        <f>+'Abweichende Werte'!AB6</f>
        <v>--</v>
      </c>
      <c r="C104" s="892">
        <v>2</v>
      </c>
      <c r="D104" s="940">
        <f>IF('Abweichende Werte'!C21="",0,'Abweichende Werte'!C21)</f>
        <v>0</v>
      </c>
      <c r="E104" s="940">
        <f>IF('Abweichende Werte'!D21="",0,'Abweichende Werte'!D21)</f>
        <v>0</v>
      </c>
      <c r="F104" s="940">
        <f>IF('Abweichende Werte'!E21="",0,'Abweichende Werte'!E21)</f>
        <v>0</v>
      </c>
      <c r="G104" s="940">
        <f>IF('Abweichende Werte'!F21="",0,'Abweichende Werte'!F21)</f>
        <v>0</v>
      </c>
      <c r="H104" s="940">
        <f>IF('Abweichende Werte'!G21="",0,'Abweichende Werte'!G21)</f>
        <v>0</v>
      </c>
      <c r="I104" s="940">
        <f>+IF('Abweichende Werte'!L21="",0,'Abweichende Werte'!L21)</f>
        <v>0</v>
      </c>
      <c r="J104" s="940">
        <f>IFERROR(IF($C104&gt;2,$L104,IF('Abweichende Werte'!Q21="",0,'Abweichende Werte'!Q21/$D104)),0)</f>
        <v>0</v>
      </c>
      <c r="K104" s="940">
        <f>IFERROR(IF($C104&gt;2,$L104,IF('Abweichende Werte'!R21="",0,'Abweichende Werte'!R21/$D104)),0)</f>
        <v>0</v>
      </c>
      <c r="L104" s="940">
        <f>IFERROR(IF('Abweichende Werte'!S21="",0,'Abweichende Werte'!S21/D104),0)</f>
        <v>0</v>
      </c>
      <c r="M104" s="1113"/>
      <c r="N104" s="1113"/>
      <c r="O104" s="1113"/>
      <c r="P104" s="940">
        <f>IF($C104&gt;2,$R104,IF('Abweichende Werte'!I21="",0,'Abweichende Werte'!I21))</f>
        <v>0</v>
      </c>
      <c r="Q104" s="940">
        <f>IF($C104&gt;2,$R104,IF('Abweichende Werte'!J21="",0,'Abweichende Werte'!J21))</f>
        <v>0</v>
      </c>
      <c r="R104" s="940">
        <f>+IF('Abweichende Werte'!K21="",0,'Abweichende Werte'!K21)</f>
        <v>0</v>
      </c>
      <c r="S104" s="940">
        <f>IF($C104&gt;2,$U104,IF('Abweichende Werte'!N21="",0,'Abweichende Werte'!N21))</f>
        <v>0</v>
      </c>
      <c r="T104" s="940">
        <f>IF($C104&gt;2,$U104,IF('Abweichende Werte'!O21="",0,'Abweichende Werte'!O21))</f>
        <v>0</v>
      </c>
      <c r="U104" s="940">
        <f>IF('Abweichende Werte'!P21="",0,'Abweichende Werte'!P21)</f>
        <v>0</v>
      </c>
      <c r="V104" s="940">
        <f>IF('Abweichende Werte'!H21="",0,'Abweichende Werte'!H21)</f>
        <v>0</v>
      </c>
      <c r="W104" s="940">
        <f>IF('Abweichende Werte'!M21="",0,'Abweichende Werte'!M21)</f>
        <v>0</v>
      </c>
      <c r="X104" s="1113">
        <f t="shared" si="19"/>
        <v>20</v>
      </c>
      <c r="Y104" s="1113">
        <f t="shared" si="19"/>
        <v>30</v>
      </c>
      <c r="Z104" s="1113">
        <f t="shared" si="19"/>
        <v>0.9</v>
      </c>
      <c r="AB104" s="844" t="str">
        <f>IF(OR('Abweichende Werte'!F6='Abweichende Werte'!$Y$10,'Abweichende Werte'!F6='Abweichende Werte'!$Y$11),1,"")</f>
        <v/>
      </c>
      <c r="AD104" s="844">
        <f t="shared" ref="AD104:AD112" si="21">IF($C104=1,AD$32,IF($C104=2,AD$45,IF($C104=3,AD$78,AD$92)))</f>
        <v>0</v>
      </c>
      <c r="AE104" s="844">
        <f t="shared" ref="AE104:AF112" si="22">IF($C104=1,AE$32,IF($C104=2,AE$45,IF($C104=3,AE$78,AE$92)))</f>
        <v>2</v>
      </c>
      <c r="AF104" s="844">
        <f t="shared" si="22"/>
        <v>60</v>
      </c>
      <c r="AG104" s="844">
        <f t="shared" si="20"/>
        <v>90</v>
      </c>
      <c r="AH104" s="844">
        <f t="shared" si="20"/>
        <v>10</v>
      </c>
      <c r="AI104" s="909" cm="1">
        <f t="array" ref="AI104">INDEX(AO$16:AO$24,$C104)</f>
        <v>3.3</v>
      </c>
      <c r="AJ104" s="909" cm="1">
        <f t="array" ref="AJ104">INDEX(AP$16:AP$24,$C104)</f>
        <v>0.2</v>
      </c>
      <c r="AK104" s="909" cm="1">
        <f t="array" ref="AK104">INDEX(AQ$16:AQ$24,$C104)</f>
        <v>3.1</v>
      </c>
    </row>
    <row r="105" spans="1:37" s="844" customFormat="1" x14ac:dyDescent="0.2">
      <c r="B105" s="523" t="str">
        <f>+'Abweichende Werte'!AB7</f>
        <v>--</v>
      </c>
      <c r="C105" s="892">
        <v>2</v>
      </c>
      <c r="D105" s="940">
        <f>IF('Abweichende Werte'!C22="",0,'Abweichende Werte'!C22)</f>
        <v>0</v>
      </c>
      <c r="E105" s="940">
        <f>IF('Abweichende Werte'!D22="",0,'Abweichende Werte'!D22)</f>
        <v>0</v>
      </c>
      <c r="F105" s="940">
        <f>IF('Abweichende Werte'!E22="",0,'Abweichende Werte'!E22)</f>
        <v>0</v>
      </c>
      <c r="G105" s="940">
        <f>IF('Abweichende Werte'!F22="",0,'Abweichende Werte'!F22)</f>
        <v>0</v>
      </c>
      <c r="H105" s="940">
        <f>IF('Abweichende Werte'!G22="",0,'Abweichende Werte'!G22)</f>
        <v>0</v>
      </c>
      <c r="I105" s="940">
        <f>+IF('Abweichende Werte'!L22="",0,'Abweichende Werte'!L22)</f>
        <v>0</v>
      </c>
      <c r="J105" s="940">
        <f>IFERROR(IF($C105&gt;2,$L105,IF('Abweichende Werte'!Q22="",0,'Abweichende Werte'!Q22/$D105)),0)</f>
        <v>0</v>
      </c>
      <c r="K105" s="940">
        <f>IFERROR(IF($C105&gt;2,$L105,IF('Abweichende Werte'!R22="",0,'Abweichende Werte'!R22/$D105)),0)</f>
        <v>0</v>
      </c>
      <c r="L105" s="940">
        <f>IFERROR(IF('Abweichende Werte'!S22="",0,'Abweichende Werte'!S22/D105),0)</f>
        <v>0</v>
      </c>
      <c r="M105" s="1113"/>
      <c r="N105" s="1113"/>
      <c r="O105" s="1113"/>
      <c r="P105" s="940">
        <f>IF($C105&gt;2,$R105,IF('Abweichende Werte'!I22="",0,'Abweichende Werte'!I22))</f>
        <v>0</v>
      </c>
      <c r="Q105" s="940">
        <f>IF($C105&gt;2,$R105,IF('Abweichende Werte'!J22="",0,'Abweichende Werte'!J22))</f>
        <v>0</v>
      </c>
      <c r="R105" s="940">
        <f>+IF('Abweichende Werte'!K22="",0,'Abweichende Werte'!K22)</f>
        <v>0</v>
      </c>
      <c r="S105" s="940">
        <f>IF($C105&gt;2,$U105,IF('Abweichende Werte'!N22="",0,'Abweichende Werte'!N22))</f>
        <v>0</v>
      </c>
      <c r="T105" s="940">
        <f>IF($C105&gt;2,$U105,IF('Abweichende Werte'!O22="",0,'Abweichende Werte'!O22))</f>
        <v>0</v>
      </c>
      <c r="U105" s="940">
        <f>IF('Abweichende Werte'!P22="",0,'Abweichende Werte'!P22)</f>
        <v>0</v>
      </c>
      <c r="V105" s="940">
        <f>IF('Abweichende Werte'!H22="",0,'Abweichende Werte'!H22)</f>
        <v>0</v>
      </c>
      <c r="W105" s="940">
        <f>IF('Abweichende Werte'!M22="",0,'Abweichende Werte'!M22)</f>
        <v>0</v>
      </c>
      <c r="X105" s="1113">
        <f t="shared" si="19"/>
        <v>20</v>
      </c>
      <c r="Y105" s="1113">
        <f t="shared" si="19"/>
        <v>30</v>
      </c>
      <c r="Z105" s="1113">
        <f t="shared" si="19"/>
        <v>0.9</v>
      </c>
      <c r="AB105" s="844" t="str">
        <f>IF(OR('Abweichende Werte'!F7='Abweichende Werte'!$Y$10,'Abweichende Werte'!F7='Abweichende Werte'!$Y$11),1,"")</f>
        <v/>
      </c>
      <c r="AD105" s="844">
        <f t="shared" si="21"/>
        <v>0</v>
      </c>
      <c r="AE105" s="844">
        <f t="shared" si="22"/>
        <v>2</v>
      </c>
      <c r="AF105" s="844">
        <f t="shared" si="22"/>
        <v>60</v>
      </c>
      <c r="AG105" s="844">
        <f t="shared" si="20"/>
        <v>90</v>
      </c>
      <c r="AH105" s="844">
        <f t="shared" si="20"/>
        <v>10</v>
      </c>
      <c r="AI105" s="909" cm="1">
        <f t="array" ref="AI105">INDEX(AO$16:AO$24,$C105)</f>
        <v>3.3</v>
      </c>
      <c r="AJ105" s="909" cm="1">
        <f t="array" ref="AJ105">INDEX(AP$16:AP$24,$C105)</f>
        <v>0.2</v>
      </c>
      <c r="AK105" s="909" cm="1">
        <f t="array" ref="AK105">INDEX(AQ$16:AQ$24,$C105)</f>
        <v>3.1</v>
      </c>
    </row>
    <row r="106" spans="1:37" s="844" customFormat="1" x14ac:dyDescent="0.2">
      <c r="B106" s="523" t="str">
        <f>+'Abweichende Werte'!AB8</f>
        <v>--</v>
      </c>
      <c r="C106" s="892">
        <v>2</v>
      </c>
      <c r="D106" s="940">
        <f>IF('Abweichende Werte'!C23="",0,'Abweichende Werte'!C23)</f>
        <v>0</v>
      </c>
      <c r="E106" s="940">
        <f>IF('Abweichende Werte'!D23="",0,'Abweichende Werte'!D23)</f>
        <v>0</v>
      </c>
      <c r="F106" s="940">
        <f>IF('Abweichende Werte'!E23="",0,'Abweichende Werte'!E23)</f>
        <v>0</v>
      </c>
      <c r="G106" s="940">
        <f>IF('Abweichende Werte'!F23="",0,'Abweichende Werte'!F23)</f>
        <v>0</v>
      </c>
      <c r="H106" s="940">
        <f>IF('Abweichende Werte'!G23="",0,'Abweichende Werte'!G23)</f>
        <v>0</v>
      </c>
      <c r="I106" s="940">
        <f>+IF('Abweichende Werte'!L23="",0,'Abweichende Werte'!L23)</f>
        <v>0</v>
      </c>
      <c r="J106" s="940">
        <f>IFERROR(IF($C106&gt;2,$L106,IF('Abweichende Werte'!Q23="",0,'Abweichende Werte'!Q23/$D106)),0)</f>
        <v>0</v>
      </c>
      <c r="K106" s="940">
        <f>IFERROR(IF($C106&gt;2,$L106,IF('Abweichende Werte'!R23="",0,'Abweichende Werte'!R23/$D106)),0)</f>
        <v>0</v>
      </c>
      <c r="L106" s="940">
        <f>IFERROR(IF('Abweichende Werte'!S23="",0,'Abweichende Werte'!S23/D106),0)</f>
        <v>0</v>
      </c>
      <c r="M106" s="1113"/>
      <c r="N106" s="1113"/>
      <c r="O106" s="1113"/>
      <c r="P106" s="940">
        <f>IF($C106&gt;2,$R106,IF('Abweichende Werte'!I23="",0,'Abweichende Werte'!I23))</f>
        <v>0</v>
      </c>
      <c r="Q106" s="940">
        <f>IF($C106&gt;2,$R106,IF('Abweichende Werte'!J23="",0,'Abweichende Werte'!J23))</f>
        <v>0</v>
      </c>
      <c r="R106" s="940">
        <f>+IF('Abweichende Werte'!K23="",0,'Abweichende Werte'!K23)</f>
        <v>0</v>
      </c>
      <c r="S106" s="940">
        <f>IF($C106&gt;2,$U106,IF('Abweichende Werte'!N23="",0,'Abweichende Werte'!N23))</f>
        <v>0</v>
      </c>
      <c r="T106" s="940">
        <f>IF($C106&gt;2,$U106,IF('Abweichende Werte'!O23="",0,'Abweichende Werte'!O23))</f>
        <v>0</v>
      </c>
      <c r="U106" s="940">
        <f>IF('Abweichende Werte'!P23="",0,'Abweichende Werte'!P23)</f>
        <v>0</v>
      </c>
      <c r="V106" s="940">
        <f>IF('Abweichende Werte'!H23="",0,'Abweichende Werte'!H23)</f>
        <v>0</v>
      </c>
      <c r="W106" s="940">
        <f>IF('Abweichende Werte'!M23="",0,'Abweichende Werte'!M23)</f>
        <v>0</v>
      </c>
      <c r="X106" s="1113">
        <f t="shared" si="19"/>
        <v>20</v>
      </c>
      <c r="Y106" s="1113">
        <f t="shared" si="19"/>
        <v>30</v>
      </c>
      <c r="Z106" s="1113">
        <f t="shared" si="19"/>
        <v>0.9</v>
      </c>
      <c r="AB106" s="844" t="str">
        <f>IF(OR('Abweichende Werte'!F8='Abweichende Werte'!$Y$10,'Abweichende Werte'!F8='Abweichende Werte'!$Y$11),1,"")</f>
        <v/>
      </c>
      <c r="AD106" s="844">
        <f t="shared" si="21"/>
        <v>0</v>
      </c>
      <c r="AE106" s="844">
        <f t="shared" si="22"/>
        <v>2</v>
      </c>
      <c r="AF106" s="844">
        <f t="shared" si="22"/>
        <v>60</v>
      </c>
      <c r="AG106" s="844">
        <f>IF($C106=1,AG$32,IF($C106=2,AG$45,IF($C106=3,AG$78,AG$92)))</f>
        <v>90</v>
      </c>
      <c r="AH106" s="844">
        <f t="shared" si="20"/>
        <v>10</v>
      </c>
      <c r="AI106" s="909" cm="1">
        <f t="array" ref="AI106">INDEX(AO$16:AO$24,$C106)</f>
        <v>3.3</v>
      </c>
      <c r="AJ106" s="909" cm="1">
        <f t="array" ref="AJ106">INDEX(AP$16:AP$24,$C106)</f>
        <v>0.2</v>
      </c>
      <c r="AK106" s="909" cm="1">
        <f t="array" ref="AK106">INDEX(AQ$16:AQ$24,$C106)</f>
        <v>3.1</v>
      </c>
    </row>
    <row r="107" spans="1:37" s="844" customFormat="1" x14ac:dyDescent="0.2">
      <c r="B107" s="523" t="str">
        <f>+'Abweichende Werte'!AB9</f>
        <v>--</v>
      </c>
      <c r="C107" s="892">
        <v>2</v>
      </c>
      <c r="D107" s="940">
        <f>IF('Abweichende Werte'!C24="",0,'Abweichende Werte'!C24)</f>
        <v>0</v>
      </c>
      <c r="E107" s="940">
        <f>IF('Abweichende Werte'!D24="",0,'Abweichende Werte'!D24)</f>
        <v>0</v>
      </c>
      <c r="F107" s="940">
        <f>IF('Abweichende Werte'!E24="",0,'Abweichende Werte'!E24)</f>
        <v>0</v>
      </c>
      <c r="G107" s="940">
        <f>IF('Abweichende Werte'!F24="",0,'Abweichende Werte'!F24)</f>
        <v>0</v>
      </c>
      <c r="H107" s="940">
        <f>IF('Abweichende Werte'!G24="",0,'Abweichende Werte'!G24)</f>
        <v>0</v>
      </c>
      <c r="I107" s="940">
        <f>+IF('Abweichende Werte'!L24="",0,'Abweichende Werte'!L24)</f>
        <v>0</v>
      </c>
      <c r="J107" s="940">
        <f>IFERROR(IF($C107&gt;2,$L107,IF('Abweichende Werte'!Q24="",0,'Abweichende Werte'!Q24/$D107)),0)</f>
        <v>0</v>
      </c>
      <c r="K107" s="940">
        <f>IFERROR(IF($C107&gt;2,$L107,IF('Abweichende Werte'!R24="",0,'Abweichende Werte'!R24/$D107)),0)</f>
        <v>0</v>
      </c>
      <c r="L107" s="940">
        <f>IFERROR(IF('Abweichende Werte'!S24="",0,'Abweichende Werte'!S24/D107),0)</f>
        <v>0</v>
      </c>
      <c r="M107" s="1113"/>
      <c r="N107" s="1113"/>
      <c r="O107" s="1113"/>
      <c r="P107" s="940">
        <f>IF($C107&gt;2,$R107,IF('Abweichende Werte'!I24="",0,'Abweichende Werte'!I24))</f>
        <v>0</v>
      </c>
      <c r="Q107" s="940">
        <f>IF($C107&gt;2,$R107,IF('Abweichende Werte'!J24="",0,'Abweichende Werte'!J24))</f>
        <v>0</v>
      </c>
      <c r="R107" s="940">
        <f>+IF('Abweichende Werte'!K24="",0,'Abweichende Werte'!K24)</f>
        <v>0</v>
      </c>
      <c r="S107" s="940">
        <f>IF($C107&gt;2,$U107,IF('Abweichende Werte'!N24="",0,'Abweichende Werte'!N24))</f>
        <v>0</v>
      </c>
      <c r="T107" s="940">
        <f>IF($C107&gt;2,$U107,IF('Abweichende Werte'!O24="",0,'Abweichende Werte'!O24))</f>
        <v>0</v>
      </c>
      <c r="U107" s="940">
        <f>IF('Abweichende Werte'!P24="",0,'Abweichende Werte'!P24)</f>
        <v>0</v>
      </c>
      <c r="V107" s="940">
        <f>IF('Abweichende Werte'!H24="",0,'Abweichende Werte'!H24)</f>
        <v>0</v>
      </c>
      <c r="W107" s="940">
        <f>IF('Abweichende Werte'!M24="",0,'Abweichende Werte'!M24)</f>
        <v>0</v>
      </c>
      <c r="X107" s="1113">
        <f t="shared" si="19"/>
        <v>20</v>
      </c>
      <c r="Y107" s="1113">
        <f t="shared" si="19"/>
        <v>30</v>
      </c>
      <c r="Z107" s="1113">
        <f t="shared" si="19"/>
        <v>0.9</v>
      </c>
      <c r="AB107" s="844" t="str">
        <f>IF(OR('Abweichende Werte'!F9='Abweichende Werte'!$Y$10,'Abweichende Werte'!F9='Abweichende Werte'!$Y$11),1,"")</f>
        <v/>
      </c>
      <c r="AD107" s="844">
        <f t="shared" si="21"/>
        <v>0</v>
      </c>
      <c r="AE107" s="844">
        <f t="shared" si="22"/>
        <v>2</v>
      </c>
      <c r="AF107" s="844">
        <f t="shared" si="22"/>
        <v>60</v>
      </c>
      <c r="AG107" s="844">
        <f t="shared" si="20"/>
        <v>90</v>
      </c>
      <c r="AH107" s="844">
        <f>IF($C107=1,AH$32,IF($C107=2,AH$45,IF($C107=3,AH$78,AH$92)))</f>
        <v>10</v>
      </c>
      <c r="AI107" s="909" cm="1">
        <f t="array" ref="AI107">INDEX(AO$16:AO$24,$C107)</f>
        <v>3.3</v>
      </c>
      <c r="AJ107" s="909" cm="1">
        <f t="array" ref="AJ107">INDEX(AP$16:AP$24,$C107)</f>
        <v>0.2</v>
      </c>
      <c r="AK107" s="909" cm="1">
        <f t="array" ref="AK107">INDEX(AQ$16:AQ$24,$C107)</f>
        <v>3.1</v>
      </c>
    </row>
    <row r="108" spans="1:37" s="844" customFormat="1" x14ac:dyDescent="0.2">
      <c r="B108" s="523" t="str">
        <f>+'Abweichende Werte'!AB11</f>
        <v>--</v>
      </c>
      <c r="C108" s="892">
        <v>2</v>
      </c>
      <c r="D108" s="940">
        <f>IF('Abweichende Werte'!C25="",0,'Abweichende Werte'!C25)</f>
        <v>0</v>
      </c>
      <c r="E108" s="940">
        <f>IF('Abweichende Werte'!D25="",0,'Abweichende Werte'!D25)</f>
        <v>0</v>
      </c>
      <c r="F108" s="940">
        <f>IF('Abweichende Werte'!E25="",0,'Abweichende Werte'!E25)</f>
        <v>0</v>
      </c>
      <c r="G108" s="940">
        <f>IF('Abweichende Werte'!F25="",0,'Abweichende Werte'!F25)</f>
        <v>0</v>
      </c>
      <c r="H108" s="940">
        <f>IF('Abweichende Werte'!G25="",0,'Abweichende Werte'!G25)</f>
        <v>0</v>
      </c>
      <c r="I108" s="940">
        <f>+IF('Abweichende Werte'!L25="",0,'Abweichende Werte'!L25)</f>
        <v>0</v>
      </c>
      <c r="J108" s="940">
        <f>IFERROR(IF($C108&gt;2,$L108,IF('Abweichende Werte'!Q25="",0,'Abweichende Werte'!Q25/$D108)),0)</f>
        <v>0</v>
      </c>
      <c r="K108" s="940">
        <f>IFERROR(IF($C108&gt;2,$L108,IF('Abweichende Werte'!R25="",0,'Abweichende Werte'!R25/$D108)),0)</f>
        <v>0</v>
      </c>
      <c r="L108" s="940">
        <f>IFERROR(IF('Abweichende Werte'!S25="",0,'Abweichende Werte'!S25/D108),0)</f>
        <v>0</v>
      </c>
      <c r="M108" s="1113"/>
      <c r="N108" s="1113"/>
      <c r="O108" s="1113"/>
      <c r="P108" s="940">
        <f>IF($C108&gt;2,$R108,IF('Abweichende Werte'!I25="",0,'Abweichende Werte'!I25))</f>
        <v>0</v>
      </c>
      <c r="Q108" s="940">
        <f>IF($C108&gt;2,$R108,IF('Abweichende Werte'!J25="",0,'Abweichende Werte'!J25))</f>
        <v>0</v>
      </c>
      <c r="R108" s="940">
        <f>+IF('Abweichende Werte'!K25="",0,'Abweichende Werte'!K25)</f>
        <v>0</v>
      </c>
      <c r="S108" s="940">
        <f>IF($C108&gt;2,$U108,IF('Abweichende Werte'!N25="",0,'Abweichende Werte'!N25))</f>
        <v>0</v>
      </c>
      <c r="T108" s="940">
        <f>IF($C108&gt;2,$U108,IF('Abweichende Werte'!O25="",0,'Abweichende Werte'!O25))</f>
        <v>0</v>
      </c>
      <c r="U108" s="940">
        <f>IF('Abweichende Werte'!P25="",0,'Abweichende Werte'!P25)</f>
        <v>0</v>
      </c>
      <c r="V108" s="940">
        <f>IF('Abweichende Werte'!H25="",0,'Abweichende Werte'!H25)</f>
        <v>0</v>
      </c>
      <c r="W108" s="940">
        <f>IF('Abweichende Werte'!M25="",0,'Abweichende Werte'!M25)</f>
        <v>0</v>
      </c>
      <c r="X108" s="1113">
        <f t="shared" si="19"/>
        <v>20</v>
      </c>
      <c r="Y108" s="1113">
        <f t="shared" si="19"/>
        <v>30</v>
      </c>
      <c r="Z108" s="1113">
        <f t="shared" si="19"/>
        <v>0.9</v>
      </c>
      <c r="AB108" s="844" t="str">
        <f>IF(OR('Abweichende Werte'!F11='Abweichende Werte'!$Y$10,'Abweichende Werte'!F11='Abweichende Werte'!$Y$11),1,"")</f>
        <v/>
      </c>
      <c r="AD108" s="844">
        <f t="shared" si="21"/>
        <v>0</v>
      </c>
      <c r="AE108" s="844">
        <f t="shared" si="22"/>
        <v>2</v>
      </c>
      <c r="AF108" s="844">
        <f t="shared" si="22"/>
        <v>60</v>
      </c>
      <c r="AG108" s="844">
        <f t="shared" si="20"/>
        <v>90</v>
      </c>
      <c r="AH108" s="844">
        <f t="shared" si="20"/>
        <v>10</v>
      </c>
      <c r="AI108" s="909" cm="1">
        <f t="array" ref="AI108">INDEX(AO$16:AO$24,$C108)</f>
        <v>3.3</v>
      </c>
      <c r="AJ108" s="909" cm="1">
        <f t="array" ref="AJ108">INDEX(AP$16:AP$24,$C108)</f>
        <v>0.2</v>
      </c>
      <c r="AK108" s="909" cm="1">
        <f t="array" ref="AK108">INDEX(AQ$16:AQ$24,$C108)</f>
        <v>3.1</v>
      </c>
    </row>
    <row r="109" spans="1:37" s="844" customFormat="1" x14ac:dyDescent="0.2">
      <c r="B109" s="523" t="str">
        <f>+'Abweichende Werte'!AB12</f>
        <v>--</v>
      </c>
      <c r="C109" s="892">
        <v>2</v>
      </c>
      <c r="D109" s="940">
        <f>IF('Abweichende Werte'!C26="",0,'Abweichende Werte'!C26)</f>
        <v>0</v>
      </c>
      <c r="E109" s="940">
        <f>IF('Abweichende Werte'!D26="",0,'Abweichende Werte'!D26)</f>
        <v>0</v>
      </c>
      <c r="F109" s="940">
        <f>IF('Abweichende Werte'!E26="",0,'Abweichende Werte'!E26)</f>
        <v>0</v>
      </c>
      <c r="G109" s="940">
        <f>IF('Abweichende Werte'!F26="",0,'Abweichende Werte'!F26)</f>
        <v>0</v>
      </c>
      <c r="H109" s="940">
        <f>IF('Abweichende Werte'!G26="",0,'Abweichende Werte'!G26)</f>
        <v>0</v>
      </c>
      <c r="I109" s="940">
        <f>+IF('Abweichende Werte'!L26="",0,'Abweichende Werte'!L26)</f>
        <v>0</v>
      </c>
      <c r="J109" s="940">
        <f>IFERROR(IF($C109&gt;2,$L109,IF('Abweichende Werte'!Q26="",0,'Abweichende Werte'!Q26/$D109)),0)</f>
        <v>0</v>
      </c>
      <c r="K109" s="940">
        <f>IFERROR(IF($C109&gt;2,$L109,IF('Abweichende Werte'!R26="",0,'Abweichende Werte'!R26/$D109)),0)</f>
        <v>0</v>
      </c>
      <c r="L109" s="940">
        <f>IFERROR(IF('Abweichende Werte'!S26="",0,'Abweichende Werte'!S26/D109),0)</f>
        <v>0</v>
      </c>
      <c r="M109" s="1113"/>
      <c r="N109" s="1113"/>
      <c r="O109" s="1113"/>
      <c r="P109" s="940">
        <f>IF($C109&gt;2,$R109,IF('Abweichende Werte'!I26="",0,'Abweichende Werte'!I26))</f>
        <v>0</v>
      </c>
      <c r="Q109" s="940">
        <f>IF($C109&gt;2,$R109,IF('Abweichende Werte'!J26="",0,'Abweichende Werte'!J26))</f>
        <v>0</v>
      </c>
      <c r="R109" s="940">
        <f>+IF('Abweichende Werte'!K26="",0,'Abweichende Werte'!K26)</f>
        <v>0</v>
      </c>
      <c r="S109" s="940">
        <f>IF($C109&gt;2,$U109,IF('Abweichende Werte'!N26="",0,'Abweichende Werte'!N26))</f>
        <v>0</v>
      </c>
      <c r="T109" s="940">
        <f>IF($C109&gt;2,$U109,IF('Abweichende Werte'!O26="",0,'Abweichende Werte'!O26))</f>
        <v>0</v>
      </c>
      <c r="U109" s="940">
        <f>IF('Abweichende Werte'!P26="",0,'Abweichende Werte'!P26)</f>
        <v>0</v>
      </c>
      <c r="V109" s="940">
        <f>IF('Abweichende Werte'!H26="",0,'Abweichende Werte'!H26)</f>
        <v>0</v>
      </c>
      <c r="W109" s="940">
        <f>IF('Abweichende Werte'!M26="",0,'Abweichende Werte'!M26)</f>
        <v>0</v>
      </c>
      <c r="X109" s="1113">
        <f t="shared" si="19"/>
        <v>20</v>
      </c>
      <c r="Y109" s="1113">
        <f t="shared" si="19"/>
        <v>30</v>
      </c>
      <c r="Z109" s="1113">
        <f t="shared" si="19"/>
        <v>0.9</v>
      </c>
      <c r="AB109" s="844" t="str">
        <f>IF(OR('Abweichende Werte'!F12='Abweichende Werte'!$Y$10,'Abweichende Werte'!F12='Abweichende Werte'!$Y$11),1,"")</f>
        <v/>
      </c>
      <c r="AD109" s="844">
        <f t="shared" si="21"/>
        <v>0</v>
      </c>
      <c r="AE109" s="844">
        <f t="shared" si="22"/>
        <v>2</v>
      </c>
      <c r="AF109" s="844">
        <f t="shared" si="22"/>
        <v>60</v>
      </c>
      <c r="AG109" s="844">
        <f t="shared" si="20"/>
        <v>90</v>
      </c>
      <c r="AH109" s="844">
        <f t="shared" si="20"/>
        <v>10</v>
      </c>
      <c r="AI109" s="909" cm="1">
        <f t="array" ref="AI109">INDEX(AO$16:AO$24,$C109)</f>
        <v>3.3</v>
      </c>
      <c r="AJ109" s="909" cm="1">
        <f t="array" ref="AJ109">INDEX(AP$16:AP$24,$C109)</f>
        <v>0.2</v>
      </c>
      <c r="AK109" s="909" cm="1">
        <f t="array" ref="AK109">INDEX(AQ$16:AQ$24,$C109)</f>
        <v>3.1</v>
      </c>
    </row>
    <row r="110" spans="1:37" s="844" customFormat="1" x14ac:dyDescent="0.2">
      <c r="B110" s="523" t="str">
        <f>+'Abweichende Werte'!X27</f>
        <v xml:space="preserve"> -- - </v>
      </c>
      <c r="C110" s="1113">
        <f>+'Abweichende Werte'!V27</f>
        <v>1</v>
      </c>
      <c r="D110" s="940">
        <f>IF('Abweichende Werte'!C27="",0,'Abweichende Werte'!C27)</f>
        <v>0</v>
      </c>
      <c r="E110" s="940">
        <f>IF('Abweichende Werte'!D27="",0,'Abweichende Werte'!D27)</f>
        <v>0</v>
      </c>
      <c r="F110" s="940">
        <f>IF('Abweichende Werte'!E27="",0,'Abweichende Werte'!E27)</f>
        <v>0</v>
      </c>
      <c r="G110" s="940">
        <f>IF('Abweichende Werte'!F27="",0,'Abweichende Werte'!F27)</f>
        <v>0</v>
      </c>
      <c r="H110" s="940">
        <f>IF('Abweichende Werte'!G27="",0,'Abweichende Werte'!G27)</f>
        <v>0</v>
      </c>
      <c r="I110" s="940">
        <f>+IF('Abweichende Werte'!L27="",0,'Abweichende Werte'!L27)</f>
        <v>0</v>
      </c>
      <c r="J110" s="940">
        <f>IFERROR(IF($C110&gt;2,$L110,IF('Abweichende Werte'!Q27="",0,'Abweichende Werte'!Q27/$D110)),0)</f>
        <v>0</v>
      </c>
      <c r="K110" s="940">
        <f>IFERROR(IF($C110&gt;2,$L110,IF('Abweichende Werte'!R27="",0,'Abweichende Werte'!R27/$D110)),0)</f>
        <v>0</v>
      </c>
      <c r="L110" s="940">
        <f>IFERROR(IF('Abweichende Werte'!S27="",0,'Abweichende Werte'!S27/D110),0)</f>
        <v>0</v>
      </c>
      <c r="M110" s="1113"/>
      <c r="N110" s="1113"/>
      <c r="O110" s="1113"/>
      <c r="P110" s="940">
        <f>IF($C110&gt;2,$R110,IF('Abweichende Werte'!I27="",0,'Abweichende Werte'!I27))</f>
        <v>0</v>
      </c>
      <c r="Q110" s="940">
        <f>IF($C110&gt;2,$R110,IF('Abweichende Werte'!J27="",0,'Abweichende Werte'!J27))</f>
        <v>0</v>
      </c>
      <c r="R110" s="940">
        <f>+IF('Abweichende Werte'!K27="",0,'Abweichende Werte'!K27)</f>
        <v>0</v>
      </c>
      <c r="S110" s="940">
        <f>IF($C110&gt;2,$U110,IF('Abweichende Werte'!N27="",0,'Abweichende Werte'!N27))</f>
        <v>0</v>
      </c>
      <c r="T110" s="940">
        <f>IF($C110&gt;2,$U110,IF('Abweichende Werte'!O27="",0,'Abweichende Werte'!O27))</f>
        <v>0</v>
      </c>
      <c r="U110" s="940">
        <f>IF('Abweichende Werte'!P27="",0,'Abweichende Werte'!P27)</f>
        <v>0</v>
      </c>
      <c r="V110" s="940">
        <f>IF('Abweichende Werte'!H27="",0,'Abweichende Werte'!H27)</f>
        <v>0</v>
      </c>
      <c r="W110" s="940">
        <f>IF('Abweichende Werte'!M27="",0,'Abweichende Werte'!M27)</f>
        <v>0</v>
      </c>
      <c r="X110" s="1113">
        <f t="shared" si="19"/>
        <v>15</v>
      </c>
      <c r="Y110" s="1113">
        <f t="shared" si="19"/>
        <v>30</v>
      </c>
      <c r="Z110" s="1113">
        <f t="shared" si="19"/>
        <v>0.9</v>
      </c>
      <c r="AD110" s="844">
        <f t="shared" si="21"/>
        <v>0</v>
      </c>
      <c r="AE110" s="844">
        <f t="shared" si="22"/>
        <v>2</v>
      </c>
      <c r="AF110" s="844">
        <f t="shared" si="22"/>
        <v>50</v>
      </c>
      <c r="AG110" s="844">
        <f t="shared" si="20"/>
        <v>90</v>
      </c>
      <c r="AH110" s="844">
        <f t="shared" si="20"/>
        <v>10</v>
      </c>
      <c r="AI110" s="909" cm="1">
        <f t="array" ref="AI110">INDEX(AO$16:AO$24,$C110)</f>
        <v>3.2</v>
      </c>
      <c r="AJ110" s="909" cm="1">
        <f t="array" ref="AJ110">INDEX(AP$16:AP$24,$C110)</f>
        <v>0.2</v>
      </c>
      <c r="AK110" s="909" cm="1">
        <f t="array" ref="AK110">INDEX(AQ$16:AQ$24,$C110)</f>
        <v>7.9</v>
      </c>
    </row>
    <row r="111" spans="1:37" x14ac:dyDescent="0.2">
      <c r="B111" s="523" t="str">
        <f>+'Abweichende Werte'!X28</f>
        <v xml:space="preserve"> -- - </v>
      </c>
      <c r="C111" s="1113">
        <f>+'Abweichende Werte'!V28</f>
        <v>1</v>
      </c>
      <c r="D111" s="940">
        <f>IF('Abweichende Werte'!C28="",0,'Abweichende Werte'!C28)</f>
        <v>0</v>
      </c>
      <c r="E111" s="940">
        <f>IF('Abweichende Werte'!D28="",0,'Abweichende Werte'!D28)</f>
        <v>0</v>
      </c>
      <c r="F111" s="940">
        <f>IF('Abweichende Werte'!E28="",0,'Abweichende Werte'!E28)</f>
        <v>0</v>
      </c>
      <c r="G111" s="940">
        <f>IF('Abweichende Werte'!F28="",0,'Abweichende Werte'!F28)</f>
        <v>0</v>
      </c>
      <c r="H111" s="940">
        <f>IF('Abweichende Werte'!G28="",0,'Abweichende Werte'!G28)</f>
        <v>0</v>
      </c>
      <c r="I111" s="940">
        <f>+IF('Abweichende Werte'!L28="",0,'Abweichende Werte'!L28)</f>
        <v>0</v>
      </c>
      <c r="J111" s="940">
        <f>IFERROR(IF($C111&gt;2,$L111,IF('Abweichende Werte'!Q28="",0,'Abweichende Werte'!Q28/$D111)),0)</f>
        <v>0</v>
      </c>
      <c r="K111" s="940">
        <f>IFERROR(IF($C111&gt;2,$L111,IF('Abweichende Werte'!R28="",0,'Abweichende Werte'!R28/$D111)),0)</f>
        <v>0</v>
      </c>
      <c r="L111" s="940">
        <f>IFERROR(IF('Abweichende Werte'!S28="",0,'Abweichende Werte'!S28/D111),0)</f>
        <v>0</v>
      </c>
      <c r="M111" s="1113"/>
      <c r="N111" s="1113"/>
      <c r="O111" s="1113"/>
      <c r="P111" s="940">
        <f>IF($C111&gt;2,$R111,IF('Abweichende Werte'!I28="",0,'Abweichende Werte'!I28))</f>
        <v>0</v>
      </c>
      <c r="Q111" s="940">
        <f>IF($C111&gt;2,$R111,IF('Abweichende Werte'!J28="",0,'Abweichende Werte'!J28))</f>
        <v>0</v>
      </c>
      <c r="R111" s="940">
        <f>+IF('Abweichende Werte'!K28="",0,'Abweichende Werte'!K28)</f>
        <v>0</v>
      </c>
      <c r="S111" s="940">
        <f>IF($C111&gt;2,$U111,IF('Abweichende Werte'!N28="",0,'Abweichende Werte'!N28))</f>
        <v>0</v>
      </c>
      <c r="T111" s="940">
        <f>IF($C111&gt;2,$U111,IF('Abweichende Werte'!O28="",0,'Abweichende Werte'!O28))</f>
        <v>0</v>
      </c>
      <c r="U111" s="940">
        <f>IF('Abweichende Werte'!P28="",0,'Abweichende Werte'!P28)</f>
        <v>0</v>
      </c>
      <c r="V111" s="940">
        <f>IF('Abweichende Werte'!H28="",0,'Abweichende Werte'!H28)</f>
        <v>0</v>
      </c>
      <c r="W111" s="940">
        <f>IF('Abweichende Werte'!M28="",0,'Abweichende Werte'!M28)</f>
        <v>0</v>
      </c>
      <c r="X111" s="1113">
        <f t="shared" si="19"/>
        <v>15</v>
      </c>
      <c r="Y111" s="1113">
        <f t="shared" si="19"/>
        <v>30</v>
      </c>
      <c r="Z111" s="1113">
        <f t="shared" si="19"/>
        <v>0.9</v>
      </c>
      <c r="AD111" s="844">
        <f t="shared" si="21"/>
        <v>0</v>
      </c>
      <c r="AE111" s="844">
        <f t="shared" si="22"/>
        <v>2</v>
      </c>
      <c r="AF111" s="844">
        <f t="shared" si="22"/>
        <v>50</v>
      </c>
      <c r="AG111" s="844">
        <f t="shared" si="20"/>
        <v>90</v>
      </c>
      <c r="AH111" s="844">
        <f t="shared" si="20"/>
        <v>10</v>
      </c>
      <c r="AI111" s="909" cm="1">
        <f t="array" ref="AI111">INDEX(AO$16:AO$24,$C111)</f>
        <v>3.2</v>
      </c>
      <c r="AJ111" s="909" cm="1">
        <f t="array" ref="AJ111">INDEX(AP$16:AP$24,$C111)</f>
        <v>0.2</v>
      </c>
      <c r="AK111" s="909" cm="1">
        <f t="array" ref="AK111">INDEX(AQ$16:AQ$24,$C111)</f>
        <v>7.9</v>
      </c>
    </row>
    <row r="112" spans="1:37" x14ac:dyDescent="0.2">
      <c r="B112" s="523" t="str">
        <f>+'Abweichende Werte'!X29</f>
        <v xml:space="preserve"> -- - </v>
      </c>
      <c r="C112" s="1113">
        <f>+'Abweichende Werte'!V29</f>
        <v>1</v>
      </c>
      <c r="D112" s="940">
        <f>IF('Abweichende Werte'!C29="",0,'Abweichende Werte'!C29)</f>
        <v>0</v>
      </c>
      <c r="E112" s="940">
        <f>IF('Abweichende Werte'!D29="",0,'Abweichende Werte'!D29)</f>
        <v>0</v>
      </c>
      <c r="F112" s="940">
        <f>IF('Abweichende Werte'!E29="",0,'Abweichende Werte'!E29)</f>
        <v>0</v>
      </c>
      <c r="G112" s="940">
        <f>IF('Abweichende Werte'!F29="",0,'Abweichende Werte'!F29)</f>
        <v>0</v>
      </c>
      <c r="H112" s="940">
        <f>IF('Abweichende Werte'!G29="",0,'Abweichende Werte'!G29)</f>
        <v>0</v>
      </c>
      <c r="I112" s="940">
        <f>+IF('Abweichende Werte'!L29="",0,'Abweichende Werte'!L29)</f>
        <v>0</v>
      </c>
      <c r="J112" s="940">
        <f>IFERROR(IF($C112&gt;2,$L112,IF('Abweichende Werte'!Q29="",0,'Abweichende Werte'!Q29/$D112)),0)</f>
        <v>0</v>
      </c>
      <c r="K112" s="940">
        <f>IFERROR(IF($C112&gt;2,$L112,IF('Abweichende Werte'!R29="",0,'Abweichende Werte'!R29/$D112)),0)</f>
        <v>0</v>
      </c>
      <c r="L112" s="940">
        <f>IFERROR(IF('Abweichende Werte'!S29="",0,'Abweichende Werte'!S29/D112),0)</f>
        <v>0</v>
      </c>
      <c r="M112" s="1113"/>
      <c r="N112" s="1113"/>
      <c r="O112" s="1113"/>
      <c r="P112" s="940">
        <f>IF($C112&gt;2,$R112,IF('Abweichende Werte'!I29="",0,'Abweichende Werte'!I29))</f>
        <v>0</v>
      </c>
      <c r="Q112" s="940">
        <f>IF($C112&gt;2,$R112,IF('Abweichende Werte'!J29="",0,'Abweichende Werte'!J29))</f>
        <v>0</v>
      </c>
      <c r="R112" s="940">
        <f>+IF('Abweichende Werte'!K29="",0,'Abweichende Werte'!K29)</f>
        <v>0</v>
      </c>
      <c r="S112" s="940">
        <f>IF($C112&gt;2,$U112,IF('Abweichende Werte'!N29="",0,'Abweichende Werte'!N29))</f>
        <v>0</v>
      </c>
      <c r="T112" s="940">
        <f>IF($C112&gt;2,$U112,IF('Abweichende Werte'!O29="",0,'Abweichende Werte'!O29))</f>
        <v>0</v>
      </c>
      <c r="U112" s="940">
        <f>IF('Abweichende Werte'!P29="",0,'Abweichende Werte'!P29)</f>
        <v>0</v>
      </c>
      <c r="V112" s="940">
        <f>IF('Abweichende Werte'!H29="",0,'Abweichende Werte'!H29)</f>
        <v>0</v>
      </c>
      <c r="W112" s="940">
        <f>IF('Abweichende Werte'!M29="",0,'Abweichende Werte'!M29)</f>
        <v>0</v>
      </c>
      <c r="X112" s="1113">
        <f t="shared" si="19"/>
        <v>15</v>
      </c>
      <c r="Y112" s="1113">
        <f t="shared" si="19"/>
        <v>30</v>
      </c>
      <c r="Z112" s="1113">
        <f t="shared" si="19"/>
        <v>0.9</v>
      </c>
      <c r="AA112" s="839"/>
      <c r="AD112" s="844">
        <f t="shared" si="21"/>
        <v>0</v>
      </c>
      <c r="AE112" s="844">
        <f t="shared" si="22"/>
        <v>2</v>
      </c>
      <c r="AF112" s="844">
        <f t="shared" si="22"/>
        <v>50</v>
      </c>
      <c r="AG112" s="844">
        <f t="shared" si="20"/>
        <v>90</v>
      </c>
      <c r="AH112" s="844">
        <f t="shared" si="20"/>
        <v>10</v>
      </c>
      <c r="AI112" s="909" cm="1">
        <f t="array" ref="AI112">INDEX(AO$16:AO$24,$C112)</f>
        <v>3.2</v>
      </c>
      <c r="AJ112" s="909" cm="1">
        <f t="array" ref="AJ112">INDEX(AP$16:AP$24,$C112)</f>
        <v>0.2</v>
      </c>
      <c r="AK112" s="909" cm="1">
        <f t="array" ref="AK112">INDEX(AQ$16:AQ$24,$C112)</f>
        <v>7.9</v>
      </c>
    </row>
    <row r="113" spans="4:27" x14ac:dyDescent="0.2">
      <c r="AA113" s="839"/>
    </row>
    <row r="114" spans="4:27" x14ac:dyDescent="0.2">
      <c r="AA114" s="839"/>
    </row>
    <row r="115" spans="4:27" x14ac:dyDescent="0.2">
      <c r="AA115" s="839"/>
    </row>
    <row r="116" spans="4:27" x14ac:dyDescent="0.2">
      <c r="AA116" s="839"/>
    </row>
    <row r="117" spans="4:27" x14ac:dyDescent="0.2">
      <c r="AA117" s="839"/>
    </row>
    <row r="118" spans="4:27" x14ac:dyDescent="0.2">
      <c r="AA118" s="839"/>
    </row>
    <row r="121" spans="4:27" x14ac:dyDescent="0.2">
      <c r="AA121" s="839"/>
    </row>
    <row r="122" spans="4:27" x14ac:dyDescent="0.2">
      <c r="G122" s="841" t="s">
        <v>0</v>
      </c>
    </row>
    <row r="123" spans="4:27" x14ac:dyDescent="0.2">
      <c r="E123" s="841" t="s">
        <v>21</v>
      </c>
    </row>
    <row r="124" spans="4:27" x14ac:dyDescent="0.2">
      <c r="D124" s="840">
        <v>1</v>
      </c>
      <c r="E124" s="846" t="s">
        <v>52</v>
      </c>
      <c r="G124" s="841">
        <v>50</v>
      </c>
    </row>
    <row r="125" spans="4:27" x14ac:dyDescent="0.2">
      <c r="D125" s="840">
        <v>2</v>
      </c>
      <c r="E125" s="846" t="s">
        <v>85</v>
      </c>
      <c r="G125" s="841">
        <v>60</v>
      </c>
    </row>
    <row r="126" spans="4:27" x14ac:dyDescent="0.2">
      <c r="D126" s="840">
        <v>3</v>
      </c>
      <c r="E126" s="846" t="s">
        <v>86</v>
      </c>
      <c r="G126" s="841">
        <v>50</v>
      </c>
    </row>
    <row r="127" spans="4:27" x14ac:dyDescent="0.2">
      <c r="D127" s="840">
        <v>4</v>
      </c>
      <c r="E127" s="941" t="s">
        <v>87</v>
      </c>
      <c r="G127" s="841">
        <v>50</v>
      </c>
    </row>
    <row r="130" spans="5:5" x14ac:dyDescent="0.2">
      <c r="E130" s="841" t="s">
        <v>255</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M6:O6"/>
    <mergeCell ref="M7:O7"/>
    <mergeCell ref="AO12:AQ12"/>
    <mergeCell ref="AO13:AQ13"/>
    <mergeCell ref="D5:D7"/>
    <mergeCell ref="AF5:AH5"/>
    <mergeCell ref="X5:Y5"/>
    <mergeCell ref="X6:Y6"/>
    <mergeCell ref="AI6:AK6"/>
    <mergeCell ref="AI5:AK5"/>
    <mergeCell ref="P5:R5"/>
    <mergeCell ref="P6:R6"/>
    <mergeCell ref="P7:R7"/>
    <mergeCell ref="J5:L5"/>
    <mergeCell ref="J6:L6"/>
    <mergeCell ref="J7:L7"/>
    <mergeCell ref="M5:O5"/>
  </mergeCells>
  <pageMargins left="0.7" right="0.7" top="0.78740157499999996" bottom="0.78740157499999996"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T115"/>
  <sheetViews>
    <sheetView workbookViewId="0">
      <selection activeCell="F29" sqref="F29:F31"/>
    </sheetView>
  </sheetViews>
  <sheetFormatPr baseColWidth="10" defaultRowHeight="12.75" x14ac:dyDescent="0.2"/>
  <cols>
    <col min="1" max="1" width="3.7109375" style="89" customWidth="1"/>
    <col min="2" max="2" width="37.140625" style="89" customWidth="1"/>
    <col min="3" max="3" width="7.140625" style="82" customWidth="1"/>
    <col min="4" max="4" width="6.7109375" style="82" customWidth="1"/>
    <col min="5" max="5" width="3" style="82" customWidth="1"/>
    <col min="6" max="6" width="4.85546875" style="92" customWidth="1"/>
    <col min="7" max="7" width="6.7109375" style="89" customWidth="1"/>
    <col min="8" max="8" width="11.42578125" style="108"/>
    <col min="9" max="9" width="11.42578125" style="89"/>
    <col min="10" max="11" width="11.42578125" style="82"/>
    <col min="12" max="12" width="11.42578125" style="89"/>
    <col min="13" max="18" width="11.42578125" style="82"/>
    <col min="19" max="20" width="11.42578125" style="90"/>
  </cols>
  <sheetData>
    <row r="1" spans="1:13" x14ac:dyDescent="0.2">
      <c r="A1" s="81" t="s">
        <v>198</v>
      </c>
      <c r="B1" s="81"/>
      <c r="D1" s="83"/>
      <c r="E1" s="84"/>
      <c r="F1" s="85"/>
      <c r="G1" s="86"/>
      <c r="H1" s="87"/>
      <c r="I1" s="88" t="s">
        <v>199</v>
      </c>
    </row>
    <row r="2" spans="1:13" x14ac:dyDescent="0.2">
      <c r="A2" s="91" t="s">
        <v>200</v>
      </c>
      <c r="H2" s="87"/>
    </row>
    <row r="3" spans="1:13" x14ac:dyDescent="0.2">
      <c r="A3" s="89" t="s">
        <v>7939</v>
      </c>
      <c r="C3" s="93"/>
      <c r="D3" s="93"/>
      <c r="H3" s="94"/>
    </row>
    <row r="4" spans="1:13" ht="13.5" thickBot="1" x14ac:dyDescent="0.25">
      <c r="A4" s="95" t="s">
        <v>201</v>
      </c>
      <c r="B4" s="93"/>
      <c r="C4" s="506" t="s">
        <v>637</v>
      </c>
      <c r="D4" s="506" t="s">
        <v>638</v>
      </c>
      <c r="E4" s="506" t="s">
        <v>226</v>
      </c>
      <c r="G4" s="506" t="s">
        <v>631</v>
      </c>
      <c r="H4" s="506" t="s">
        <v>632</v>
      </c>
      <c r="I4" s="506" t="s">
        <v>633</v>
      </c>
    </row>
    <row r="5" spans="1:13" ht="12.75" customHeight="1" x14ac:dyDescent="0.2">
      <c r="A5" s="96"/>
      <c r="B5" s="97"/>
      <c r="C5" s="511"/>
      <c r="D5" s="511"/>
      <c r="E5" s="1629" t="s">
        <v>202</v>
      </c>
      <c r="F5" s="98" t="s">
        <v>203</v>
      </c>
      <c r="G5" s="96"/>
      <c r="H5" s="507"/>
      <c r="I5" s="507"/>
    </row>
    <row r="6" spans="1:13" x14ac:dyDescent="0.2">
      <c r="A6" s="1632" t="s">
        <v>204</v>
      </c>
      <c r="B6" s="1633"/>
      <c r="C6" s="503" t="s">
        <v>205</v>
      </c>
      <c r="D6" s="503" t="s">
        <v>206</v>
      </c>
      <c r="E6" s="1630"/>
      <c r="F6" s="99" t="s">
        <v>207</v>
      </c>
      <c r="G6" s="508"/>
      <c r="H6" s="82"/>
      <c r="I6" s="509"/>
    </row>
    <row r="7" spans="1:13" ht="15" thickBot="1" x14ac:dyDescent="0.3">
      <c r="A7" s="100"/>
      <c r="B7" s="101"/>
      <c r="C7" s="512"/>
      <c r="D7" s="512"/>
      <c r="E7" s="1631"/>
      <c r="F7" s="102" t="s">
        <v>2</v>
      </c>
      <c r="G7" s="103" t="s">
        <v>634</v>
      </c>
      <c r="H7" s="510" t="s">
        <v>635</v>
      </c>
      <c r="I7" s="510" t="s">
        <v>636</v>
      </c>
    </row>
    <row r="8" spans="1:13" x14ac:dyDescent="0.2">
      <c r="A8" s="96"/>
      <c r="B8"/>
      <c r="C8"/>
      <c r="D8"/>
      <c r="E8" t="s">
        <v>7948</v>
      </c>
      <c r="F8"/>
      <c r="G8"/>
      <c r="H8"/>
      <c r="I8"/>
    </row>
    <row r="9" spans="1:13" x14ac:dyDescent="0.2">
      <c r="A9" s="508"/>
      <c r="B9" t="s">
        <v>7947</v>
      </c>
      <c r="C9"/>
      <c r="D9"/>
      <c r="E9"/>
      <c r="F9"/>
      <c r="G9"/>
      <c r="H9"/>
      <c r="I9"/>
    </row>
    <row r="10" spans="1:13" x14ac:dyDescent="0.2">
      <c r="A10" s="104"/>
      <c r="B10" t="s">
        <v>209</v>
      </c>
      <c r="C10">
        <v>1</v>
      </c>
      <c r="D10">
        <v>1</v>
      </c>
      <c r="E10" t="s">
        <v>7949</v>
      </c>
      <c r="F10">
        <v>6</v>
      </c>
      <c r="G10">
        <v>3.3</v>
      </c>
      <c r="H10">
        <v>1.4</v>
      </c>
      <c r="I10">
        <v>4.2</v>
      </c>
      <c r="K10"/>
      <c r="L10"/>
      <c r="M10"/>
    </row>
    <row r="11" spans="1:13" x14ac:dyDescent="0.2">
      <c r="A11" s="104"/>
      <c r="B11" t="s">
        <v>210</v>
      </c>
      <c r="C11">
        <v>1</v>
      </c>
      <c r="D11">
        <v>1</v>
      </c>
      <c r="E11" t="s">
        <v>7949</v>
      </c>
      <c r="F11">
        <v>7.5</v>
      </c>
      <c r="G11">
        <v>4.0999999999999996</v>
      </c>
      <c r="H11">
        <v>1.7</v>
      </c>
      <c r="I11">
        <v>5.3</v>
      </c>
      <c r="K11"/>
      <c r="L11"/>
      <c r="M11"/>
    </row>
    <row r="12" spans="1:13" x14ac:dyDescent="0.2">
      <c r="A12" s="104"/>
      <c r="B12" t="s">
        <v>211</v>
      </c>
      <c r="C12">
        <v>1</v>
      </c>
      <c r="D12">
        <v>1</v>
      </c>
      <c r="E12" t="s">
        <v>7949</v>
      </c>
      <c r="F12">
        <v>6</v>
      </c>
      <c r="G12">
        <v>3.1</v>
      </c>
      <c r="H12">
        <v>1.4</v>
      </c>
      <c r="I12">
        <v>3.7</v>
      </c>
      <c r="K12"/>
      <c r="L12"/>
      <c r="M12"/>
    </row>
    <row r="13" spans="1:13" x14ac:dyDescent="0.2">
      <c r="A13" s="104"/>
      <c r="B13" t="s">
        <v>212</v>
      </c>
      <c r="C13">
        <v>1</v>
      </c>
      <c r="D13">
        <v>1</v>
      </c>
      <c r="E13" t="s">
        <v>7949</v>
      </c>
      <c r="F13">
        <v>7.5</v>
      </c>
      <c r="G13">
        <v>3.9</v>
      </c>
      <c r="H13">
        <v>1.7</v>
      </c>
      <c r="I13">
        <v>4.7</v>
      </c>
      <c r="K13"/>
      <c r="L13"/>
      <c r="M13"/>
    </row>
    <row r="14" spans="1:13" x14ac:dyDescent="0.2">
      <c r="A14" s="104"/>
      <c r="B14" t="s">
        <v>213</v>
      </c>
      <c r="C14">
        <v>1</v>
      </c>
      <c r="D14">
        <v>1</v>
      </c>
      <c r="E14" t="s">
        <v>7949</v>
      </c>
      <c r="F14">
        <v>7.5</v>
      </c>
      <c r="G14">
        <v>4.0999999999999996</v>
      </c>
      <c r="H14">
        <v>1.9</v>
      </c>
      <c r="I14">
        <v>4</v>
      </c>
      <c r="K14"/>
      <c r="L14"/>
      <c r="M14"/>
    </row>
    <row r="15" spans="1:13" x14ac:dyDescent="0.2">
      <c r="A15" s="104"/>
      <c r="B15" t="s">
        <v>629</v>
      </c>
      <c r="C15">
        <v>1</v>
      </c>
      <c r="D15">
        <v>2</v>
      </c>
      <c r="E15" t="s">
        <v>42</v>
      </c>
      <c r="F15">
        <v>18.5</v>
      </c>
      <c r="G15">
        <v>3.7</v>
      </c>
      <c r="H15">
        <v>2.5</v>
      </c>
      <c r="I15">
        <v>5.9</v>
      </c>
      <c r="K15"/>
      <c r="L15"/>
      <c r="M15"/>
    </row>
    <row r="16" spans="1:13" x14ac:dyDescent="0.2">
      <c r="A16" s="104"/>
      <c r="B16" t="s">
        <v>630</v>
      </c>
      <c r="C16">
        <v>1</v>
      </c>
      <c r="D16">
        <v>2</v>
      </c>
      <c r="E16" t="s">
        <v>42</v>
      </c>
      <c r="F16">
        <v>23</v>
      </c>
      <c r="G16">
        <v>4.0999999999999996</v>
      </c>
      <c r="H16">
        <v>2.1</v>
      </c>
      <c r="I16">
        <v>8.1</v>
      </c>
      <c r="K16"/>
      <c r="L16"/>
      <c r="M16"/>
    </row>
    <row r="17" spans="1:13" x14ac:dyDescent="0.2">
      <c r="A17" s="104"/>
      <c r="B17" t="s">
        <v>620</v>
      </c>
      <c r="C17">
        <v>1</v>
      </c>
      <c r="D17">
        <v>1</v>
      </c>
      <c r="E17" t="s">
        <v>7949</v>
      </c>
      <c r="F17">
        <v>1.8</v>
      </c>
      <c r="G17">
        <v>3.2</v>
      </c>
      <c r="H17">
        <v>0.2</v>
      </c>
      <c r="I17">
        <v>7.9</v>
      </c>
      <c r="K17"/>
      <c r="L17"/>
      <c r="M17"/>
    </row>
    <row r="18" spans="1:13" x14ac:dyDescent="0.2">
      <c r="A18" s="105"/>
      <c r="B18" t="s">
        <v>7950</v>
      </c>
      <c r="C18"/>
      <c r="D18"/>
      <c r="E18" t="s">
        <v>7948</v>
      </c>
      <c r="F18"/>
      <c r="G18"/>
      <c r="H18"/>
      <c r="I18"/>
      <c r="K18"/>
      <c r="L18"/>
      <c r="M18"/>
    </row>
    <row r="19" spans="1:13" x14ac:dyDescent="0.2">
      <c r="A19" s="104"/>
      <c r="B19" t="s">
        <v>7951</v>
      </c>
      <c r="C19">
        <v>2</v>
      </c>
      <c r="D19">
        <v>1</v>
      </c>
      <c r="E19" t="s">
        <v>7949</v>
      </c>
      <c r="F19">
        <v>5</v>
      </c>
      <c r="G19">
        <v>5.7</v>
      </c>
      <c r="H19">
        <v>3</v>
      </c>
      <c r="I19">
        <v>3.5</v>
      </c>
      <c r="K19"/>
      <c r="L19"/>
      <c r="M19"/>
    </row>
    <row r="20" spans="1:13" x14ac:dyDescent="0.2">
      <c r="A20" s="104"/>
      <c r="B20" t="s">
        <v>215</v>
      </c>
      <c r="C20">
        <v>2</v>
      </c>
      <c r="D20">
        <v>1</v>
      </c>
      <c r="E20" t="s">
        <v>7949</v>
      </c>
      <c r="F20">
        <v>5</v>
      </c>
      <c r="G20">
        <v>5.5</v>
      </c>
      <c r="H20">
        <v>2.6</v>
      </c>
      <c r="I20">
        <v>3.4</v>
      </c>
      <c r="K20"/>
      <c r="L20"/>
      <c r="M20"/>
    </row>
    <row r="21" spans="1:13" x14ac:dyDescent="0.2">
      <c r="A21" s="104"/>
      <c r="B21" t="s">
        <v>621</v>
      </c>
      <c r="C21">
        <v>2</v>
      </c>
      <c r="D21">
        <v>1</v>
      </c>
      <c r="E21" t="s">
        <v>7949</v>
      </c>
      <c r="F21">
        <v>5</v>
      </c>
      <c r="G21">
        <v>5</v>
      </c>
      <c r="H21">
        <v>2.4</v>
      </c>
      <c r="I21">
        <v>3.3</v>
      </c>
      <c r="K21"/>
      <c r="L21"/>
      <c r="M21"/>
    </row>
    <row r="22" spans="1:13" x14ac:dyDescent="0.2">
      <c r="A22" s="104"/>
      <c r="B22" t="s">
        <v>622</v>
      </c>
      <c r="C22">
        <v>2</v>
      </c>
      <c r="D22">
        <v>1</v>
      </c>
      <c r="E22" t="s">
        <v>7949</v>
      </c>
      <c r="F22">
        <v>5</v>
      </c>
      <c r="G22">
        <v>4.5999999999999996</v>
      </c>
      <c r="H22">
        <v>2.5</v>
      </c>
      <c r="I22">
        <v>2.9</v>
      </c>
      <c r="K22"/>
      <c r="L22"/>
      <c r="M22"/>
    </row>
    <row r="23" spans="1:13" x14ac:dyDescent="0.2">
      <c r="A23" s="104"/>
      <c r="B23" t="s">
        <v>7952</v>
      </c>
      <c r="C23">
        <v>2</v>
      </c>
      <c r="D23">
        <v>1</v>
      </c>
      <c r="E23" t="s">
        <v>7949</v>
      </c>
      <c r="F23">
        <v>5</v>
      </c>
      <c r="G23">
        <v>4.0999999999999996</v>
      </c>
      <c r="H23">
        <v>2.2000000000000002</v>
      </c>
      <c r="I23">
        <v>2.7</v>
      </c>
      <c r="K23"/>
      <c r="L23"/>
      <c r="M23"/>
    </row>
    <row r="24" spans="1:13" x14ac:dyDescent="0.2">
      <c r="A24" s="104"/>
      <c r="B24" t="s">
        <v>623</v>
      </c>
      <c r="C24">
        <v>2</v>
      </c>
      <c r="D24">
        <v>1</v>
      </c>
      <c r="E24" t="s">
        <v>7949</v>
      </c>
      <c r="F24">
        <v>5</v>
      </c>
      <c r="G24">
        <v>3.9</v>
      </c>
      <c r="H24">
        <v>2.1</v>
      </c>
      <c r="I24">
        <v>2.7</v>
      </c>
      <c r="K24"/>
      <c r="L24"/>
      <c r="M24"/>
    </row>
    <row r="25" spans="1:13" x14ac:dyDescent="0.2">
      <c r="A25" s="104"/>
      <c r="B25" t="s">
        <v>624</v>
      </c>
      <c r="C25">
        <v>2</v>
      </c>
      <c r="D25">
        <v>2</v>
      </c>
      <c r="E25" t="s">
        <v>42</v>
      </c>
      <c r="F25">
        <v>21</v>
      </c>
      <c r="G25">
        <v>6</v>
      </c>
      <c r="H25">
        <v>4.3</v>
      </c>
      <c r="I25">
        <v>6.2</v>
      </c>
      <c r="K25"/>
      <c r="L25"/>
      <c r="M25"/>
    </row>
    <row r="26" spans="1:13" x14ac:dyDescent="0.2">
      <c r="A26" s="104"/>
      <c r="B26" t="s">
        <v>625</v>
      </c>
      <c r="C26">
        <v>2</v>
      </c>
      <c r="D26">
        <v>2</v>
      </c>
      <c r="E26" t="s">
        <v>42</v>
      </c>
      <c r="F26">
        <v>25</v>
      </c>
      <c r="G26">
        <v>5.2</v>
      </c>
      <c r="H26">
        <v>2.9</v>
      </c>
      <c r="I26">
        <v>7</v>
      </c>
      <c r="K26"/>
      <c r="L26"/>
      <c r="M26"/>
    </row>
    <row r="27" spans="1:13" x14ac:dyDescent="0.2">
      <c r="A27" s="104"/>
      <c r="B27" t="s">
        <v>626</v>
      </c>
      <c r="C27">
        <v>2</v>
      </c>
      <c r="D27">
        <v>1</v>
      </c>
      <c r="E27" t="s">
        <v>7949</v>
      </c>
      <c r="F27">
        <v>1.8</v>
      </c>
      <c r="G27">
        <v>3.3</v>
      </c>
      <c r="H27">
        <v>0.2</v>
      </c>
      <c r="I27">
        <v>3.1</v>
      </c>
      <c r="K27"/>
      <c r="L27"/>
      <c r="M27"/>
    </row>
    <row r="28" spans="1:13" x14ac:dyDescent="0.2">
      <c r="A28" s="106"/>
      <c r="B28" t="s">
        <v>7953</v>
      </c>
      <c r="C28"/>
      <c r="D28"/>
      <c r="E28" t="s">
        <v>7948</v>
      </c>
      <c r="F28"/>
      <c r="G28"/>
      <c r="H28"/>
      <c r="I28"/>
      <c r="K28"/>
      <c r="L28"/>
      <c r="M28"/>
    </row>
    <row r="29" spans="1:13" x14ac:dyDescent="0.2">
      <c r="A29" s="104"/>
      <c r="B29" t="s">
        <v>216</v>
      </c>
      <c r="C29">
        <v>3</v>
      </c>
      <c r="D29">
        <v>2</v>
      </c>
      <c r="E29" t="s">
        <v>42</v>
      </c>
      <c r="F29">
        <v>50</v>
      </c>
      <c r="G29">
        <v>20.3</v>
      </c>
      <c r="H29">
        <v>16</v>
      </c>
      <c r="I29">
        <v>18</v>
      </c>
      <c r="K29"/>
      <c r="L29"/>
      <c r="M29"/>
    </row>
    <row r="30" spans="1:13" x14ac:dyDescent="0.2">
      <c r="A30" s="104"/>
      <c r="B30" t="s">
        <v>7954</v>
      </c>
      <c r="C30">
        <v>3</v>
      </c>
      <c r="D30">
        <v>2</v>
      </c>
      <c r="E30" t="s">
        <v>42</v>
      </c>
      <c r="F30">
        <v>50</v>
      </c>
      <c r="G30">
        <v>22.1</v>
      </c>
      <c r="H30">
        <v>17.5</v>
      </c>
      <c r="I30">
        <v>18.899999999999999</v>
      </c>
      <c r="K30"/>
      <c r="L30"/>
      <c r="M30"/>
    </row>
    <row r="31" spans="1:13" x14ac:dyDescent="0.2">
      <c r="A31" s="104"/>
      <c r="B31" t="s">
        <v>217</v>
      </c>
      <c r="C31">
        <v>3</v>
      </c>
      <c r="D31">
        <v>2</v>
      </c>
      <c r="E31" t="s">
        <v>42</v>
      </c>
      <c r="F31">
        <v>50</v>
      </c>
      <c r="G31">
        <v>20.6</v>
      </c>
      <c r="H31">
        <v>19</v>
      </c>
      <c r="I31">
        <v>13.6</v>
      </c>
      <c r="K31"/>
      <c r="L31"/>
      <c r="M31"/>
    </row>
    <row r="32" spans="1:13" x14ac:dyDescent="0.2">
      <c r="A32" s="104"/>
      <c r="B32" t="s">
        <v>218</v>
      </c>
      <c r="C32">
        <v>3</v>
      </c>
      <c r="D32">
        <v>2</v>
      </c>
      <c r="E32" t="s">
        <v>42</v>
      </c>
      <c r="F32">
        <v>60</v>
      </c>
      <c r="G32">
        <v>19.7</v>
      </c>
      <c r="H32">
        <v>15.7</v>
      </c>
      <c r="I32">
        <v>19.7</v>
      </c>
      <c r="K32"/>
      <c r="L32"/>
      <c r="M32"/>
    </row>
    <row r="33" spans="1:13" x14ac:dyDescent="0.2">
      <c r="A33" s="104"/>
      <c r="B33" t="s">
        <v>627</v>
      </c>
      <c r="C33">
        <v>3</v>
      </c>
      <c r="D33">
        <v>2</v>
      </c>
      <c r="E33" t="s">
        <v>42</v>
      </c>
      <c r="F33">
        <v>30</v>
      </c>
      <c r="G33">
        <v>6.5</v>
      </c>
      <c r="H33">
        <v>6</v>
      </c>
      <c r="I33">
        <v>6.2</v>
      </c>
      <c r="K33"/>
      <c r="L33"/>
      <c r="M33"/>
    </row>
    <row r="34" spans="1:13" x14ac:dyDescent="0.2">
      <c r="A34" s="104"/>
      <c r="B34" t="s">
        <v>219</v>
      </c>
      <c r="C34">
        <v>3</v>
      </c>
      <c r="D34">
        <v>2</v>
      </c>
      <c r="E34" t="s">
        <v>42</v>
      </c>
      <c r="F34">
        <v>30</v>
      </c>
      <c r="G34">
        <v>7.8</v>
      </c>
      <c r="H34">
        <v>8.1</v>
      </c>
      <c r="I34">
        <v>6.9</v>
      </c>
      <c r="K34"/>
      <c r="L34"/>
      <c r="M34"/>
    </row>
    <row r="35" spans="1:13" x14ac:dyDescent="0.2">
      <c r="A35" s="105"/>
      <c r="B35" t="s">
        <v>7955</v>
      </c>
      <c r="C35"/>
      <c r="D35"/>
      <c r="E35" t="s">
        <v>7948</v>
      </c>
      <c r="F35"/>
      <c r="G35"/>
      <c r="H35"/>
      <c r="I35"/>
      <c r="K35"/>
      <c r="L35"/>
      <c r="M35"/>
    </row>
    <row r="36" spans="1:13" x14ac:dyDescent="0.2">
      <c r="A36" s="104"/>
      <c r="B36" t="s">
        <v>220</v>
      </c>
      <c r="C36">
        <v>4</v>
      </c>
      <c r="D36">
        <v>2</v>
      </c>
      <c r="E36" t="s">
        <v>42</v>
      </c>
      <c r="F36">
        <v>30</v>
      </c>
      <c r="G36">
        <v>3.6</v>
      </c>
      <c r="H36">
        <v>2.7</v>
      </c>
      <c r="I36">
        <v>9.3000000000000007</v>
      </c>
      <c r="K36"/>
      <c r="L36"/>
      <c r="M36"/>
    </row>
    <row r="37" spans="1:13" x14ac:dyDescent="0.2">
      <c r="A37" s="104"/>
      <c r="B37" t="s">
        <v>628</v>
      </c>
      <c r="C37">
        <v>4</v>
      </c>
      <c r="D37">
        <v>2</v>
      </c>
      <c r="E37" t="s">
        <v>42</v>
      </c>
      <c r="F37">
        <v>30</v>
      </c>
      <c r="G37">
        <v>5.9</v>
      </c>
      <c r="H37">
        <v>3.1</v>
      </c>
      <c r="I37">
        <v>11.3</v>
      </c>
      <c r="K37"/>
      <c r="L37"/>
      <c r="M37"/>
    </row>
    <row r="38" spans="1:13" x14ac:dyDescent="0.2">
      <c r="A38" s="104"/>
      <c r="B38" t="s">
        <v>221</v>
      </c>
      <c r="C38">
        <v>4</v>
      </c>
      <c r="D38">
        <v>2</v>
      </c>
      <c r="E38" t="s">
        <v>42</v>
      </c>
      <c r="F38">
        <v>30</v>
      </c>
      <c r="G38">
        <v>5.6</v>
      </c>
      <c r="H38">
        <v>5.7</v>
      </c>
      <c r="I38">
        <v>9.1999999999999993</v>
      </c>
      <c r="K38"/>
      <c r="L38"/>
      <c r="M38"/>
    </row>
    <row r="39" spans="1:13" x14ac:dyDescent="0.2">
      <c r="B39" t="s">
        <v>7956</v>
      </c>
      <c r="C39"/>
      <c r="D39"/>
      <c r="E39" t="s">
        <v>7948</v>
      </c>
      <c r="F39"/>
      <c r="G39"/>
      <c r="H39"/>
      <c r="I39"/>
      <c r="K39"/>
      <c r="L39"/>
      <c r="M39"/>
    </row>
    <row r="40" spans="1:13" x14ac:dyDescent="0.2">
      <c r="B40" t="s">
        <v>639</v>
      </c>
      <c r="C40">
        <v>6</v>
      </c>
      <c r="D40">
        <v>2</v>
      </c>
      <c r="E40" t="s">
        <v>42</v>
      </c>
      <c r="F40">
        <v>27</v>
      </c>
      <c r="G40">
        <v>6</v>
      </c>
      <c r="H40">
        <v>1.3</v>
      </c>
      <c r="I40">
        <v>5.9</v>
      </c>
      <c r="K40"/>
      <c r="L40"/>
      <c r="M40"/>
    </row>
    <row r="41" spans="1:13" x14ac:dyDescent="0.2">
      <c r="H41" s="107"/>
      <c r="K41"/>
      <c r="L41"/>
      <c r="M41"/>
    </row>
    <row r="42" spans="1:13" x14ac:dyDescent="0.2">
      <c r="H42" s="107"/>
      <c r="K42"/>
      <c r="L42"/>
      <c r="M42"/>
    </row>
    <row r="43" spans="1:13" x14ac:dyDescent="0.2">
      <c r="H43" s="107"/>
      <c r="K43"/>
      <c r="L43"/>
      <c r="M43"/>
    </row>
    <row r="44" spans="1:13" x14ac:dyDescent="0.2">
      <c r="H44" s="107"/>
    </row>
    <row r="45" spans="1:13" x14ac:dyDescent="0.2">
      <c r="H45" s="107"/>
    </row>
    <row r="46" spans="1:13" x14ac:dyDescent="0.2">
      <c r="H46" s="107"/>
    </row>
    <row r="47" spans="1:13" x14ac:dyDescent="0.2">
      <c r="H47" s="107"/>
    </row>
    <row r="48" spans="1:13" x14ac:dyDescent="0.2">
      <c r="H48" s="107"/>
    </row>
    <row r="49" spans="8:8" x14ac:dyDescent="0.2">
      <c r="H49" s="107"/>
    </row>
    <row r="50" spans="8:8" x14ac:dyDescent="0.2">
      <c r="H50" s="107"/>
    </row>
    <row r="51" spans="8:8" x14ac:dyDescent="0.2">
      <c r="H51" s="107"/>
    </row>
    <row r="52" spans="8:8" x14ac:dyDescent="0.2">
      <c r="H52" s="107"/>
    </row>
    <row r="53" spans="8:8" x14ac:dyDescent="0.2">
      <c r="H53" s="107"/>
    </row>
    <row r="54" spans="8:8" x14ac:dyDescent="0.2">
      <c r="H54" s="107"/>
    </row>
    <row r="55" spans="8:8" x14ac:dyDescent="0.2">
      <c r="H55" s="107"/>
    </row>
    <row r="56" spans="8:8" x14ac:dyDescent="0.2">
      <c r="H56" s="107"/>
    </row>
    <row r="57" spans="8:8" x14ac:dyDescent="0.2">
      <c r="H57" s="107"/>
    </row>
    <row r="58" spans="8:8" x14ac:dyDescent="0.2">
      <c r="H58" s="107"/>
    </row>
    <row r="59" spans="8:8" x14ac:dyDescent="0.2">
      <c r="H59" s="107"/>
    </row>
    <row r="60" spans="8:8" x14ac:dyDescent="0.2">
      <c r="H60" s="107"/>
    </row>
    <row r="61" spans="8:8" x14ac:dyDescent="0.2">
      <c r="H61" s="107"/>
    </row>
    <row r="62" spans="8:8" x14ac:dyDescent="0.2">
      <c r="H62" s="107"/>
    </row>
    <row r="63" spans="8:8" x14ac:dyDescent="0.2">
      <c r="H63" s="107"/>
    </row>
    <row r="64" spans="8:8" x14ac:dyDescent="0.2">
      <c r="H64" s="107"/>
    </row>
    <row r="65" spans="8:8" x14ac:dyDescent="0.2">
      <c r="H65" s="107"/>
    </row>
    <row r="66" spans="8:8" x14ac:dyDescent="0.2">
      <c r="H66" s="107"/>
    </row>
    <row r="67" spans="8:8" x14ac:dyDescent="0.2">
      <c r="H67" s="107"/>
    </row>
    <row r="68" spans="8:8" x14ac:dyDescent="0.2">
      <c r="H68" s="107"/>
    </row>
    <row r="69" spans="8:8" x14ac:dyDescent="0.2">
      <c r="H69" s="107"/>
    </row>
    <row r="70" spans="8:8" x14ac:dyDescent="0.2">
      <c r="H70" s="107"/>
    </row>
    <row r="71" spans="8:8" x14ac:dyDescent="0.2">
      <c r="H71" s="107"/>
    </row>
    <row r="72" spans="8:8" x14ac:dyDescent="0.2">
      <c r="H72" s="107"/>
    </row>
    <row r="73" spans="8:8" x14ac:dyDescent="0.2">
      <c r="H73" s="107"/>
    </row>
    <row r="74" spans="8:8" x14ac:dyDescent="0.2">
      <c r="H74" s="107"/>
    </row>
    <row r="75" spans="8:8" x14ac:dyDescent="0.2">
      <c r="H75" s="87"/>
    </row>
    <row r="76" spans="8:8" x14ac:dyDescent="0.2">
      <c r="H76" s="107"/>
    </row>
    <row r="77" spans="8:8" x14ac:dyDescent="0.2">
      <c r="H77" s="107"/>
    </row>
    <row r="78" spans="8:8" x14ac:dyDescent="0.2">
      <c r="H78" s="107"/>
    </row>
    <row r="79" spans="8:8" x14ac:dyDescent="0.2">
      <c r="H79" s="107"/>
    </row>
    <row r="80" spans="8:8" x14ac:dyDescent="0.2">
      <c r="H80" s="107"/>
    </row>
    <row r="81" spans="8:8" x14ac:dyDescent="0.2">
      <c r="H81" s="107"/>
    </row>
    <row r="82" spans="8:8" x14ac:dyDescent="0.2">
      <c r="H82" s="107"/>
    </row>
    <row r="83" spans="8:8" x14ac:dyDescent="0.2">
      <c r="H83" s="107"/>
    </row>
    <row r="84" spans="8:8" x14ac:dyDescent="0.2">
      <c r="H84" s="107"/>
    </row>
    <row r="85" spans="8:8" x14ac:dyDescent="0.2">
      <c r="H85" s="87"/>
    </row>
    <row r="86" spans="8:8" x14ac:dyDescent="0.2">
      <c r="H86" s="107"/>
    </row>
    <row r="87" spans="8:8" x14ac:dyDescent="0.2">
      <c r="H87" s="107"/>
    </row>
    <row r="88" spans="8:8" x14ac:dyDescent="0.2">
      <c r="H88" s="107"/>
    </row>
    <row r="89" spans="8:8" x14ac:dyDescent="0.2">
      <c r="H89" s="107"/>
    </row>
    <row r="90" spans="8:8" x14ac:dyDescent="0.2">
      <c r="H90" s="107"/>
    </row>
    <row r="91" spans="8:8" x14ac:dyDescent="0.2">
      <c r="H91" s="107"/>
    </row>
    <row r="92" spans="8:8" x14ac:dyDescent="0.2">
      <c r="H92" s="107"/>
    </row>
    <row r="93" spans="8:8" x14ac:dyDescent="0.2">
      <c r="H93" s="107"/>
    </row>
    <row r="94" spans="8:8" x14ac:dyDescent="0.2">
      <c r="H94" s="107"/>
    </row>
    <row r="95" spans="8:8" x14ac:dyDescent="0.2">
      <c r="H95" s="107"/>
    </row>
    <row r="96" spans="8:8" x14ac:dyDescent="0.2">
      <c r="H96" s="107"/>
    </row>
    <row r="97" spans="8:8" x14ac:dyDescent="0.2">
      <c r="H97" s="107"/>
    </row>
    <row r="98" spans="8:8" x14ac:dyDescent="0.2">
      <c r="H98" s="107"/>
    </row>
    <row r="99" spans="8:8" x14ac:dyDescent="0.2">
      <c r="H99" s="107"/>
    </row>
    <row r="100" spans="8:8" x14ac:dyDescent="0.2">
      <c r="H100" s="107"/>
    </row>
    <row r="101" spans="8:8" x14ac:dyDescent="0.2">
      <c r="H101" s="107"/>
    </row>
    <row r="102" spans="8:8" x14ac:dyDescent="0.2">
      <c r="H102" s="107"/>
    </row>
    <row r="103" spans="8:8" x14ac:dyDescent="0.2">
      <c r="H103" s="107"/>
    </row>
    <row r="104" spans="8:8" x14ac:dyDescent="0.2">
      <c r="H104" s="107"/>
    </row>
    <row r="105" spans="8:8" x14ac:dyDescent="0.2">
      <c r="H105" s="107"/>
    </row>
    <row r="106" spans="8:8" x14ac:dyDescent="0.2">
      <c r="H106" s="107"/>
    </row>
    <row r="107" spans="8:8" x14ac:dyDescent="0.2">
      <c r="H107" s="107"/>
    </row>
    <row r="108" spans="8:8" x14ac:dyDescent="0.2">
      <c r="H108" s="107"/>
    </row>
    <row r="109" spans="8:8" x14ac:dyDescent="0.2">
      <c r="H109" s="107"/>
    </row>
    <row r="110" spans="8:8" x14ac:dyDescent="0.2">
      <c r="H110" s="107"/>
    </row>
    <row r="111" spans="8:8" x14ac:dyDescent="0.2">
      <c r="H111" s="107"/>
    </row>
    <row r="112" spans="8:8" x14ac:dyDescent="0.2">
      <c r="H112" s="107"/>
    </row>
    <row r="113" spans="8:8" x14ac:dyDescent="0.2">
      <c r="H113" s="107"/>
    </row>
    <row r="114" spans="8:8" x14ac:dyDescent="0.2">
      <c r="H114" s="107"/>
    </row>
    <row r="115" spans="8:8" x14ac:dyDescent="0.2">
      <c r="H115" s="107"/>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B4"/>
  <sheetViews>
    <sheetView workbookViewId="0"/>
  </sheetViews>
  <sheetFormatPr baseColWidth="10" defaultRowHeight="12.75" x14ac:dyDescent="0.2"/>
  <sheetData>
    <row r="2" spans="1:2" x14ac:dyDescent="0.2">
      <c r="A2">
        <v>1</v>
      </c>
      <c r="B2" s="29" t="s">
        <v>39</v>
      </c>
    </row>
    <row r="3" spans="1:2" x14ac:dyDescent="0.2">
      <c r="A3">
        <v>2</v>
      </c>
      <c r="B3" s="29" t="s">
        <v>40</v>
      </c>
    </row>
    <row r="4" spans="1:2" x14ac:dyDescent="0.2">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F101"/>
  <sheetViews>
    <sheetView showGridLines="0" zoomScaleNormal="100" zoomScaleSheetLayoutView="100" workbookViewId="0"/>
  </sheetViews>
  <sheetFormatPr baseColWidth="10" defaultColWidth="11.42578125" defaultRowHeight="12.75" x14ac:dyDescent="0.2"/>
  <cols>
    <col min="1" max="1" width="4.28515625" style="30" customWidth="1"/>
    <col min="2" max="2" width="42.85546875" style="30" customWidth="1"/>
    <col min="3" max="3" width="2.28515625" style="30" customWidth="1"/>
    <col min="4" max="4" width="6.85546875" style="30" customWidth="1"/>
    <col min="5" max="5" width="44.5703125" style="30" customWidth="1"/>
    <col min="6" max="6" width="2.42578125" style="30" customWidth="1"/>
    <col min="7" max="16384" width="11.42578125" style="30"/>
  </cols>
  <sheetData>
    <row r="1" spans="1:6" ht="15.95" customHeight="1" x14ac:dyDescent="0.3">
      <c r="A1" s="31" t="s">
        <v>532</v>
      </c>
      <c r="B1" s="32"/>
      <c r="C1" s="32"/>
      <c r="D1" s="33"/>
      <c r="E1" s="32"/>
      <c r="F1" s="32"/>
    </row>
    <row r="2" spans="1:6" ht="6" customHeight="1" x14ac:dyDescent="0.25">
      <c r="A2" s="34"/>
      <c r="B2" s="35"/>
      <c r="C2" s="35"/>
      <c r="D2" s="34"/>
      <c r="E2" s="35"/>
      <c r="F2" s="35"/>
    </row>
    <row r="3" spans="1:6" ht="15.95" customHeight="1" x14ac:dyDescent="0.25">
      <c r="A3" s="1638" t="s">
        <v>88</v>
      </c>
      <c r="B3" s="1639"/>
      <c r="C3" s="36"/>
      <c r="D3" s="37"/>
      <c r="E3" s="38" t="s">
        <v>533</v>
      </c>
      <c r="F3" s="39"/>
    </row>
    <row r="4" spans="1:6" ht="14.1" customHeight="1" x14ac:dyDescent="0.2">
      <c r="A4" s="40" t="s">
        <v>89</v>
      </c>
      <c r="B4" s="41" t="s">
        <v>90</v>
      </c>
      <c r="C4" s="42"/>
      <c r="D4" s="43"/>
      <c r="E4" s="44" t="s">
        <v>91</v>
      </c>
      <c r="F4" s="45"/>
    </row>
    <row r="5" spans="1:6" ht="5.0999999999999996" customHeight="1" x14ac:dyDescent="0.2">
      <c r="A5" s="42"/>
      <c r="B5" s="45"/>
      <c r="C5" s="45"/>
      <c r="D5" s="46"/>
      <c r="E5" s="47"/>
      <c r="F5" s="45"/>
    </row>
    <row r="6" spans="1:6" ht="12.95" customHeight="1" x14ac:dyDescent="0.2">
      <c r="C6" s="50"/>
      <c r="D6" s="51"/>
      <c r="E6" s="57" t="s">
        <v>94</v>
      </c>
      <c r="F6" s="45"/>
    </row>
    <row r="7" spans="1:6" ht="12.95" customHeight="1" x14ac:dyDescent="0.2">
      <c r="A7" s="48" t="s">
        <v>92</v>
      </c>
      <c r="B7" s="49" t="s">
        <v>93</v>
      </c>
      <c r="C7" s="50"/>
      <c r="D7" s="51"/>
      <c r="E7" s="60" t="s">
        <v>7641</v>
      </c>
      <c r="F7" s="45"/>
    </row>
    <row r="8" spans="1:6" ht="12.95" customHeight="1" x14ac:dyDescent="0.2">
      <c r="A8" s="52"/>
      <c r="B8" s="53"/>
      <c r="C8" s="50"/>
      <c r="D8" s="51"/>
      <c r="E8" s="63" t="s">
        <v>7642</v>
      </c>
      <c r="F8" s="45"/>
    </row>
    <row r="9" spans="1:6" ht="5.0999999999999996" customHeight="1" x14ac:dyDescent="0.2">
      <c r="A9" s="52"/>
      <c r="B9" s="53"/>
      <c r="C9" s="50"/>
      <c r="D9" s="51"/>
      <c r="E9" s="54"/>
      <c r="F9" s="45"/>
    </row>
    <row r="10" spans="1:6" ht="12.95" customHeight="1" x14ac:dyDescent="0.2">
      <c r="A10" s="55" t="s">
        <v>95</v>
      </c>
      <c r="B10" s="56" t="s">
        <v>96</v>
      </c>
      <c r="C10" s="45"/>
      <c r="D10" s="51"/>
      <c r="E10" s="57" t="s">
        <v>96</v>
      </c>
      <c r="F10" s="45"/>
    </row>
    <row r="11" spans="1:6" ht="12.95" customHeight="1" x14ac:dyDescent="0.2">
      <c r="A11" s="58" t="s">
        <v>97</v>
      </c>
      <c r="B11" s="59" t="s">
        <v>98</v>
      </c>
      <c r="C11" s="45"/>
      <c r="D11" s="51"/>
      <c r="E11" s="60" t="s">
        <v>99</v>
      </c>
      <c r="F11" s="45"/>
    </row>
    <row r="12" spans="1:6" ht="12.95" customHeight="1" x14ac:dyDescent="0.2">
      <c r="A12" s="61" t="s">
        <v>100</v>
      </c>
      <c r="B12" s="62" t="s">
        <v>101</v>
      </c>
      <c r="C12" s="45"/>
      <c r="D12" s="51"/>
      <c r="E12" s="63" t="s">
        <v>102</v>
      </c>
      <c r="F12" s="45"/>
    </row>
    <row r="13" spans="1:6" ht="5.0999999999999996" customHeight="1" x14ac:dyDescent="0.2">
      <c r="A13" s="52"/>
      <c r="B13" s="47"/>
      <c r="C13" s="45"/>
      <c r="D13" s="51"/>
      <c r="E13" s="54"/>
      <c r="F13" s="45"/>
    </row>
    <row r="14" spans="1:6" ht="12.95" customHeight="1" x14ac:dyDescent="0.2">
      <c r="A14" s="55" t="s">
        <v>103</v>
      </c>
      <c r="B14" s="56" t="s">
        <v>104</v>
      </c>
      <c r="C14" s="45"/>
      <c r="D14" s="51"/>
      <c r="E14" s="57" t="s">
        <v>105</v>
      </c>
      <c r="F14" s="45"/>
    </row>
    <row r="15" spans="1:6" ht="12.95" customHeight="1" x14ac:dyDescent="0.2">
      <c r="A15" s="58" t="s">
        <v>106</v>
      </c>
      <c r="B15" s="59" t="s">
        <v>107</v>
      </c>
      <c r="C15" s="45"/>
      <c r="D15" s="51"/>
      <c r="E15" s="60" t="s">
        <v>107</v>
      </c>
      <c r="F15" s="45"/>
    </row>
    <row r="16" spans="1:6" ht="12.95" customHeight="1" x14ac:dyDescent="0.2">
      <c r="A16" s="61" t="s">
        <v>108</v>
      </c>
      <c r="B16" s="62" t="s">
        <v>109</v>
      </c>
      <c r="C16" s="45"/>
      <c r="D16" s="51"/>
      <c r="E16" s="63" t="s">
        <v>109</v>
      </c>
      <c r="F16" s="45"/>
    </row>
    <row r="17" spans="1:6" ht="5.0999999999999996" customHeight="1" x14ac:dyDescent="0.2">
      <c r="A17" s="52"/>
      <c r="B17" s="47"/>
      <c r="C17" s="45"/>
      <c r="D17" s="51"/>
      <c r="E17" s="54"/>
      <c r="F17" s="45"/>
    </row>
    <row r="18" spans="1:6" ht="12.95" customHeight="1" x14ac:dyDescent="0.2">
      <c r="A18" s="1636">
        <v>18</v>
      </c>
      <c r="B18" s="1641" t="s">
        <v>110</v>
      </c>
      <c r="C18" s="45"/>
      <c r="D18" s="51"/>
      <c r="E18" s="57" t="s">
        <v>648</v>
      </c>
      <c r="F18" s="45"/>
    </row>
    <row r="19" spans="1:6" ht="12.95" customHeight="1" x14ac:dyDescent="0.2">
      <c r="A19" s="1640"/>
      <c r="B19" s="1642"/>
      <c r="C19" s="45"/>
      <c r="D19" s="51"/>
      <c r="E19" s="63" t="s">
        <v>111</v>
      </c>
      <c r="F19" s="45"/>
    </row>
    <row r="20" spans="1:6" ht="5.0999999999999996" customHeight="1" x14ac:dyDescent="0.2">
      <c r="A20" s="52"/>
      <c r="B20" s="47"/>
      <c r="C20" s="45"/>
      <c r="D20" s="51"/>
      <c r="E20" s="54"/>
      <c r="F20" s="45"/>
    </row>
    <row r="21" spans="1:6" ht="12.95" customHeight="1" x14ac:dyDescent="0.2">
      <c r="A21" s="64" t="s">
        <v>112</v>
      </c>
      <c r="B21" s="65" t="s">
        <v>113</v>
      </c>
      <c r="C21" s="45"/>
      <c r="D21" s="51"/>
      <c r="E21" s="1648" t="s">
        <v>114</v>
      </c>
      <c r="F21" s="45"/>
    </row>
    <row r="22" spans="1:6" ht="12.95" customHeight="1" x14ac:dyDescent="0.2">
      <c r="A22" s="58" t="s">
        <v>115</v>
      </c>
      <c r="B22" s="59" t="s">
        <v>116</v>
      </c>
      <c r="C22" s="45"/>
      <c r="D22" s="51"/>
      <c r="E22" s="1649"/>
      <c r="F22" s="45"/>
    </row>
    <row r="23" spans="1:6" ht="12.95" customHeight="1" x14ac:dyDescent="0.2">
      <c r="A23" s="58" t="s">
        <v>117</v>
      </c>
      <c r="B23" s="59" t="s">
        <v>118</v>
      </c>
      <c r="C23" s="45"/>
      <c r="D23" s="51"/>
      <c r="E23" s="66" t="s">
        <v>119</v>
      </c>
      <c r="F23" s="45"/>
    </row>
    <row r="24" spans="1:6" ht="12" customHeight="1" x14ac:dyDescent="0.2">
      <c r="A24" s="61" t="s">
        <v>120</v>
      </c>
      <c r="B24" s="62" t="s">
        <v>121</v>
      </c>
      <c r="C24" s="45"/>
      <c r="D24" s="51"/>
      <c r="E24" s="67"/>
      <c r="F24" s="45"/>
    </row>
    <row r="25" spans="1:6" ht="5.0999999999999996" customHeight="1" x14ac:dyDescent="0.2">
      <c r="A25" s="52"/>
      <c r="B25" s="47"/>
      <c r="C25" s="45"/>
      <c r="D25" s="51"/>
      <c r="E25" s="47"/>
      <c r="F25" s="45"/>
    </row>
    <row r="26" spans="1:6" ht="12.95" customHeight="1" x14ac:dyDescent="0.2">
      <c r="A26" s="55" t="s">
        <v>122</v>
      </c>
      <c r="B26" s="56" t="s">
        <v>123</v>
      </c>
      <c r="C26" s="45"/>
      <c r="D26" s="51"/>
      <c r="E26" s="1650" t="s">
        <v>124</v>
      </c>
      <c r="F26" s="45"/>
    </row>
    <row r="27" spans="1:6" ht="12.95" customHeight="1" x14ac:dyDescent="0.2">
      <c r="A27" s="61" t="s">
        <v>125</v>
      </c>
      <c r="B27" s="62" t="s">
        <v>126</v>
      </c>
      <c r="C27" s="45"/>
      <c r="D27" s="51"/>
      <c r="E27" s="1651"/>
      <c r="F27" s="45"/>
    </row>
    <row r="28" spans="1:6" ht="5.0999999999999996" customHeight="1" x14ac:dyDescent="0.2">
      <c r="A28" s="52"/>
      <c r="B28" s="47"/>
      <c r="C28" s="45"/>
      <c r="D28" s="51"/>
      <c r="E28" s="47"/>
      <c r="F28" s="45"/>
    </row>
    <row r="29" spans="1:6" ht="12.95" customHeight="1" x14ac:dyDescent="0.2">
      <c r="A29" s="55" t="s">
        <v>127</v>
      </c>
      <c r="B29" s="56" t="s">
        <v>128</v>
      </c>
      <c r="C29" s="45"/>
      <c r="D29" s="51"/>
      <c r="E29" s="68" t="s">
        <v>129</v>
      </c>
      <c r="F29" s="45"/>
    </row>
    <row r="30" spans="1:6" ht="12.95" customHeight="1" x14ac:dyDescent="0.2">
      <c r="A30" s="61" t="s">
        <v>130</v>
      </c>
      <c r="B30" s="62" t="s">
        <v>131</v>
      </c>
      <c r="C30" s="45"/>
      <c r="D30" s="51"/>
      <c r="E30" s="67" t="s">
        <v>132</v>
      </c>
      <c r="F30" s="45"/>
    </row>
    <row r="31" spans="1:6" ht="8.1" customHeight="1" x14ac:dyDescent="0.2">
      <c r="A31" s="52"/>
      <c r="B31" s="47"/>
      <c r="C31" s="45"/>
      <c r="D31" s="51"/>
      <c r="E31" s="47"/>
      <c r="F31" s="45"/>
    </row>
    <row r="32" spans="1:6" ht="12.95" customHeight="1" x14ac:dyDescent="0.2">
      <c r="A32" s="1636" t="s">
        <v>133</v>
      </c>
      <c r="B32" s="1641" t="s">
        <v>134</v>
      </c>
      <c r="C32" s="45"/>
      <c r="D32" s="51"/>
      <c r="E32" s="69" t="s">
        <v>135</v>
      </c>
      <c r="F32" s="45"/>
    </row>
    <row r="33" spans="1:6" ht="12.95" customHeight="1" x14ac:dyDescent="0.2">
      <c r="A33" s="1652"/>
      <c r="B33" s="1653"/>
      <c r="C33" s="45"/>
      <c r="D33" s="46"/>
      <c r="E33" s="957" t="s">
        <v>136</v>
      </c>
      <c r="F33" s="45"/>
    </row>
    <row r="34" spans="1:6" ht="12.95" customHeight="1" x14ac:dyDescent="0.2">
      <c r="A34" s="1637"/>
      <c r="B34" s="1647"/>
      <c r="C34" s="45"/>
      <c r="D34" s="46"/>
      <c r="E34" s="957" t="s">
        <v>7858</v>
      </c>
      <c r="F34" s="45"/>
    </row>
    <row r="35" spans="1:6" ht="12.95" customHeight="1" x14ac:dyDescent="0.2">
      <c r="A35" s="1082"/>
      <c r="B35" s="1083"/>
      <c r="C35" s="45"/>
      <c r="D35" s="46"/>
      <c r="E35" s="70" t="s">
        <v>7910</v>
      </c>
      <c r="F35" s="45"/>
    </row>
    <row r="36" spans="1:6" ht="9.9499999999999993" customHeight="1" x14ac:dyDescent="0.2">
      <c r="A36" s="52"/>
      <c r="B36" s="47"/>
      <c r="C36" s="45"/>
      <c r="D36" s="46"/>
      <c r="E36" s="47"/>
      <c r="F36" s="45"/>
    </row>
    <row r="37" spans="1:6" ht="12.95" customHeight="1" x14ac:dyDescent="0.2">
      <c r="A37" s="52"/>
      <c r="B37" s="47"/>
      <c r="C37" s="45"/>
      <c r="D37" s="51"/>
      <c r="E37" s="57" t="s">
        <v>137</v>
      </c>
      <c r="F37" s="45"/>
    </row>
    <row r="38" spans="1:6" ht="12.95" customHeight="1" x14ac:dyDescent="0.2">
      <c r="A38" s="52"/>
      <c r="B38" s="47"/>
      <c r="C38" s="45"/>
      <c r="D38" s="46"/>
      <c r="E38" s="60" t="s">
        <v>138</v>
      </c>
      <c r="F38" s="45"/>
    </row>
    <row r="39" spans="1:6" ht="12.95" customHeight="1" x14ac:dyDescent="0.2">
      <c r="A39" s="52"/>
      <c r="B39" s="47"/>
      <c r="C39" s="45"/>
      <c r="D39" s="46"/>
      <c r="E39" s="60" t="s">
        <v>7855</v>
      </c>
      <c r="F39" s="45"/>
    </row>
    <row r="40" spans="1:6" ht="12.95" customHeight="1" x14ac:dyDescent="0.2">
      <c r="A40" s="52"/>
      <c r="B40" s="47"/>
      <c r="C40" s="45"/>
      <c r="D40" s="46"/>
      <c r="E40" s="71" t="s">
        <v>139</v>
      </c>
      <c r="F40" s="45"/>
    </row>
    <row r="41" spans="1:6" ht="12.95" customHeight="1" x14ac:dyDescent="0.2">
      <c r="A41" s="1636" t="s">
        <v>140</v>
      </c>
      <c r="B41" s="1641" t="s">
        <v>141</v>
      </c>
      <c r="C41" s="45"/>
      <c r="D41" s="46"/>
      <c r="E41" s="957" t="s">
        <v>142</v>
      </c>
      <c r="F41" s="45"/>
    </row>
    <row r="42" spans="1:6" ht="12.95" customHeight="1" x14ac:dyDescent="0.2">
      <c r="A42" s="1652"/>
      <c r="B42" s="1653"/>
      <c r="C42" s="45"/>
      <c r="D42" s="46"/>
      <c r="E42" s="72" t="s">
        <v>7856</v>
      </c>
      <c r="F42" s="45"/>
    </row>
    <row r="43" spans="1:6" ht="12.95" customHeight="1" x14ac:dyDescent="0.2">
      <c r="A43" s="1637"/>
      <c r="B43" s="1647"/>
      <c r="C43" s="45"/>
      <c r="D43" s="51"/>
      <c r="E43" s="73" t="s">
        <v>143</v>
      </c>
      <c r="F43" s="45"/>
    </row>
    <row r="44" spans="1:6" ht="12.95" customHeight="1" x14ac:dyDescent="0.2">
      <c r="A44" s="52"/>
      <c r="B44" s="47"/>
      <c r="C44" s="45"/>
      <c r="D44" s="46"/>
      <c r="E44" s="73" t="s">
        <v>144</v>
      </c>
      <c r="F44" s="45"/>
    </row>
    <row r="45" spans="1:6" ht="12.95" customHeight="1" x14ac:dyDescent="0.2">
      <c r="A45" s="52"/>
      <c r="B45" s="47"/>
      <c r="C45" s="45"/>
      <c r="D45" s="46"/>
      <c r="E45" s="73" t="s">
        <v>7857</v>
      </c>
      <c r="F45" s="45"/>
    </row>
    <row r="46" spans="1:6" ht="12.95" customHeight="1" x14ac:dyDescent="0.2">
      <c r="A46" s="52"/>
      <c r="B46" s="47"/>
      <c r="C46" s="45"/>
      <c r="D46" s="46"/>
      <c r="E46" s="74" t="s">
        <v>145</v>
      </c>
      <c r="F46" s="45"/>
    </row>
    <row r="47" spans="1:6" ht="12.95" customHeight="1" x14ac:dyDescent="0.2">
      <c r="A47" s="52"/>
      <c r="B47" s="47"/>
      <c r="C47" s="45"/>
      <c r="D47" s="46"/>
      <c r="E47" s="74" t="s">
        <v>146</v>
      </c>
      <c r="F47" s="45"/>
    </row>
    <row r="48" spans="1:6" ht="12.95" customHeight="1" x14ac:dyDescent="0.2">
      <c r="A48" s="52"/>
      <c r="B48" s="47"/>
      <c r="C48" s="45"/>
      <c r="D48" s="46"/>
      <c r="E48" s="74" t="s">
        <v>7854</v>
      </c>
      <c r="F48" s="45"/>
    </row>
    <row r="49" spans="1:6" ht="12.95" customHeight="1" x14ac:dyDescent="0.2">
      <c r="A49" s="52"/>
      <c r="B49" s="47"/>
      <c r="C49" s="45"/>
      <c r="D49" s="46"/>
      <c r="E49" s="75" t="s">
        <v>7910</v>
      </c>
      <c r="F49" s="45"/>
    </row>
    <row r="50" spans="1:6" ht="5.0999999999999996" customHeight="1" x14ac:dyDescent="0.2">
      <c r="A50" s="52"/>
      <c r="B50" s="47"/>
      <c r="C50" s="45"/>
      <c r="D50" s="46"/>
      <c r="E50" s="47"/>
      <c r="F50" s="45"/>
    </row>
    <row r="51" spans="1:6" ht="12.95" customHeight="1" x14ac:dyDescent="0.2">
      <c r="A51" s="52"/>
      <c r="B51" s="47"/>
      <c r="C51" s="45"/>
      <c r="D51" s="51"/>
      <c r="E51" s="1114" t="s">
        <v>7938</v>
      </c>
      <c r="F51" s="45"/>
    </row>
    <row r="52" spans="1:6" ht="12.95" customHeight="1" x14ac:dyDescent="0.2">
      <c r="A52" s="52"/>
      <c r="B52" s="47"/>
      <c r="C52" s="45"/>
      <c r="D52" s="51"/>
      <c r="E52" s="66" t="s">
        <v>7937</v>
      </c>
      <c r="F52" s="45"/>
    </row>
    <row r="53" spans="1:6" ht="12.95" customHeight="1" x14ac:dyDescent="0.2">
      <c r="A53" s="52"/>
      <c r="B53" s="47"/>
      <c r="C53" s="45"/>
      <c r="D53" s="51"/>
      <c r="E53" s="66" t="s">
        <v>650</v>
      </c>
      <c r="F53" s="45"/>
    </row>
    <row r="54" spans="1:6" ht="12.95" customHeight="1" x14ac:dyDescent="0.2">
      <c r="A54" s="52"/>
      <c r="B54" s="47"/>
      <c r="C54" s="45"/>
      <c r="D54" s="51"/>
      <c r="E54" s="66" t="s">
        <v>649</v>
      </c>
      <c r="F54" s="45"/>
    </row>
    <row r="55" spans="1:6" ht="12.95" customHeight="1" x14ac:dyDescent="0.2">
      <c r="C55" s="45"/>
      <c r="D55" s="51"/>
      <c r="E55" s="66" t="s">
        <v>651</v>
      </c>
      <c r="F55" s="45"/>
    </row>
    <row r="56" spans="1:6" ht="12.95" customHeight="1" x14ac:dyDescent="0.2">
      <c r="A56" s="55" t="s">
        <v>147</v>
      </c>
      <c r="B56" s="56" t="s">
        <v>148</v>
      </c>
      <c r="C56" s="45"/>
      <c r="D56" s="46"/>
      <c r="E56" s="66" t="s">
        <v>652</v>
      </c>
      <c r="F56" s="45"/>
    </row>
    <row r="57" spans="1:6" ht="12.95" customHeight="1" x14ac:dyDescent="0.2">
      <c r="A57" s="58" t="s">
        <v>149</v>
      </c>
      <c r="B57" s="59" t="s">
        <v>150</v>
      </c>
      <c r="C57" s="45"/>
      <c r="D57" s="46"/>
      <c r="E57" s="66" t="s">
        <v>7636</v>
      </c>
      <c r="F57" s="45"/>
    </row>
    <row r="58" spans="1:6" ht="12.95" customHeight="1" x14ac:dyDescent="0.2">
      <c r="A58" s="61" t="s">
        <v>152</v>
      </c>
      <c r="B58" s="62" t="s">
        <v>153</v>
      </c>
      <c r="C58" s="45"/>
      <c r="D58" s="46"/>
      <c r="E58" s="66" t="s">
        <v>7853</v>
      </c>
      <c r="F58" s="45"/>
    </row>
    <row r="59" spans="1:6" ht="12.95" customHeight="1" x14ac:dyDescent="0.2">
      <c r="C59" s="45"/>
      <c r="D59" s="46"/>
      <c r="E59" s="66" t="s">
        <v>151</v>
      </c>
      <c r="F59" s="45"/>
    </row>
    <row r="60" spans="1:6" ht="12.95" customHeight="1" x14ac:dyDescent="0.2">
      <c r="C60" s="45"/>
      <c r="D60" s="46"/>
      <c r="E60" s="66" t="s">
        <v>154</v>
      </c>
      <c r="F60" s="45"/>
    </row>
    <row r="61" spans="1:6" ht="12.95" customHeight="1" x14ac:dyDescent="0.2">
      <c r="C61" s="45"/>
      <c r="D61" s="46"/>
      <c r="E61" s="66" t="s">
        <v>7637</v>
      </c>
      <c r="F61" s="45"/>
    </row>
    <row r="62" spans="1:6" ht="12.95" customHeight="1" x14ac:dyDescent="0.2">
      <c r="C62" s="45"/>
      <c r="D62" s="46"/>
      <c r="E62" s="66" t="s">
        <v>7848</v>
      </c>
      <c r="F62" s="45"/>
    </row>
    <row r="63" spans="1:6" ht="12.95" customHeight="1" x14ac:dyDescent="0.2">
      <c r="C63" s="45"/>
      <c r="D63" s="46"/>
      <c r="E63" s="66" t="s">
        <v>7849</v>
      </c>
      <c r="F63" s="45"/>
    </row>
    <row r="64" spans="1:6" ht="12.95" customHeight="1" x14ac:dyDescent="0.2">
      <c r="C64" s="45"/>
      <c r="D64" s="46"/>
      <c r="E64" s="66" t="s">
        <v>7850</v>
      </c>
      <c r="F64" s="45"/>
    </row>
    <row r="65" spans="1:6" ht="12.95" customHeight="1" x14ac:dyDescent="0.2">
      <c r="C65" s="45"/>
      <c r="D65" s="46"/>
      <c r="E65" s="66" t="s">
        <v>7851</v>
      </c>
      <c r="F65" s="45"/>
    </row>
    <row r="66" spans="1:6" ht="12.95" customHeight="1" x14ac:dyDescent="0.2">
      <c r="C66" s="45"/>
      <c r="D66" s="46"/>
      <c r="E66" s="66" t="s">
        <v>7852</v>
      </c>
      <c r="F66" s="45"/>
    </row>
    <row r="67" spans="1:6" ht="12.95" customHeight="1" x14ac:dyDescent="0.2">
      <c r="C67" s="45"/>
      <c r="D67" s="46"/>
      <c r="E67" s="66" t="s">
        <v>7910</v>
      </c>
      <c r="F67" s="45"/>
    </row>
    <row r="68" spans="1:6" ht="12.95" customHeight="1" x14ac:dyDescent="0.2">
      <c r="C68" s="45"/>
      <c r="D68" s="46"/>
      <c r="E68" s="540" t="s">
        <v>155</v>
      </c>
      <c r="F68" s="45"/>
    </row>
    <row r="69" spans="1:6" ht="8.1" customHeight="1" x14ac:dyDescent="0.2">
      <c r="A69" s="52"/>
      <c r="B69" s="47"/>
      <c r="C69" s="45"/>
      <c r="D69" s="46"/>
      <c r="E69" s="47"/>
      <c r="F69" s="45"/>
    </row>
    <row r="70" spans="1:6" ht="12.95" customHeight="1" x14ac:dyDescent="0.2">
      <c r="A70" s="1636" t="s">
        <v>156</v>
      </c>
      <c r="B70" s="1641" t="s">
        <v>157</v>
      </c>
      <c r="C70" s="45"/>
      <c r="D70" s="51"/>
      <c r="E70" s="68" t="s">
        <v>158</v>
      </c>
      <c r="F70" s="45"/>
    </row>
    <row r="71" spans="1:6" ht="12.95" customHeight="1" x14ac:dyDescent="0.2">
      <c r="A71" s="1640"/>
      <c r="B71" s="1642"/>
      <c r="C71" s="45"/>
      <c r="D71" s="46"/>
      <c r="E71" s="67" t="s">
        <v>159</v>
      </c>
      <c r="F71" s="45"/>
    </row>
    <row r="72" spans="1:6" ht="5.0999999999999996" customHeight="1" x14ac:dyDescent="0.2">
      <c r="A72" s="52"/>
      <c r="B72" s="47"/>
      <c r="C72" s="45"/>
      <c r="D72" s="46"/>
      <c r="E72" s="76"/>
      <c r="F72" s="45"/>
    </row>
    <row r="73" spans="1:6" ht="12.95" customHeight="1" x14ac:dyDescent="0.2">
      <c r="A73" s="1636" t="s">
        <v>160</v>
      </c>
      <c r="B73" s="1643" t="s">
        <v>161</v>
      </c>
      <c r="C73" s="45"/>
      <c r="D73" s="51"/>
      <c r="E73" s="68" t="s">
        <v>162</v>
      </c>
      <c r="F73" s="45"/>
    </row>
    <row r="74" spans="1:6" ht="12.95" customHeight="1" x14ac:dyDescent="0.2">
      <c r="A74" s="1640"/>
      <c r="B74" s="1644"/>
      <c r="C74" s="45"/>
      <c r="D74" s="46"/>
      <c r="E74" s="67" t="s">
        <v>163</v>
      </c>
      <c r="F74" s="45"/>
    </row>
    <row r="75" spans="1:6" ht="5.0999999999999996" customHeight="1" x14ac:dyDescent="0.2">
      <c r="A75" s="52"/>
      <c r="B75" s="47"/>
      <c r="C75" s="45"/>
      <c r="D75" s="46"/>
      <c r="E75" s="76"/>
      <c r="F75" s="45"/>
    </row>
    <row r="76" spans="1:6" ht="12.95" customHeight="1" x14ac:dyDescent="0.2">
      <c r="A76" s="1636" t="s">
        <v>164</v>
      </c>
      <c r="B76" s="1643" t="s">
        <v>165</v>
      </c>
      <c r="C76" s="45"/>
      <c r="D76" s="51"/>
      <c r="E76" s="68" t="s">
        <v>166</v>
      </c>
      <c r="F76" s="45"/>
    </row>
    <row r="77" spans="1:6" ht="12.95" customHeight="1" x14ac:dyDescent="0.2">
      <c r="A77" s="1640"/>
      <c r="B77" s="1644"/>
      <c r="C77" s="45"/>
      <c r="D77" s="46"/>
      <c r="E77" s="67" t="s">
        <v>167</v>
      </c>
      <c r="F77" s="45"/>
    </row>
    <row r="78" spans="1:6" ht="5.0999999999999996" customHeight="1" x14ac:dyDescent="0.2">
      <c r="A78" s="52"/>
      <c r="B78" s="47"/>
      <c r="C78" s="45"/>
      <c r="D78" s="46"/>
      <c r="E78" s="76"/>
      <c r="F78" s="45"/>
    </row>
    <row r="79" spans="1:6" ht="12.95" customHeight="1" x14ac:dyDescent="0.2">
      <c r="A79" s="1636" t="s">
        <v>168</v>
      </c>
      <c r="B79" s="1641" t="s">
        <v>169</v>
      </c>
      <c r="C79" s="45"/>
      <c r="D79" s="51"/>
      <c r="E79" s="68" t="s">
        <v>170</v>
      </c>
      <c r="F79" s="45"/>
    </row>
    <row r="80" spans="1:6" ht="12.95" customHeight="1" x14ac:dyDescent="0.2">
      <c r="A80" s="1637"/>
      <c r="B80" s="1647"/>
      <c r="C80" s="45"/>
      <c r="D80" s="46"/>
      <c r="E80" s="67" t="s">
        <v>171</v>
      </c>
      <c r="F80" s="45"/>
    </row>
    <row r="81" spans="1:6" ht="5.0999999999999996" customHeight="1" x14ac:dyDescent="0.2">
      <c r="A81" s="52"/>
      <c r="B81" s="47"/>
      <c r="C81" s="45"/>
      <c r="D81" s="46"/>
      <c r="E81" s="76"/>
      <c r="F81" s="45"/>
    </row>
    <row r="82" spans="1:6" ht="12.95" customHeight="1" x14ac:dyDescent="0.2">
      <c r="A82" s="48" t="s">
        <v>172</v>
      </c>
      <c r="B82" s="77" t="s">
        <v>173</v>
      </c>
      <c r="C82" s="45"/>
      <c r="D82" s="46"/>
      <c r="E82" s="78" t="s">
        <v>174</v>
      </c>
      <c r="F82" s="45"/>
    </row>
    <row r="83" spans="1:6" ht="5.0999999999999996" customHeight="1" x14ac:dyDescent="0.2">
      <c r="A83" s="52"/>
      <c r="B83" s="47"/>
      <c r="C83" s="45"/>
      <c r="D83" s="46"/>
      <c r="E83" s="76"/>
      <c r="F83" s="45"/>
    </row>
    <row r="84" spans="1:6" ht="12.95" customHeight="1" x14ac:dyDescent="0.2">
      <c r="A84" s="52"/>
      <c r="B84" s="47"/>
      <c r="C84" s="45"/>
      <c r="D84" s="46"/>
      <c r="E84" s="68" t="s">
        <v>175</v>
      </c>
      <c r="F84" s="45"/>
    </row>
    <row r="85" spans="1:6" ht="12.95" customHeight="1" x14ac:dyDescent="0.2">
      <c r="A85" s="1636" t="s">
        <v>176</v>
      </c>
      <c r="B85" s="1643" t="s">
        <v>177</v>
      </c>
      <c r="C85" s="45"/>
      <c r="D85" s="46"/>
      <c r="E85" s="66" t="s">
        <v>178</v>
      </c>
      <c r="F85" s="45"/>
    </row>
    <row r="86" spans="1:6" ht="12.95" customHeight="1" x14ac:dyDescent="0.2">
      <c r="A86" s="1640"/>
      <c r="B86" s="1644"/>
      <c r="C86" s="45"/>
      <c r="D86" s="46"/>
      <c r="E86" s="66" t="s">
        <v>179</v>
      </c>
      <c r="F86" s="45"/>
    </row>
    <row r="87" spans="1:6" ht="12.95" customHeight="1" x14ac:dyDescent="0.2">
      <c r="A87" s="52"/>
      <c r="B87" s="47"/>
      <c r="C87" s="45"/>
      <c r="D87" s="46"/>
      <c r="E87" s="67" t="s">
        <v>180</v>
      </c>
      <c r="F87" s="45"/>
    </row>
    <row r="88" spans="1:6" ht="5.0999999999999996" customHeight="1" x14ac:dyDescent="0.2">
      <c r="A88" s="52"/>
      <c r="B88" s="47"/>
      <c r="C88" s="45"/>
      <c r="D88" s="46"/>
      <c r="E88" s="76"/>
      <c r="F88" s="45"/>
    </row>
    <row r="89" spans="1:6" ht="12.95" customHeight="1" x14ac:dyDescent="0.2">
      <c r="A89" s="48" t="s">
        <v>181</v>
      </c>
      <c r="B89" s="79" t="s">
        <v>182</v>
      </c>
      <c r="C89" s="80"/>
      <c r="D89" s="46"/>
      <c r="E89" s="78" t="s">
        <v>183</v>
      </c>
      <c r="F89" s="45"/>
    </row>
    <row r="90" spans="1:6" ht="5.0999999999999996" customHeight="1" x14ac:dyDescent="0.2">
      <c r="A90" s="52"/>
      <c r="B90" s="47"/>
      <c r="C90" s="45"/>
      <c r="D90" s="46"/>
      <c r="E90" s="76"/>
      <c r="F90" s="45"/>
    </row>
    <row r="91" spans="1:6" ht="12.95" customHeight="1" x14ac:dyDescent="0.2">
      <c r="A91" s="1636" t="s">
        <v>184</v>
      </c>
      <c r="B91" s="1645" t="s">
        <v>185</v>
      </c>
      <c r="C91" s="80"/>
      <c r="D91" s="46"/>
      <c r="E91" s="68" t="s">
        <v>186</v>
      </c>
      <c r="F91" s="45"/>
    </row>
    <row r="92" spans="1:6" ht="12.95" customHeight="1" x14ac:dyDescent="0.2">
      <c r="A92" s="1637"/>
      <c r="B92" s="1646"/>
      <c r="C92" s="80"/>
      <c r="D92" s="46"/>
      <c r="E92" s="67" t="s">
        <v>653</v>
      </c>
      <c r="F92" s="45"/>
    </row>
    <row r="93" spans="1:6" ht="5.0999999999999996" customHeight="1" x14ac:dyDescent="0.2">
      <c r="A93" s="52"/>
      <c r="B93" s="47"/>
      <c r="C93" s="45"/>
      <c r="D93" s="46"/>
      <c r="E93" s="76"/>
      <c r="F93" s="45"/>
    </row>
    <row r="94" spans="1:6" ht="12.95" customHeight="1" x14ac:dyDescent="0.2">
      <c r="A94" s="1636" t="s">
        <v>187</v>
      </c>
      <c r="B94" s="1645" t="s">
        <v>188</v>
      </c>
      <c r="C94" s="80"/>
      <c r="D94" s="46"/>
      <c r="E94" s="68" t="s">
        <v>189</v>
      </c>
      <c r="F94" s="45"/>
    </row>
    <row r="95" spans="1:6" ht="12.95" customHeight="1" x14ac:dyDescent="0.2">
      <c r="A95" s="1637"/>
      <c r="B95" s="1646"/>
      <c r="C95" s="80"/>
      <c r="D95" s="46"/>
      <c r="E95" s="67" t="s">
        <v>654</v>
      </c>
      <c r="F95" s="45"/>
    </row>
    <row r="96" spans="1:6" ht="5.0999999999999996" customHeight="1" x14ac:dyDescent="0.2">
      <c r="A96" s="52"/>
      <c r="B96" s="47"/>
      <c r="C96" s="45"/>
      <c r="D96" s="46"/>
      <c r="E96" s="76"/>
      <c r="F96" s="45"/>
    </row>
    <row r="97" spans="1:6" ht="12.95" customHeight="1" x14ac:dyDescent="0.2">
      <c r="A97" s="1636" t="s">
        <v>190</v>
      </c>
      <c r="B97" s="1634" t="s">
        <v>191</v>
      </c>
      <c r="C97" s="80"/>
      <c r="D97" s="46"/>
      <c r="E97" s="529" t="s">
        <v>655</v>
      </c>
      <c r="F97" s="45"/>
    </row>
    <row r="98" spans="1:6" ht="12.95" customHeight="1" x14ac:dyDescent="0.2">
      <c r="A98" s="1637"/>
      <c r="B98" s="1635"/>
      <c r="C98" s="80"/>
      <c r="D98" s="46"/>
      <c r="E98" s="530" t="s">
        <v>656</v>
      </c>
      <c r="F98" s="45"/>
    </row>
    <row r="99" spans="1:6" ht="5.0999999999999996" customHeight="1" x14ac:dyDescent="0.25">
      <c r="A99" s="34"/>
      <c r="B99" s="35"/>
      <c r="C99" s="35"/>
      <c r="D99" s="34"/>
      <c r="E99" s="35"/>
      <c r="F99" s="35"/>
    </row>
    <row r="100" spans="1:6" ht="15" hidden="1" x14ac:dyDescent="0.25">
      <c r="A100" s="48" t="s">
        <v>192</v>
      </c>
      <c r="B100" s="79" t="s">
        <v>193</v>
      </c>
      <c r="C100" s="35"/>
      <c r="D100" s="34"/>
      <c r="E100" s="78" t="s">
        <v>194</v>
      </c>
      <c r="F100" s="35"/>
    </row>
    <row r="101" spans="1:6" ht="15" x14ac:dyDescent="0.25">
      <c r="A101" s="34"/>
      <c r="B101" s="35"/>
      <c r="C101" s="35"/>
      <c r="D101" s="34"/>
      <c r="E101" s="35" t="s">
        <v>7638</v>
      </c>
      <c r="F101" s="35"/>
    </row>
  </sheetData>
  <sheetProtection algorithmName="SHA-512" hashValue="4LV7ikDrc640GS23k70bKj1cw9cT+DwUuKWJnBBakD04V3lGW9kljkAP/lNW6d7c1Wts2GApvSe0LEn2kiDpfw==" saltValue="m7aEXiceHcdhM1ENpZuzxg=="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79:B80"/>
    <mergeCell ref="A85:A86"/>
    <mergeCell ref="B85:B86"/>
    <mergeCell ref="E21:E22"/>
    <mergeCell ref="E26:E27"/>
    <mergeCell ref="A41:A43"/>
    <mergeCell ref="B41:B43"/>
    <mergeCell ref="B32:B34"/>
    <mergeCell ref="A32:A34"/>
    <mergeCell ref="B97:B98"/>
    <mergeCell ref="A97:A98"/>
    <mergeCell ref="A3:B3"/>
    <mergeCell ref="A18:A19"/>
    <mergeCell ref="B18:B19"/>
    <mergeCell ref="A70:A71"/>
    <mergeCell ref="B70:B71"/>
    <mergeCell ref="A73:A74"/>
    <mergeCell ref="B73:B74"/>
    <mergeCell ref="A91:A92"/>
    <mergeCell ref="B91:B92"/>
    <mergeCell ref="A94:A95"/>
    <mergeCell ref="B94:B95"/>
    <mergeCell ref="A76:A77"/>
    <mergeCell ref="B76:B77"/>
    <mergeCell ref="A79:A80"/>
  </mergeCells>
  <pageMargins left="0.23622047244094491" right="0.23622047244094491" top="0.74803149606299213" bottom="0.74803149606299213" header="0.31496062992125984" footer="0.31496062992125984"/>
  <pageSetup paperSize="9" scale="98" fitToWidth="0" fitToHeight="0" orientation="portrait" r:id="rId2"/>
  <headerFooter>
    <oddFooter>&amp;L© Bayerische Landesanstalt für Landwirtschaft, Agrarökologie - Düngung (Of, De, Sp, Ks); Stand: 09.08.2023</oddFooter>
  </headerFooter>
  <rowBreaks count="1" manualBreakCount="1">
    <brk id="49" max="16383" man="1"/>
  </row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Nährstoffe und Lagerraum</vt:lpstr>
      <vt:lpstr>intern_Formel_Geflügel_Kot</vt:lpstr>
      <vt:lpstr>Abweichende Werte</vt:lpstr>
      <vt:lpstr>Schweine_Werte</vt:lpstr>
      <vt:lpstr>abweichende Schweine</vt:lpstr>
      <vt:lpstr>Tiere</vt:lpstr>
      <vt:lpstr>org Dünger</vt:lpstr>
      <vt:lpstr>Stroh</vt:lpstr>
      <vt:lpstr>Erläuterungen</vt:lpstr>
      <vt:lpstr>Notizen</vt:lpstr>
      <vt:lpstr>Niederschläge</vt:lpstr>
      <vt:lpstr>Abgabebeleg</vt:lpstr>
      <vt:lpstr>Gemarkungsniederschläge</vt:lpstr>
      <vt:lpstr>Abgabe-;Aufnahmeliste</vt:lpstr>
      <vt:lpstr>Abgabebeleg!Druckbereich</vt:lpstr>
      <vt:lpstr>'Abweichende Werte'!Druckbereich</vt:lpstr>
      <vt:lpstr>'Nährstoffe und Lagerraum'!Druckbereich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LfL-Lagerraum_Nährstoffanfall2024</dc:title>
  <dc:creator>msbo</dc:creator>
  <cp:lastModifiedBy>Deimel, R. (LfL)</cp:lastModifiedBy>
  <cp:lastPrinted>2023-08-09T05:30:51Z</cp:lastPrinted>
  <dcterms:created xsi:type="dcterms:W3CDTF">2006-11-22T08:57:22Z</dcterms:created>
  <dcterms:modified xsi:type="dcterms:W3CDTF">2024-07-08T06:52:38Z</dcterms:modified>
</cp:coreProperties>
</file>